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autoCompressPictures="0"/>
  <mc:AlternateContent xmlns:mc="http://schemas.openxmlformats.org/markup-compatibility/2006">
    <mc:Choice Requires="x15">
      <x15ac:absPath xmlns:x15ac="http://schemas.microsoft.com/office/spreadsheetml/2010/11/ac" url="https://myccmortgage-my.sharepoint.com/personal/dolly_alexander_myccmortgage_com/Documents/Documents/GCSA Hylo Park/"/>
    </mc:Choice>
  </mc:AlternateContent>
  <xr:revisionPtr revIDLastSave="7" documentId="8_{7C6FE745-C013-4702-9D06-16313253D944}" xr6:coauthVersionLast="47" xr6:coauthVersionMax="47" xr10:uidLastSave="{6EE52256-B8DC-4ED2-AB86-FB80E271E9B4}"/>
  <bookViews>
    <workbookView xWindow="-108" yWindow="-108" windowWidth="23256" windowHeight="12456" activeTab="2" xr2:uid="{00000000-000D-0000-FFFF-FFFF00000000}"/>
  </bookViews>
  <sheets>
    <sheet name="Instructions" sheetId="77" r:id="rId1"/>
    <sheet name="Resources" sheetId="76" state="hidden" r:id="rId2"/>
    <sheet name="Cover &amp; Loc" sheetId="52" r:id="rId3"/>
    <sheet name="Checklist &amp; TOC" sheetId="66" state="hidden" r:id="rId4"/>
    <sheet name="Mkt Res" sheetId="41" state="hidden" r:id="rId5"/>
    <sheet name=" Enrol &amp; Rev" sheetId="13" r:id="rId6"/>
    <sheet name="Pre Y1 (Incubation)" sheetId="39" state="hidden" r:id="rId7"/>
    <sheet name="CF Y1 Mo" sheetId="38" r:id="rId8"/>
    <sheet name="Staff" sheetId="62" r:id="rId9"/>
    <sheet name="Facilities" sheetId="46" r:id="rId10"/>
    <sheet name="Gen Optg" sheetId="61" r:id="rId11"/>
    <sheet name="Ins" sheetId="47" r:id="rId12"/>
    <sheet name="FFE&amp;T" sheetId="34" r:id="rId13"/>
    <sheet name="Marketing" sheetId="48" r:id="rId14"/>
    <sheet name="EMO-CMO-BOSP" sheetId="45" r:id="rId15"/>
    <sheet name="Summary" sheetId="18" r:id="rId16"/>
    <sheet name="Statistics" sheetId="67" r:id="rId17"/>
    <sheet name="Info--&gt;" sheetId="75" state="hidden" r:id="rId18"/>
    <sheet name="PCFP Rates" sheetId="35" state="hidden" r:id="rId19"/>
    <sheet name="Demographics" sheetId="71" state="hidden" r:id="rId20"/>
    <sheet name="Facilities wkst" sheetId="53" state="hidden" r:id="rId21"/>
    <sheet name="Dev Notes" sheetId="57" state="hidden" r:id="rId22"/>
    <sheet name="Note FFE" sheetId="54" state="hidden" r:id="rId23"/>
    <sheet name="Eq wip" sheetId="55" state="hidden" r:id="rId24"/>
    <sheet name="Scratchpad (2)" sheetId="69" state="hidden" r:id="rId25"/>
    <sheet name="Levers" sheetId="63" state="hidden" r:id="rId26"/>
    <sheet name="Scratchpad" sheetId="68" state="hidden" r:id="rId27"/>
    <sheet name="Transp" sheetId="72" state="hidden" r:id="rId28"/>
    <sheet name="Star Ratings" sheetId="74" state="hidden" r:id="rId29"/>
  </sheets>
  <externalReferences>
    <externalReference r:id="rId30"/>
  </externalReferences>
  <definedNames>
    <definedName name="Counties">'PCFP Rates'!$O$49:$O$79</definedName>
    <definedName name="County">'PCFP Rates'!$O$49:$O$79</definedName>
    <definedName name="DSA">'PCFP Rates'!#REF!</definedName>
    <definedName name="FICA_Rate">Staff!$C$60</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#REF!</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 &amp; Loc'!$A$1</definedName>
    <definedName name="HypLink4">'Checklist &amp; TOC'!$A$1</definedName>
    <definedName name="HypLink5">Summary!$A$1</definedName>
    <definedName name="HypLink6" localSheetId="10">'Gen Optg'!$A$1</definedName>
    <definedName name="HypLink6" localSheetId="8">Staff!$A$1</definedName>
    <definedName name="HypLink6">Statistics!$A$1</definedName>
    <definedName name="HypLink7">'Mkt Res'!$A$1</definedName>
    <definedName name="HypLink8">' Enrol &amp; Rev'!$A$1</definedName>
    <definedName name="HypLink9">'Pre Y1 (Incubation)'!$A$1</definedName>
    <definedName name="_xlnm.Print_Area" localSheetId="5">' Enrol &amp; Rev'!$A$1:$M$146</definedName>
    <definedName name="_xlnm.Print_Area" localSheetId="7">'CF Y1 Mo'!$A$1:$R$134</definedName>
    <definedName name="_xlnm.Print_Area" localSheetId="3">'Checklist &amp; TOC'!$A$1:$K$35</definedName>
    <definedName name="_xlnm.Print_Area" localSheetId="2">'Cover &amp; Loc'!$A$1:$E$26</definedName>
    <definedName name="_xlnm.Print_Area" localSheetId="19">Demographics!$A$1:$M$6</definedName>
    <definedName name="_xlnm.Print_Area" localSheetId="21">'Dev Notes'!$A$1:$T$90</definedName>
    <definedName name="_xlnm.Print_Area" localSheetId="14">'EMO-CMO-BOSP'!$A$1:$L$89</definedName>
    <definedName name="_xlnm.Print_Area" localSheetId="23">'Eq wip'!$A$1:$N$50</definedName>
    <definedName name="_xlnm.Print_Area" localSheetId="9">Facilities!$A$1:$L$77</definedName>
    <definedName name="_xlnm.Print_Area" localSheetId="12">'FFE&amp;T'!$A$1:$L$55</definedName>
    <definedName name="_xlnm.Print_Area" localSheetId="10">'Gen Optg'!$A$1:$L$185</definedName>
    <definedName name="_xlnm.Print_Area" localSheetId="11">Ins!$A$1:$L$51</definedName>
    <definedName name="_xlnm.Print_Area" localSheetId="25">Levers!$A$1:$I$39</definedName>
    <definedName name="_xlnm.Print_Area" localSheetId="13">Marketing!$A$1:$N$46</definedName>
    <definedName name="_xlnm.Print_Area" localSheetId="4">'Mkt Res'!$A$1:$K$102</definedName>
    <definedName name="_xlnm.Print_Area" localSheetId="22">'Note FFE'!$A$1:$I$43</definedName>
    <definedName name="_xlnm.Print_Area" localSheetId="18">'PCFP Rates'!$A$1:$M$472</definedName>
    <definedName name="_xlnm.Print_Area" localSheetId="6">'Pre Y1 (Incubation)'!$A$1:$F$8</definedName>
    <definedName name="_xlnm.Print_Area" localSheetId="26">Scratchpad!$A$1:$L$44</definedName>
    <definedName name="_xlnm.Print_Area" localSheetId="24">'Scratchpad (2)'!$A$1:$Q$44</definedName>
    <definedName name="_xlnm.Print_Area" localSheetId="8">Staff!$A$1:$M$490</definedName>
    <definedName name="_xlnm.Print_Area" localSheetId="28">'Star Ratings'!$A$1:$K$43</definedName>
    <definedName name="_xlnm.Print_Area" localSheetId="16">Statistics!$A$1:$L$131</definedName>
    <definedName name="_xlnm.Print_Area" localSheetId="15">Summary!$A$1:$L$113</definedName>
    <definedName name="_xlnm.Print_Area" localSheetId="27">Transp!$A$1:$K$42</definedName>
    <definedName name="_xlnm.Print_Titles" localSheetId="5">' Enrol &amp; Rev'!$9:$11</definedName>
    <definedName name="_xlnm.Print_Titles" localSheetId="7">'CF Y1 Mo'!$7:$12</definedName>
    <definedName name="_xlnm.Print_Titles" localSheetId="14">'EMO-CMO-BOSP'!$9:$11</definedName>
    <definedName name="_xlnm.Print_Titles" localSheetId="9">Facilities!$6:$8</definedName>
    <definedName name="_xlnm.Print_Titles" localSheetId="20">'Facilities wkst'!$A:$A</definedName>
    <definedName name="_xlnm.Print_Titles" localSheetId="12">'FFE&amp;T'!$6:$8</definedName>
    <definedName name="_xlnm.Print_Titles" localSheetId="10">'Gen Optg'!$9:$11</definedName>
    <definedName name="_xlnm.Print_Titles" localSheetId="25">Levers!$7:$8</definedName>
    <definedName name="_xlnm.Print_Titles" localSheetId="13">Marketing!$11:$13</definedName>
    <definedName name="_xlnm.Print_Titles" localSheetId="4">'Mkt Res'!$7:$9</definedName>
    <definedName name="_xlnm.Print_Titles" localSheetId="8">Staff!$8:$10</definedName>
    <definedName name="_xlnm.Print_Titles" localSheetId="15">Summary!$6:$8</definedName>
    <definedName name="SchoolName">'Cover &amp; Loc'!$A$9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34" l="1"/>
  <c r="I28" i="34" s="1"/>
  <c r="J28" i="34" s="1"/>
  <c r="K28" i="34" s="1"/>
  <c r="L18" i="34"/>
  <c r="G3" i="46" l="1"/>
  <c r="F3" i="41" s="1"/>
  <c r="G2" i="46"/>
  <c r="A80" i="62" l="1"/>
  <c r="G81" i="62"/>
  <c r="A2" i="52"/>
  <c r="A64" i="38"/>
  <c r="A63" i="38"/>
  <c r="C29" i="38" l="1"/>
  <c r="M23" i="62" l="1"/>
  <c r="L23" i="62"/>
  <c r="K23" i="62"/>
  <c r="J23" i="62"/>
  <c r="I23" i="62"/>
  <c r="H23" i="62"/>
  <c r="G23" i="62"/>
  <c r="A78" i="62" l="1"/>
  <c r="A77" i="62"/>
  <c r="A438" i="62"/>
  <c r="A437" i="62"/>
  <c r="A436" i="62"/>
  <c r="A435" i="62"/>
  <c r="M436" i="62"/>
  <c r="M437" i="62" s="1"/>
  <c r="M439" i="62" s="1"/>
  <c r="L436" i="62"/>
  <c r="L437" i="62" s="1"/>
  <c r="L439" i="62" s="1"/>
  <c r="K436" i="62"/>
  <c r="K437" i="62" s="1"/>
  <c r="K439" i="62" s="1"/>
  <c r="J436" i="62"/>
  <c r="J437" i="62" s="1"/>
  <c r="J439" i="62" s="1"/>
  <c r="I436" i="62"/>
  <c r="H436" i="62"/>
  <c r="G436" i="62"/>
  <c r="A440" i="62"/>
  <c r="A439" i="62"/>
  <c r="A434" i="62"/>
  <c r="A433" i="62"/>
  <c r="A432" i="62"/>
  <c r="A431" i="62"/>
  <c r="G437" i="62" l="1"/>
  <c r="G439" i="62" s="1"/>
  <c r="I437" i="62"/>
  <c r="I439" i="62" s="1"/>
  <c r="H437" i="62"/>
  <c r="H439" i="62" s="1"/>
  <c r="A100" i="18" l="1"/>
  <c r="H14" i="35" l="1"/>
  <c r="G14" i="35"/>
  <c r="F14" i="35"/>
  <c r="G64" i="18"/>
  <c r="A58" i="18"/>
  <c r="A57" i="18"/>
  <c r="A56" i="18"/>
  <c r="A53" i="18"/>
  <c r="L1" i="18"/>
  <c r="A78" i="45"/>
  <c r="A77" i="45"/>
  <c r="A73" i="45"/>
  <c r="A50" i="45"/>
  <c r="A43" i="41" l="1"/>
  <c r="A42" i="41"/>
  <c r="A41" i="41"/>
  <c r="A40" i="41"/>
  <c r="A39" i="41"/>
  <c r="A38" i="41"/>
  <c r="A37" i="41"/>
  <c r="A36" i="41"/>
  <c r="A35" i="41"/>
  <c r="A34" i="41"/>
  <c r="A33" i="41"/>
  <c r="A32" i="41"/>
  <c r="A46" i="41"/>
  <c r="A45" i="41"/>
  <c r="A44" i="41"/>
  <c r="A97" i="18"/>
  <c r="A111" i="61" l="1"/>
  <c r="A64" i="61"/>
  <c r="A96" i="18"/>
  <c r="A95" i="18"/>
  <c r="A94" i="18"/>
  <c r="A93" i="18"/>
  <c r="A92" i="18"/>
  <c r="A91" i="18"/>
  <c r="D51" i="18" l="1"/>
  <c r="C51" i="18"/>
  <c r="A51" i="18"/>
  <c r="A117" i="18"/>
  <c r="A119" i="18"/>
  <c r="A120" i="18"/>
  <c r="G445" i="62" l="1"/>
  <c r="C89" i="13" l="1"/>
  <c r="D84" i="13" l="1"/>
  <c r="A13" i="35" l="1"/>
  <c r="A14" i="35" s="1"/>
  <c r="A15" i="35" s="1"/>
  <c r="A16" i="35" s="1"/>
  <c r="A17" i="35" s="1"/>
  <c r="A18" i="35" s="1"/>
  <c r="A19" i="35" s="1"/>
  <c r="A20" i="35" s="1"/>
  <c r="A112" i="13" l="1"/>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2" i="38"/>
  <c r="A61" i="38"/>
  <c r="A60" i="38"/>
  <c r="A59" i="38"/>
  <c r="A58" i="38"/>
  <c r="A57" i="38"/>
  <c r="A56" i="38"/>
  <c r="A55" i="38"/>
  <c r="A54" i="38"/>
  <c r="A53" i="38"/>
  <c r="A52" i="38"/>
  <c r="A51" i="38"/>
  <c r="A62" i="45"/>
  <c r="A61" i="45"/>
  <c r="A60" i="45"/>
  <c r="A79" i="45"/>
  <c r="A71" i="45"/>
  <c r="G8" i="62"/>
  <c r="F69" i="38"/>
  <c r="G9" i="38"/>
  <c r="H9" i="38" s="1"/>
  <c r="I9" i="38" s="1"/>
  <c r="J9" i="38" s="1"/>
  <c r="K9" i="38" s="1"/>
  <c r="L9" i="38" s="1"/>
  <c r="M9" i="38" s="1"/>
  <c r="N9" i="38" s="1"/>
  <c r="O9" i="38" s="1"/>
  <c r="P9" i="38" s="1"/>
  <c r="Q9" i="38" s="1"/>
  <c r="A69" i="41"/>
  <c r="A57" i="41"/>
  <c r="A63" i="45" l="1"/>
  <c r="A74" i="45"/>
  <c r="A75" i="41" l="1"/>
  <c r="A90" i="45" l="1"/>
  <c r="A34" i="34"/>
  <c r="A40" i="13"/>
  <c r="A41" i="13"/>
  <c r="A42" i="13"/>
  <c r="D11" i="52"/>
  <c r="A80" i="41" l="1"/>
  <c r="A78" i="41"/>
  <c r="A77" i="41"/>
  <c r="A76" i="41"/>
  <c r="A74" i="41"/>
  <c r="A73" i="41"/>
  <c r="A72" i="41"/>
  <c r="A71" i="41"/>
  <c r="L109" i="18"/>
  <c r="K109" i="18"/>
  <c r="J109" i="18"/>
  <c r="I109" i="18"/>
  <c r="H109" i="18"/>
  <c r="G109" i="18"/>
  <c r="F109" i="18"/>
  <c r="A110" i="18"/>
  <c r="A112" i="18"/>
  <c r="A91" i="41" l="1"/>
  <c r="A92" i="41"/>
  <c r="A93" i="41"/>
  <c r="A94" i="41"/>
  <c r="A95" i="41"/>
  <c r="A96" i="41"/>
  <c r="A97" i="41"/>
  <c r="A85" i="41"/>
  <c r="A86" i="41"/>
  <c r="A87" i="41"/>
  <c r="A88" i="41"/>
  <c r="A64" i="41"/>
  <c r="A65" i="41"/>
  <c r="A55" i="41"/>
  <c r="A56"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183" i="61" l="1"/>
  <c r="F12" i="67" l="1"/>
  <c r="A10" i="67"/>
  <c r="A39" i="18"/>
  <c r="A40" i="18"/>
  <c r="A41" i="18"/>
  <c r="A13" i="13"/>
  <c r="B299" i="62" l="1"/>
  <c r="B298" i="62"/>
  <c r="B297" i="62"/>
  <c r="B296" i="62"/>
  <c r="A299" i="62"/>
  <c r="A298" i="62"/>
  <c r="A297" i="62"/>
  <c r="G110" i="62"/>
  <c r="F26" i="67" s="1"/>
  <c r="A134" i="62"/>
  <c r="A133" i="62"/>
  <c r="A39" i="13"/>
  <c r="A38" i="13"/>
  <c r="A37" i="13"/>
  <c r="A5" i="74"/>
  <c r="A5" i="72" l="1"/>
  <c r="A113" i="18"/>
  <c r="A114" i="18"/>
  <c r="A115" i="18"/>
  <c r="A118" i="18"/>
  <c r="A116" i="18"/>
  <c r="A89" i="18"/>
  <c r="A90" i="18"/>
  <c r="A98" i="18"/>
  <c r="A99" i="18"/>
  <c r="A101" i="18"/>
  <c r="A102" i="18"/>
  <c r="A103" i="18"/>
  <c r="A104" i="18"/>
  <c r="A105" i="18"/>
  <c r="A106" i="18"/>
  <c r="A107" i="18"/>
  <c r="A108" i="18"/>
  <c r="A109" i="18"/>
  <c r="A111" i="18"/>
  <c r="F99" i="18" l="1"/>
  <c r="L99" i="18"/>
  <c r="K99" i="18"/>
  <c r="J99" i="18"/>
  <c r="I99" i="18"/>
  <c r="H99" i="18"/>
  <c r="G99" i="18"/>
  <c r="A64" i="18"/>
  <c r="A13" i="18"/>
  <c r="F13" i="67"/>
  <c r="A13" i="67"/>
  <c r="D147" i="35"/>
  <c r="F71" i="35"/>
  <c r="F59"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31" i="38"/>
  <c r="Q53" i="38"/>
  <c r="I11" i="18"/>
  <c r="H11" i="18"/>
  <c r="G11" i="18"/>
  <c r="F11" i="18"/>
  <c r="A2" i="71"/>
  <c r="A64" i="13"/>
  <c r="A63" i="13" l="1"/>
  <c r="A5" i="71" l="1"/>
  <c r="A83" i="13" l="1"/>
  <c r="A62" i="13"/>
  <c r="A65" i="13"/>
  <c r="A61" i="13"/>
  <c r="A2" i="68" l="1"/>
  <c r="I15" i="69"/>
  <c r="I16" i="69" s="1"/>
  <c r="H15" i="69"/>
  <c r="H16" i="69" s="1"/>
  <c r="G15" i="69"/>
  <c r="G16" i="69" s="1"/>
  <c r="F15" i="69"/>
  <c r="F16" i="69" s="1"/>
  <c r="J14" i="69"/>
  <c r="K14" i="69" s="1"/>
  <c r="K15" i="69" s="1"/>
  <c r="K16" i="69" s="1"/>
  <c r="A5" i="69"/>
  <c r="A34" i="18"/>
  <c r="A35" i="18"/>
  <c r="A36" i="18"/>
  <c r="A37" i="18"/>
  <c r="A38" i="18"/>
  <c r="A42" i="18"/>
  <c r="A46" i="13"/>
  <c r="J15" i="69" l="1"/>
  <c r="J16" i="69" s="1"/>
  <c r="A125" i="61"/>
  <c r="A123" i="61"/>
  <c r="A120" i="61"/>
  <c r="A131" i="61"/>
  <c r="A130" i="61"/>
  <c r="A129" i="61"/>
  <c r="A128" i="61"/>
  <c r="A127" i="61"/>
  <c r="A126" i="61"/>
  <c r="A124" i="61"/>
  <c r="A122" i="61"/>
  <c r="A121" i="61"/>
  <c r="A119" i="61"/>
  <c r="A118" i="61"/>
  <c r="A117" i="61"/>
  <c r="A116" i="61"/>
  <c r="A115" i="61"/>
  <c r="A114" i="61"/>
  <c r="A113" i="61"/>
  <c r="A112" i="61"/>
  <c r="A143" i="61"/>
  <c r="A38" i="46"/>
  <c r="A35" i="62" l="1"/>
  <c r="A34" i="62"/>
  <c r="A33" i="62"/>
  <c r="A32" i="62"/>
  <c r="A39" i="39" l="1"/>
  <c r="A80" i="13"/>
  <c r="C70" i="13"/>
  <c r="A58" i="13"/>
  <c r="A59" i="18"/>
  <c r="B77" i="67" l="1"/>
  <c r="A77" i="67"/>
  <c r="B76" i="67"/>
  <c r="A76" i="67"/>
  <c r="B75" i="67"/>
  <c r="A75" i="67"/>
  <c r="B74" i="67"/>
  <c r="A74" i="67"/>
  <c r="B73" i="67"/>
  <c r="B72" i="67"/>
  <c r="B71" i="67"/>
  <c r="B70" i="67"/>
  <c r="B68" i="67"/>
  <c r="B67" i="67"/>
  <c r="B66" i="67"/>
  <c r="B65" i="67"/>
  <c r="B64" i="67"/>
  <c r="B63" i="67"/>
  <c r="B62" i="67"/>
  <c r="B61" i="67"/>
  <c r="B60" i="67"/>
  <c r="B59" i="67"/>
  <c r="B58" i="67"/>
  <c r="F18" i="18" l="1"/>
  <c r="A144" i="13"/>
  <c r="A67" i="18" l="1"/>
  <c r="E23" i="38"/>
  <c r="A23" i="38"/>
  <c r="E70" i="13"/>
  <c r="E69" i="13"/>
  <c r="A18" i="62"/>
  <c r="A17" i="62"/>
  <c r="A16" i="62"/>
  <c r="A71" i="18" l="1"/>
  <c r="A72" i="18"/>
  <c r="A73" i="18"/>
  <c r="A74" i="18"/>
  <c r="A75" i="18"/>
  <c r="A76" i="18"/>
  <c r="A77" i="18"/>
  <c r="A78" i="18"/>
  <c r="A79" i="18"/>
  <c r="A70" i="18"/>
  <c r="A69" i="18"/>
  <c r="A68" i="18"/>
  <c r="A66" i="18"/>
  <c r="A65" i="18"/>
  <c r="A127" i="13"/>
  <c r="A101" i="13"/>
  <c r="A5" i="68" l="1"/>
  <c r="A47" i="13" l="1"/>
  <c r="A48" i="13"/>
  <c r="A49" i="13"/>
  <c r="A50" i="13"/>
  <c r="A51" i="13"/>
  <c r="A52" i="13"/>
  <c r="A53" i="13"/>
  <c r="A54" i="13"/>
  <c r="A55" i="13"/>
  <c r="A56" i="13"/>
  <c r="A57" i="13"/>
  <c r="A59" i="13"/>
  <c r="A60" i="13"/>
  <c r="A465" i="62" l="1"/>
  <c r="A464" i="62"/>
  <c r="A463" i="62"/>
  <c r="A202" i="61" l="1"/>
  <c r="A203" i="61"/>
  <c r="A15" i="67" l="1"/>
  <c r="A14" i="67" l="1"/>
  <c r="A12" i="67"/>
  <c r="A9"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B99" i="67"/>
  <c r="A99" i="67"/>
  <c r="B98" i="67"/>
  <c r="A98" i="67"/>
  <c r="A97" i="67"/>
  <c r="A96" i="67"/>
  <c r="A95" i="67"/>
  <c r="C94" i="67"/>
  <c r="A94" i="67"/>
  <c r="A93" i="67"/>
  <c r="F92" i="67"/>
  <c r="A92" i="67"/>
  <c r="A91" i="67"/>
  <c r="A90" i="67"/>
  <c r="A89" i="67"/>
  <c r="A88" i="67"/>
  <c r="A87" i="67"/>
  <c r="A86" i="67"/>
  <c r="A85" i="67"/>
  <c r="A84" i="67"/>
  <c r="A83" i="67"/>
  <c r="A82" i="67"/>
  <c r="A81" i="67"/>
  <c r="A80" i="67"/>
  <c r="A79" i="67"/>
  <c r="A78"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28" i="67"/>
  <c r="A25" i="67"/>
  <c r="A24" i="67"/>
  <c r="A23" i="67"/>
  <c r="A22" i="67"/>
  <c r="F21" i="67"/>
  <c r="A21" i="67"/>
  <c r="A20" i="67"/>
  <c r="A19" i="67"/>
  <c r="A18" i="67"/>
  <c r="A17" i="67"/>
  <c r="A16" i="67"/>
  <c r="A80" i="18"/>
  <c r="A23" i="39" l="1"/>
  <c r="E68" i="13"/>
  <c r="E71" i="13" s="1"/>
  <c r="A15" i="13" l="1"/>
  <c r="A122" i="13"/>
  <c r="F143" i="13"/>
  <c r="F145" i="13" s="1"/>
  <c r="F36" i="18" s="1"/>
  <c r="F24" i="18"/>
  <c r="F67"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G67" i="67" s="1"/>
  <c r="F15" i="18"/>
  <c r="G93" i="13"/>
  <c r="L34" i="18"/>
  <c r="L77" i="67" s="1"/>
  <c r="K34" i="18"/>
  <c r="K77" i="67" s="1"/>
  <c r="J34" i="18"/>
  <c r="J77" i="67" s="1"/>
  <c r="I34" i="18"/>
  <c r="I77" i="67" s="1"/>
  <c r="H34" i="18"/>
  <c r="H77" i="67" s="1"/>
  <c r="G34" i="18"/>
  <c r="G77" i="67" s="1"/>
  <c r="F34" i="18"/>
  <c r="F77" i="67" s="1"/>
  <c r="A141" i="61"/>
  <c r="A140" i="61"/>
  <c r="A139" i="61"/>
  <c r="A138" i="61"/>
  <c r="A137" i="61"/>
  <c r="A136" i="61"/>
  <c r="A135" i="61"/>
  <c r="C34" i="18" l="1"/>
  <c r="D34" i="18"/>
  <c r="A21" i="45" l="1"/>
  <c r="A11" i="18" l="1"/>
  <c r="A36" i="46" l="1"/>
  <c r="A37" i="46"/>
  <c r="A39" i="46"/>
  <c r="A37" i="39"/>
  <c r="A36" i="39"/>
  <c r="A35" i="39"/>
  <c r="A34" i="39"/>
  <c r="A33" i="39"/>
  <c r="L101" i="61" l="1"/>
  <c r="K101" i="61"/>
  <c r="J101" i="61"/>
  <c r="I101" i="61"/>
  <c r="H101" i="61"/>
  <c r="G101" i="61"/>
  <c r="G100" i="61"/>
  <c r="H100" i="61"/>
  <c r="I100" i="61"/>
  <c r="J100" i="61"/>
  <c r="K100" i="61"/>
  <c r="L100" i="61"/>
  <c r="A134" i="61"/>
  <c r="A76" i="13"/>
  <c r="A73" i="13"/>
  <c r="A72" i="13"/>
  <c r="A71" i="13"/>
  <c r="A70" i="13"/>
  <c r="A69" i="13"/>
  <c r="A68" i="13"/>
  <c r="A67" i="13"/>
  <c r="A66" i="13"/>
  <c r="A25" i="39" l="1"/>
  <c r="A24" i="39"/>
  <c r="A21" i="39"/>
  <c r="A22" i="39"/>
  <c r="A133" i="61" l="1"/>
  <c r="A132" i="61"/>
  <c r="B26" i="18" l="1"/>
  <c r="B69" i="67" s="1"/>
  <c r="L26" i="18"/>
  <c r="L69" i="67" s="1"/>
  <c r="K26" i="18"/>
  <c r="K69" i="67" s="1"/>
  <c r="J26" i="18"/>
  <c r="J69" i="67" s="1"/>
  <c r="I26" i="18"/>
  <c r="I69" i="67" s="1"/>
  <c r="H26" i="18"/>
  <c r="H69" i="67" s="1"/>
  <c r="G26" i="18"/>
  <c r="F26" i="18"/>
  <c r="A26" i="18"/>
  <c r="C134" i="13"/>
  <c r="A146" i="13"/>
  <c r="A145" i="13"/>
  <c r="A142" i="13"/>
  <c r="A141" i="13"/>
  <c r="A140" i="13"/>
  <c r="A139" i="13"/>
  <c r="A138" i="13"/>
  <c r="A137" i="13"/>
  <c r="A136" i="13"/>
  <c r="A135" i="13"/>
  <c r="A134" i="13"/>
  <c r="A67"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6" i="38"/>
  <c r="A31" i="34"/>
  <c r="A30" i="34"/>
  <c r="A29" i="34"/>
  <c r="A28" i="34"/>
  <c r="A79" i="61"/>
  <c r="A101" i="61"/>
  <c r="A102" i="61"/>
  <c r="A100" i="61"/>
  <c r="B84" i="13" l="1"/>
  <c r="B145" i="35"/>
  <c r="D153" i="35" l="1"/>
  <c r="D152" i="35" s="1"/>
  <c r="C84" i="13" l="1"/>
  <c r="B80" i="38"/>
  <c r="F61" i="35"/>
  <c r="F60" i="35"/>
  <c r="F58" i="35"/>
  <c r="F57" i="35"/>
  <c r="F56" i="35"/>
  <c r="F55" i="35"/>
  <c r="F16" i="18" l="1"/>
  <c r="F59" i="67" s="1"/>
  <c r="F58"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8" i="38" s="1"/>
  <c r="K101" i="35"/>
  <c r="D92" i="35" l="1"/>
  <c r="D50" i="35"/>
  <c r="G36" i="13" l="1"/>
  <c r="G149" i="61" s="1"/>
  <c r="G38" i="13" l="1"/>
  <c r="G173" i="61"/>
  <c r="G174" i="61" s="1"/>
  <c r="G175" i="61" s="1"/>
  <c r="G176" i="61" s="1"/>
  <c r="G12" i="13"/>
  <c r="G69" i="13"/>
  <c r="G29" i="67" s="1"/>
  <c r="G127" i="13"/>
  <c r="C23" i="38" s="1"/>
  <c r="D23" i="38" s="1"/>
  <c r="G70" i="13"/>
  <c r="G71" i="13"/>
  <c r="G68" i="13"/>
  <c r="H84" i="13" s="1"/>
  <c r="H116" i="13" s="1"/>
  <c r="H24" i="18" s="1"/>
  <c r="G21" i="67"/>
  <c r="G19" i="13"/>
  <c r="G53" i="13"/>
  <c r="G51" i="13"/>
  <c r="H110" i="62" s="1"/>
  <c r="G26" i="67" s="1"/>
  <c r="G54" i="13"/>
  <c r="G52" i="13"/>
  <c r="G79"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9" i="67" l="1"/>
  <c r="G114" i="67"/>
  <c r="G126" i="67"/>
  <c r="G100" i="67"/>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6" i="61" l="1"/>
  <c r="C19" i="38"/>
  <c r="G75" i="61"/>
  <c r="G98" i="67"/>
  <c r="G16" i="18"/>
  <c r="G59" i="67" s="1"/>
  <c r="C20"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H19" i="38" l="1"/>
  <c r="H20" i="38" s="1"/>
  <c r="I19" i="38"/>
  <c r="I20" i="38" s="1"/>
  <c r="G19" i="38"/>
  <c r="G20" i="38" s="1"/>
  <c r="J19" i="38"/>
  <c r="J20" i="38" s="1"/>
  <c r="K19" i="38"/>
  <c r="K20" i="38" s="1"/>
  <c r="N19" i="38"/>
  <c r="N20" i="38" s="1"/>
  <c r="O19" i="38"/>
  <c r="O20" i="38" s="1"/>
  <c r="R19" i="38"/>
  <c r="R20" i="38" s="1"/>
  <c r="M19" i="38"/>
  <c r="M20" i="38" s="1"/>
  <c r="P19" i="38"/>
  <c r="P20" i="38" s="1"/>
  <c r="Q19" i="38"/>
  <c r="Q20" i="38" s="1"/>
  <c r="L19" i="38"/>
  <c r="L20" i="38" s="1"/>
  <c r="G99" i="67"/>
  <c r="E242" i="35"/>
  <c r="E334" i="35" s="1"/>
  <c r="E311" i="35" s="1"/>
  <c r="E332" i="35"/>
  <c r="Q36" i="38" l="1"/>
  <c r="Q119" i="38"/>
  <c r="Q111" i="38"/>
  <c r="Q103" i="38"/>
  <c r="Q87" i="38"/>
  <c r="Q54" i="38"/>
  <c r="Q109" i="38"/>
  <c r="Q85" i="38"/>
  <c r="Q112" i="38"/>
  <c r="Q88" i="38"/>
  <c r="Q122" i="38"/>
  <c r="Q114" i="38"/>
  <c r="Q106" i="38"/>
  <c r="Q94" i="38"/>
  <c r="Q86" i="38"/>
  <c r="Q121" i="38"/>
  <c r="Q105" i="38"/>
  <c r="Q89" i="38"/>
  <c r="Q116" i="38"/>
  <c r="Q92" i="38"/>
  <c r="Q115" i="38"/>
  <c r="Q107" i="38"/>
  <c r="Q91" i="38"/>
  <c r="Q83" i="38"/>
  <c r="Q117" i="38"/>
  <c r="Q93" i="38"/>
  <c r="Q120" i="38"/>
  <c r="Q104" i="38"/>
  <c r="Q55" i="38"/>
  <c r="Q67" i="38" s="1"/>
  <c r="Q118" i="38"/>
  <c r="Q110" i="38"/>
  <c r="Q102" i="38"/>
  <c r="Q90" i="38"/>
  <c r="Q82" i="38"/>
  <c r="Q113" i="38"/>
  <c r="Q101" i="38"/>
  <c r="Q81" i="38"/>
  <c r="Q108" i="38"/>
  <c r="Q84" i="38"/>
  <c r="Q79" i="38"/>
  <c r="Q80" i="38"/>
  <c r="E309" i="35"/>
  <c r="E314" i="35" s="1"/>
  <c r="E337" i="35"/>
  <c r="Q95" i="38" l="1"/>
  <c r="J337" i="35"/>
  <c r="E339" i="35"/>
  <c r="J339" i="35" s="1"/>
  <c r="E316" i="35"/>
  <c r="J314" i="35"/>
  <c r="J316" i="35" s="1"/>
  <c r="A61" i="41" l="1"/>
  <c r="A60" i="41"/>
  <c r="A70" i="41"/>
  <c r="A68" i="41"/>
  <c r="A67" i="41"/>
  <c r="A66" i="41"/>
  <c r="A63" i="41"/>
  <c r="E51" i="38" l="1"/>
  <c r="A198" i="61" l="1"/>
  <c r="A199" i="61"/>
  <c r="A200" i="61"/>
  <c r="A201" i="61"/>
  <c r="F17" i="46"/>
  <c r="F21" i="46" s="1"/>
  <c r="F20" i="46" s="1"/>
  <c r="F14" i="46"/>
  <c r="A46" i="38"/>
  <c r="F23" i="46" l="1"/>
  <c r="F41" i="46" s="1"/>
  <c r="B258" i="62"/>
  <c r="B257" i="62"/>
  <c r="B256" i="62"/>
  <c r="B255" i="62"/>
  <c r="B251" i="62"/>
  <c r="B250" i="62"/>
  <c r="B249" i="62"/>
  <c r="B247" i="62"/>
  <c r="B248" i="62"/>
  <c r="A15" i="45" l="1"/>
  <c r="C69" i="62"/>
  <c r="L14" i="46" l="1"/>
  <c r="K14" i="46"/>
  <c r="J14" i="46"/>
  <c r="I14" i="46"/>
  <c r="H14" i="46"/>
  <c r="G14" i="46"/>
  <c r="A14" i="46"/>
  <c r="A13" i="46"/>
  <c r="A23" i="45"/>
  <c r="A22" i="45"/>
  <c r="A20" i="45"/>
  <c r="A19" i="45"/>
  <c r="A18" i="45"/>
  <c r="A17" i="45"/>
  <c r="A42" i="45"/>
  <c r="A43" i="45"/>
  <c r="A44" i="45"/>
  <c r="A45" i="45"/>
  <c r="A46" i="45"/>
  <c r="A47" i="45"/>
  <c r="A100" i="41"/>
  <c r="A99" i="41"/>
  <c r="A98" i="41"/>
  <c r="A90" i="41"/>
  <c r="A89" i="41"/>
  <c r="A84" i="41"/>
  <c r="A83" i="41"/>
  <c r="A82" i="41"/>
  <c r="A81" i="41"/>
  <c r="A62" i="41"/>
  <c r="A59" i="41"/>
  <c r="A58" i="41"/>
  <c r="A54" i="41"/>
  <c r="A53" i="41"/>
  <c r="A52" i="41"/>
  <c r="A51" i="41"/>
  <c r="A50" i="41"/>
  <c r="A49" i="41"/>
  <c r="A89" i="45" l="1"/>
  <c r="A88" i="45"/>
  <c r="A87" i="45"/>
  <c r="A86" i="45"/>
  <c r="A85" i="45"/>
  <c r="A84" i="45"/>
  <c r="A83" i="45"/>
  <c r="A82" i="45"/>
  <c r="A81" i="45"/>
  <c r="A80" i="45"/>
  <c r="A76" i="45"/>
  <c r="A75" i="45"/>
  <c r="A72" i="45"/>
  <c r="A70" i="45"/>
  <c r="A69" i="45"/>
  <c r="A68" i="45"/>
  <c r="A66" i="45"/>
  <c r="A65" i="45"/>
  <c r="A64" i="45"/>
  <c r="A59" i="45"/>
  <c r="A58" i="45"/>
  <c r="A57" i="45"/>
  <c r="A56" i="45"/>
  <c r="A55" i="45"/>
  <c r="A54" i="45"/>
  <c r="A53" i="45"/>
  <c r="A52" i="45"/>
  <c r="A51"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A88" i="18"/>
  <c r="A87" i="18"/>
  <c r="A86" i="18"/>
  <c r="A85" i="18"/>
  <c r="A84" i="18"/>
  <c r="A83" i="18"/>
  <c r="A82" i="18"/>
  <c r="A81" i="18"/>
  <c r="A63" i="18"/>
  <c r="A62" i="18"/>
  <c r="A61" i="18"/>
  <c r="A60" i="18"/>
  <c r="A55" i="18"/>
  <c r="A54" i="18"/>
  <c r="A52"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50" i="38"/>
  <c r="A49" i="38"/>
  <c r="A48" i="38"/>
  <c r="A47" i="38"/>
  <c r="A45" i="38"/>
  <c r="A44" i="38"/>
  <c r="A43" i="38"/>
  <c r="A42" i="38"/>
  <c r="A41" i="38"/>
  <c r="A40" i="38"/>
  <c r="A39" i="38"/>
  <c r="A38" i="38"/>
  <c r="A37" i="38"/>
  <c r="A36" i="38"/>
  <c r="A35" i="38"/>
  <c r="A34" i="38"/>
  <c r="A33" i="38"/>
  <c r="A32" i="38"/>
  <c r="A31" i="38"/>
  <c r="A30" i="38"/>
  <c r="A29" i="38"/>
  <c r="A28" i="38"/>
  <c r="A27" i="38"/>
  <c r="A26" i="38"/>
  <c r="A25" i="38"/>
  <c r="A24" i="38"/>
  <c r="A22" i="38"/>
  <c r="A21" i="38"/>
  <c r="A20" i="38"/>
  <c r="A19" i="38"/>
  <c r="A18" i="38"/>
  <c r="A197" i="61"/>
  <c r="A196" i="61"/>
  <c r="A195" i="61"/>
  <c r="A194" i="61"/>
  <c r="A193" i="61"/>
  <c r="A192" i="61"/>
  <c r="A191" i="61"/>
  <c r="A190" i="61"/>
  <c r="A189" i="61"/>
  <c r="A188" i="61"/>
  <c r="A187" i="61"/>
  <c r="A186" i="61"/>
  <c r="A185" i="61"/>
  <c r="A184"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8" i="61"/>
  <c r="A156" i="61"/>
  <c r="A155" i="61"/>
  <c r="A154" i="61"/>
  <c r="A153" i="61"/>
  <c r="A152" i="61"/>
  <c r="A151" i="61"/>
  <c r="A150" i="61"/>
  <c r="A149" i="61"/>
  <c r="A148" i="61"/>
  <c r="A147" i="61"/>
  <c r="A146" i="61"/>
  <c r="A145" i="61"/>
  <c r="A144" i="61"/>
  <c r="A142" i="61"/>
  <c r="A110" i="61"/>
  <c r="A109" i="61"/>
  <c r="A108" i="61"/>
  <c r="A107" i="61"/>
  <c r="A106" i="61"/>
  <c r="A105" i="61"/>
  <c r="A104" i="61"/>
  <c r="A103" i="61"/>
  <c r="A99" i="61"/>
  <c r="A98" i="61"/>
  <c r="A97" i="61"/>
  <c r="A96" i="61"/>
  <c r="A95" i="61"/>
  <c r="A94" i="61"/>
  <c r="A93" i="61"/>
  <c r="A92" i="61"/>
  <c r="A91" i="61"/>
  <c r="A90" i="61"/>
  <c r="A89" i="61"/>
  <c r="A88" i="61"/>
  <c r="A87" i="61"/>
  <c r="A86" i="61"/>
  <c r="A85" i="61"/>
  <c r="A84" i="61"/>
  <c r="A83" i="61"/>
  <c r="A82" i="61"/>
  <c r="A81" i="61"/>
  <c r="A80" i="61"/>
  <c r="A78" i="61"/>
  <c r="A77" i="61"/>
  <c r="A76" i="61"/>
  <c r="A75" i="61"/>
  <c r="A74" i="61"/>
  <c r="A73" i="61"/>
  <c r="A72" i="61"/>
  <c r="A71" i="61"/>
  <c r="A70" i="61"/>
  <c r="A69" i="61"/>
  <c r="A68" i="61"/>
  <c r="A67" i="61"/>
  <c r="A66" i="61"/>
  <c r="A65"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74" i="62"/>
  <c r="A473" i="62"/>
  <c r="A472" i="62"/>
  <c r="A471" i="62"/>
  <c r="A470" i="62"/>
  <c r="A469" i="62"/>
  <c r="A468" i="62"/>
  <c r="A462" i="62"/>
  <c r="A461" i="62"/>
  <c r="A460" i="62"/>
  <c r="A459" i="62"/>
  <c r="A458" i="62"/>
  <c r="A457" i="62"/>
  <c r="A456" i="62"/>
  <c r="A455" i="62"/>
  <c r="A454" i="62"/>
  <c r="A453" i="62"/>
  <c r="A452" i="62"/>
  <c r="A451" i="62"/>
  <c r="A450" i="62"/>
  <c r="A449" i="62"/>
  <c r="A448" i="62"/>
  <c r="A447" i="62"/>
  <c r="A446" i="62"/>
  <c r="A445" i="62"/>
  <c r="A444" i="62"/>
  <c r="A443" i="62"/>
  <c r="A442" i="62"/>
  <c r="A44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2" i="62"/>
  <c r="A131" i="62"/>
  <c r="A130" i="62"/>
  <c r="A129" i="62"/>
  <c r="A128" i="62"/>
  <c r="A127" i="62"/>
  <c r="A126" i="62"/>
  <c r="A125" i="62"/>
  <c r="A124" i="62"/>
  <c r="A123" i="62"/>
  <c r="A122" i="62"/>
  <c r="A121" i="62"/>
  <c r="A120" i="62"/>
  <c r="A119" i="62"/>
  <c r="A118" i="62"/>
  <c r="A117" i="62"/>
  <c r="A116" i="62"/>
  <c r="A115" i="62"/>
  <c r="A114" i="62"/>
  <c r="A113" i="62"/>
  <c r="A112"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79"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1" i="62"/>
  <c r="A30" i="62"/>
  <c r="A29" i="62"/>
  <c r="A28" i="62"/>
  <c r="A27" i="62"/>
  <c r="A26" i="62"/>
  <c r="A25" i="62"/>
  <c r="A24"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2" i="13"/>
  <c r="A11" i="13"/>
  <c r="E23" i="47" l="1"/>
  <c r="L36" i="13" l="1"/>
  <c r="K36" i="13"/>
  <c r="J36" i="13"/>
  <c r="I36" i="13"/>
  <c r="G130" i="13"/>
  <c r="H36" i="13"/>
  <c r="A2" i="63"/>
  <c r="A4" i="63"/>
  <c r="H39" i="13" l="1"/>
  <c r="H173" i="61"/>
  <c r="H174" i="61" s="1"/>
  <c r="H12" i="13"/>
  <c r="I173" i="61"/>
  <c r="I174" i="61" s="1"/>
  <c r="I175" i="61" s="1"/>
  <c r="I12" i="13"/>
  <c r="K173" i="61"/>
  <c r="K174" i="61" s="1"/>
  <c r="K175" i="61" s="1"/>
  <c r="K12" i="13"/>
  <c r="J173" i="61"/>
  <c r="J174" i="61" s="1"/>
  <c r="J175" i="61" s="1"/>
  <c r="J12" i="13"/>
  <c r="L39" i="13"/>
  <c r="L173" i="61"/>
  <c r="L174" i="61" s="1"/>
  <c r="L175" i="61" s="1"/>
  <c r="L12" i="13"/>
  <c r="I39" i="13"/>
  <c r="K39" i="13"/>
  <c r="J39" i="13"/>
  <c r="H88" i="13"/>
  <c r="H114" i="13" s="1"/>
  <c r="H38" i="13"/>
  <c r="I88" i="13"/>
  <c r="I114" i="13" s="1"/>
  <c r="I38" i="13"/>
  <c r="K88" i="13"/>
  <c r="K114" i="13" s="1"/>
  <c r="K38" i="13"/>
  <c r="J88" i="13"/>
  <c r="J114" i="13" s="1"/>
  <c r="J38" i="13"/>
  <c r="L88" i="13"/>
  <c r="L114" i="13" s="1"/>
  <c r="L38" i="13"/>
  <c r="H21" i="67"/>
  <c r="H127" i="13"/>
  <c r="K21" i="67"/>
  <c r="K127" i="13"/>
  <c r="L21" i="67"/>
  <c r="L127" i="13"/>
  <c r="I21" i="67"/>
  <c r="I127" i="13"/>
  <c r="J21" i="67"/>
  <c r="J127" i="13"/>
  <c r="H54" i="13"/>
  <c r="H51" i="13"/>
  <c r="I110" i="62" s="1"/>
  <c r="H26" i="67" s="1"/>
  <c r="H53" i="13"/>
  <c r="H52" i="13"/>
  <c r="K54" i="13"/>
  <c r="K51" i="13"/>
  <c r="L110" i="62" s="1"/>
  <c r="K26" i="67" s="1"/>
  <c r="K53" i="13"/>
  <c r="K52" i="13"/>
  <c r="L51" i="13"/>
  <c r="M110" i="62" s="1"/>
  <c r="L26" i="67" s="1"/>
  <c r="L54" i="13"/>
  <c r="L52" i="13"/>
  <c r="L53" i="13"/>
  <c r="I51" i="13"/>
  <c r="J110" i="62" s="1"/>
  <c r="I26" i="67" s="1"/>
  <c r="I52" i="13"/>
  <c r="I54" i="13"/>
  <c r="I53" i="13"/>
  <c r="J51" i="13"/>
  <c r="K110" i="62" s="1"/>
  <c r="J26" i="67" s="1"/>
  <c r="J52" i="13"/>
  <c r="J53" i="13"/>
  <c r="J54" i="13"/>
  <c r="H68" i="13"/>
  <c r="I84" i="13" s="1"/>
  <c r="I116" i="13" s="1"/>
  <c r="I24" i="18" s="1"/>
  <c r="H79" i="61"/>
  <c r="K68" i="13"/>
  <c r="L84" i="13" s="1"/>
  <c r="L116" i="13" s="1"/>
  <c r="L24" i="18" s="1"/>
  <c r="K79" i="61"/>
  <c r="L68" i="13"/>
  <c r="L79" i="61"/>
  <c r="I68" i="13"/>
  <c r="J84" i="13" s="1"/>
  <c r="J116" i="13" s="1"/>
  <c r="J24" i="18" s="1"/>
  <c r="I79" i="61"/>
  <c r="J68" i="13"/>
  <c r="K84" i="13" s="1"/>
  <c r="K116" i="13" s="1"/>
  <c r="K24" i="18" s="1"/>
  <c r="J79" i="61"/>
  <c r="L111" i="13"/>
  <c r="J111" i="13"/>
  <c r="H111" i="13"/>
  <c r="K111" i="13"/>
  <c r="I111" i="13"/>
  <c r="G128" i="13"/>
  <c r="G132" i="13"/>
  <c r="G126" i="13"/>
  <c r="G18" i="18" s="1"/>
  <c r="G131" i="13"/>
  <c r="G125" i="13"/>
  <c r="J176" i="61" l="1"/>
  <c r="C26" i="67"/>
  <c r="I9" i="67"/>
  <c r="K9" i="67"/>
  <c r="J114" i="67"/>
  <c r="J9" i="67"/>
  <c r="L114" i="67"/>
  <c r="L9" i="67"/>
  <c r="H24" i="67"/>
  <c r="H9" i="67"/>
  <c r="K176" i="61"/>
  <c r="L176" i="61"/>
  <c r="L126" i="67"/>
  <c r="H114" i="67"/>
  <c r="H126" i="67"/>
  <c r="I24" i="67"/>
  <c r="J126" i="67"/>
  <c r="C21" i="67"/>
  <c r="H100" i="67"/>
  <c r="K24" i="67"/>
  <c r="J24" i="67"/>
  <c r="L24" i="67"/>
  <c r="I114" i="67"/>
  <c r="I126" i="67"/>
  <c r="K114" i="67"/>
  <c r="C127" i="13"/>
  <c r="K126" i="67"/>
  <c r="J100" i="67"/>
  <c r="I100" i="67"/>
  <c r="K100" i="67"/>
  <c r="L100" i="67"/>
  <c r="M470" i="62"/>
  <c r="M26" i="62" s="1"/>
  <c r="L470" i="62"/>
  <c r="L26" i="62" s="1"/>
  <c r="K470" i="62"/>
  <c r="K26" i="62" s="1"/>
  <c r="H470" i="62"/>
  <c r="H26" i="62" s="1"/>
  <c r="G470" i="62"/>
  <c r="G26" i="62" s="1"/>
  <c r="C24" i="67" l="1"/>
  <c r="C126" i="67"/>
  <c r="C114" i="67"/>
  <c r="C100" i="67"/>
  <c r="L56" i="13"/>
  <c r="K56" i="13"/>
  <c r="J56" i="13"/>
  <c r="H56" i="13"/>
  <c r="I56" i="13"/>
  <c r="L83" i="18"/>
  <c r="K83" i="18"/>
  <c r="J83" i="18"/>
  <c r="I83" i="18"/>
  <c r="H83" i="18"/>
  <c r="G83" i="18"/>
  <c r="F83" i="18"/>
  <c r="J470" i="62" l="1"/>
  <c r="J26" i="62" s="1"/>
  <c r="I470" i="62"/>
  <c r="I26" i="62" s="1"/>
  <c r="L30" i="18" l="1"/>
  <c r="L73" i="67" s="1"/>
  <c r="K30" i="18"/>
  <c r="K73" i="67" s="1"/>
  <c r="J30" i="18"/>
  <c r="J73" i="67" s="1"/>
  <c r="I30" i="18"/>
  <c r="I73" i="67" s="1"/>
  <c r="H30" i="18"/>
  <c r="H73" i="67" s="1"/>
  <c r="G30" i="18"/>
  <c r="G73" i="67" s="1"/>
  <c r="F30" i="18"/>
  <c r="F73" i="67" s="1"/>
  <c r="C142" i="13"/>
  <c r="C141" i="13"/>
  <c r="C140" i="13"/>
  <c r="C139" i="13"/>
  <c r="C138" i="13"/>
  <c r="C137" i="13"/>
  <c r="C135" i="13"/>
  <c r="C133" i="13"/>
  <c r="F181" i="61"/>
  <c r="F184" i="61" s="1"/>
  <c r="F50" i="18" s="1"/>
  <c r="I107" i="67" l="1"/>
  <c r="J107" i="67"/>
  <c r="K107" i="67"/>
  <c r="G107" i="67"/>
  <c r="H107" i="67"/>
  <c r="L107" i="67"/>
  <c r="D30" i="18"/>
  <c r="C30" i="18"/>
  <c r="C63" i="18"/>
  <c r="C107" i="67" l="1"/>
  <c r="F197" i="61"/>
  <c r="L197" i="61"/>
  <c r="L90" i="61" s="1"/>
  <c r="K197" i="61"/>
  <c r="K90" i="61" s="1"/>
  <c r="J197" i="61"/>
  <c r="J90" i="61" s="1"/>
  <c r="I197" i="61"/>
  <c r="I90" i="61" s="1"/>
  <c r="H197" i="61"/>
  <c r="G197" i="61"/>
  <c r="G90" i="61" l="1"/>
  <c r="C45" i="38"/>
  <c r="C197" i="61"/>
  <c r="H90" i="61"/>
  <c r="A4" i="66"/>
  <c r="G31" i="46" l="1"/>
  <c r="G34" i="46"/>
  <c r="G32" i="46"/>
  <c r="G30" i="46"/>
  <c r="G25" i="46"/>
  <c r="G29" i="46"/>
  <c r="H29" i="46" s="1"/>
  <c r="I29" i="46" s="1"/>
  <c r="J29" i="46" s="1"/>
  <c r="K29" i="46" s="1"/>
  <c r="L29" i="46" s="1"/>
  <c r="E29" i="46" s="1"/>
  <c r="G28" i="46"/>
  <c r="H28" i="46" s="1"/>
  <c r="I28" i="46" s="1"/>
  <c r="J28" i="46" s="1"/>
  <c r="K28" i="46" s="1"/>
  <c r="L28" i="46" s="1"/>
  <c r="E28" i="46" l="1"/>
  <c r="E7" i="39"/>
  <c r="I12" i="48"/>
  <c r="G10" i="13"/>
  <c r="F10" i="45" l="1"/>
  <c r="C80" i="62"/>
  <c r="G11" i="13"/>
  <c r="R131" i="38"/>
  <c r="P131" i="38"/>
  <c r="O131" i="38"/>
  <c r="N131" i="38"/>
  <c r="M131" i="38"/>
  <c r="L131" i="38"/>
  <c r="K131" i="38"/>
  <c r="J131" i="38"/>
  <c r="I131" i="38"/>
  <c r="H131" i="38"/>
  <c r="G131" i="38"/>
  <c r="F131"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G48"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6" i="63"/>
  <c r="F79" i="46" s="1"/>
  <c r="D6" i="63"/>
  <c r="G79" i="46" s="1"/>
  <c r="E35" i="46" l="1"/>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I32" i="46"/>
  <c r="I25" i="46"/>
  <c r="I31" i="46"/>
  <c r="I30" i="46"/>
  <c r="K11" i="18" l="1"/>
  <c r="J25" i="46"/>
  <c r="J31" i="46"/>
  <c r="J30" i="46"/>
  <c r="J32" i="46"/>
  <c r="C165" i="61"/>
  <c r="C167" i="61" s="1"/>
  <c r="C169" i="61" s="1"/>
  <c r="G84" i="61"/>
  <c r="H84" i="61"/>
  <c r="I84" i="61"/>
  <c r="J84" i="61"/>
  <c r="K84" i="61"/>
  <c r="L84" i="61"/>
  <c r="G87" i="61"/>
  <c r="H87" i="61"/>
  <c r="I87" i="61"/>
  <c r="J87" i="61"/>
  <c r="K87" i="61"/>
  <c r="L87" i="61"/>
  <c r="G89" i="61"/>
  <c r="H89" i="61"/>
  <c r="I89" i="61"/>
  <c r="J89" i="61"/>
  <c r="K89" i="61"/>
  <c r="L89" i="61"/>
  <c r="H103" i="61"/>
  <c r="I103" i="61"/>
  <c r="J103" i="61"/>
  <c r="K103" i="61"/>
  <c r="L103" i="61"/>
  <c r="H104" i="61"/>
  <c r="I104" i="61"/>
  <c r="J104" i="61"/>
  <c r="K104" i="61"/>
  <c r="L104" i="61"/>
  <c r="F106" i="61"/>
  <c r="F107" i="61" s="1"/>
  <c r="F145" i="61"/>
  <c r="G150" i="61"/>
  <c r="H150" i="61"/>
  <c r="I150" i="61"/>
  <c r="J150" i="61"/>
  <c r="K150" i="61"/>
  <c r="L150" i="61"/>
  <c r="G151" i="61"/>
  <c r="H151" i="61"/>
  <c r="I151" i="61"/>
  <c r="J151" i="61"/>
  <c r="K151" i="61"/>
  <c r="L151" i="61"/>
  <c r="F153" i="61"/>
  <c r="H8" i="62"/>
  <c r="C59" i="62"/>
  <c r="B246" i="62"/>
  <c r="B254" i="62"/>
  <c r="B261"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B291" i="62"/>
  <c r="B292" i="62"/>
  <c r="B293" i="62"/>
  <c r="B294" i="62"/>
  <c r="B295" i="62"/>
  <c r="B300" i="62"/>
  <c r="B302" i="62"/>
  <c r="B303" i="62"/>
  <c r="B304" i="62"/>
  <c r="C305" i="62"/>
  <c r="B306" i="62"/>
  <c r="B307" i="62"/>
  <c r="B308" i="62"/>
  <c r="B309" i="62"/>
  <c r="B310" i="62"/>
  <c r="C311" i="62"/>
  <c r="B312" i="62"/>
  <c r="B313" i="62"/>
  <c r="B314" i="62"/>
  <c r="B315" i="62"/>
  <c r="B316" i="62"/>
  <c r="C317" i="62"/>
  <c r="B318" i="62"/>
  <c r="B319" i="62"/>
  <c r="B320" i="62"/>
  <c r="B321" i="62"/>
  <c r="B322" i="62"/>
  <c r="C323" i="62"/>
  <c r="B324" i="62"/>
  <c r="B325" i="62"/>
  <c r="B326" i="62"/>
  <c r="B327" i="62"/>
  <c r="B328" i="62"/>
  <c r="C329" i="62"/>
  <c r="B330" i="62"/>
  <c r="B331" i="62"/>
  <c r="B332" i="62"/>
  <c r="B333" i="62"/>
  <c r="B334" i="62"/>
  <c r="C335" i="62"/>
  <c r="B336" i="62"/>
  <c r="B337" i="62"/>
  <c r="B338" i="62"/>
  <c r="B339" i="62"/>
  <c r="B340" i="62"/>
  <c r="C341" i="62"/>
  <c r="B342" i="62"/>
  <c r="B343" i="62"/>
  <c r="B344" i="62"/>
  <c r="B345" i="62"/>
  <c r="B346" i="62"/>
  <c r="C347" i="62"/>
  <c r="B348" i="62"/>
  <c r="B349" i="62"/>
  <c r="B350" i="62"/>
  <c r="B351" i="62"/>
  <c r="B352" i="62"/>
  <c r="B353" i="62"/>
  <c r="C354" i="62"/>
  <c r="B355" i="62"/>
  <c r="B356" i="62"/>
  <c r="B357" i="62"/>
  <c r="B358" i="62"/>
  <c r="B359" i="62"/>
  <c r="C360" i="62"/>
  <c r="B361" i="62"/>
  <c r="B362" i="62"/>
  <c r="B363" i="62"/>
  <c r="B364" i="62"/>
  <c r="B365" i="62"/>
  <c r="C366" i="62"/>
  <c r="B367" i="62"/>
  <c r="B368" i="62"/>
  <c r="B369" i="62"/>
  <c r="B370" i="62"/>
  <c r="B371" i="62"/>
  <c r="C372" i="62"/>
  <c r="B373" i="62"/>
  <c r="B374" i="62"/>
  <c r="B375" i="62"/>
  <c r="B376" i="62"/>
  <c r="B377" i="62"/>
  <c r="C378" i="62"/>
  <c r="B379" i="62"/>
  <c r="B380" i="62"/>
  <c r="B381" i="62"/>
  <c r="B382" i="62"/>
  <c r="B383" i="62"/>
  <c r="C384" i="62"/>
  <c r="B385" i="62"/>
  <c r="B386" i="62"/>
  <c r="B387" i="62"/>
  <c r="B388" i="62"/>
  <c r="B389" i="62"/>
  <c r="C390" i="62"/>
  <c r="B391" i="62"/>
  <c r="B392" i="62"/>
  <c r="B393" i="62"/>
  <c r="B394" i="62"/>
  <c r="B395" i="62"/>
  <c r="H445" i="62"/>
  <c r="I445" i="62"/>
  <c r="J445" i="62"/>
  <c r="K445" i="62"/>
  <c r="L445" i="62"/>
  <c r="M445" i="62"/>
  <c r="G449" i="62"/>
  <c r="H449" i="62"/>
  <c r="I449" i="62"/>
  <c r="J449" i="62"/>
  <c r="K449" i="62"/>
  <c r="L449" i="62"/>
  <c r="M449" i="62"/>
  <c r="G453" i="62"/>
  <c r="H453" i="62"/>
  <c r="I453" i="62"/>
  <c r="J453" i="62" s="1"/>
  <c r="G457" i="62"/>
  <c r="H457" i="62"/>
  <c r="I457" i="62"/>
  <c r="J457" i="62"/>
  <c r="K457" i="62"/>
  <c r="L457" i="62"/>
  <c r="M457" i="62"/>
  <c r="G461" i="62"/>
  <c r="H461" i="62"/>
  <c r="I461" i="62"/>
  <c r="J461" i="62"/>
  <c r="K461" i="62"/>
  <c r="L461" i="62"/>
  <c r="M461" i="62"/>
  <c r="A2" i="62"/>
  <c r="L31" i="61"/>
  <c r="K31" i="61"/>
  <c r="J31" i="61"/>
  <c r="J39" i="61" s="1"/>
  <c r="I31" i="61"/>
  <c r="H31" i="61"/>
  <c r="G31" i="61"/>
  <c r="H9" i="61"/>
  <c r="I9" i="61" s="1"/>
  <c r="G6" i="61"/>
  <c r="G10" i="61" s="1"/>
  <c r="F10" i="61" s="1"/>
  <c r="A2" i="61"/>
  <c r="H463" i="62" l="1"/>
  <c r="H465" i="62" s="1"/>
  <c r="I463" i="62"/>
  <c r="I465" i="62" s="1"/>
  <c r="G463" i="62"/>
  <c r="G465" i="62" s="1"/>
  <c r="H50" i="62"/>
  <c r="H7" i="62"/>
  <c r="G50" i="62"/>
  <c r="G7" i="62"/>
  <c r="K453" i="62"/>
  <c r="K468" i="62" s="1"/>
  <c r="J463" i="62"/>
  <c r="J465" i="62" s="1"/>
  <c r="L11" i="46"/>
  <c r="L11" i="18" s="1"/>
  <c r="K31" i="46"/>
  <c r="K30" i="46"/>
  <c r="K32" i="46"/>
  <c r="K25" i="46"/>
  <c r="C28" i="63"/>
  <c r="G145" i="61"/>
  <c r="H145" i="61"/>
  <c r="J37" i="61"/>
  <c r="G7" i="61"/>
  <c r="J41" i="61"/>
  <c r="G468" i="62"/>
  <c r="C171" i="61"/>
  <c r="G34" i="61"/>
  <c r="I145" i="61"/>
  <c r="I468" i="62"/>
  <c r="H468" i="62"/>
  <c r="J468" i="62"/>
  <c r="K145" i="61"/>
  <c r="J145" i="61"/>
  <c r="G11" i="61"/>
  <c r="F11" i="61" s="1"/>
  <c r="F199" i="61" s="1"/>
  <c r="F201" i="61" s="1"/>
  <c r="F203" i="61" s="1"/>
  <c r="F46" i="18" s="1"/>
  <c r="H34" i="61"/>
  <c r="G37" i="61"/>
  <c r="K37" i="61"/>
  <c r="G39" i="61"/>
  <c r="K39" i="61"/>
  <c r="G41" i="61"/>
  <c r="K41" i="61"/>
  <c r="H37" i="61"/>
  <c r="L37" i="61"/>
  <c r="H39" i="61"/>
  <c r="L39" i="61"/>
  <c r="H41" i="61"/>
  <c r="L41" i="61"/>
  <c r="J9" i="61"/>
  <c r="I37" i="61"/>
  <c r="I39" i="61"/>
  <c r="I41" i="61"/>
  <c r="L453" i="62" l="1"/>
  <c r="K463" i="62"/>
  <c r="K465" i="62" s="1"/>
  <c r="L30" i="46"/>
  <c r="E30" i="46" s="1"/>
  <c r="L32" i="46"/>
  <c r="E32" i="46" s="1"/>
  <c r="L25" i="46"/>
  <c r="L31" i="46"/>
  <c r="E31" i="46" s="1"/>
  <c r="C16" i="63"/>
  <c r="L145" i="61"/>
  <c r="H10" i="61"/>
  <c r="K9" i="61"/>
  <c r="M453" i="62" l="1"/>
  <c r="L463" i="62"/>
  <c r="L465" i="62" s="1"/>
  <c r="L468" i="62"/>
  <c r="F47" i="61"/>
  <c r="L9" i="61"/>
  <c r="H11" i="61"/>
  <c r="F49" i="47"/>
  <c r="F50" i="47" s="1"/>
  <c r="L49" i="46"/>
  <c r="K49" i="46"/>
  <c r="J49" i="46"/>
  <c r="I49" i="46"/>
  <c r="H49" i="46"/>
  <c r="G49" i="46"/>
  <c r="L17" i="46"/>
  <c r="K17" i="46"/>
  <c r="J17" i="46"/>
  <c r="I17" i="46"/>
  <c r="H17" i="46"/>
  <c r="G17" i="46"/>
  <c r="L29" i="18"/>
  <c r="L72" i="67" s="1"/>
  <c r="K29" i="18"/>
  <c r="K72" i="67" s="1"/>
  <c r="J29" i="18"/>
  <c r="J72" i="67" s="1"/>
  <c r="I29" i="18"/>
  <c r="I72" i="67" s="1"/>
  <c r="H29" i="18"/>
  <c r="H72" i="67" s="1"/>
  <c r="G29" i="18"/>
  <c r="G72" i="67" s="1"/>
  <c r="F29" i="18"/>
  <c r="F72" i="67" s="1"/>
  <c r="L20" i="18"/>
  <c r="K20" i="18"/>
  <c r="J20" i="18"/>
  <c r="I20" i="18"/>
  <c r="H20" i="18"/>
  <c r="G20" i="18"/>
  <c r="F20" i="18"/>
  <c r="F63" i="67" s="1"/>
  <c r="H9" i="13"/>
  <c r="E6" i="63" s="1"/>
  <c r="H79" i="46" s="1"/>
  <c r="M463" i="62" l="1"/>
  <c r="M465" i="62" s="1"/>
  <c r="M468" i="62"/>
  <c r="C468" i="62" s="1"/>
  <c r="D29" i="18"/>
  <c r="D20" i="18"/>
  <c r="I8" i="62"/>
  <c r="I9" i="13"/>
  <c r="F6" i="63" s="1"/>
  <c r="I79" i="46" s="1"/>
  <c r="I10" i="61"/>
  <c r="C29" i="18"/>
  <c r="C20" i="18"/>
  <c r="I50" i="62" l="1"/>
  <c r="I7" i="62"/>
  <c r="J8" i="62"/>
  <c r="J9" i="13"/>
  <c r="G6" i="63" s="1"/>
  <c r="J79" i="46" s="1"/>
  <c r="I11" i="61"/>
  <c r="J50" i="62" l="1"/>
  <c r="J7" i="62"/>
  <c r="K9" i="13"/>
  <c r="H6" i="63" s="1"/>
  <c r="K79" i="46" s="1"/>
  <c r="K8" i="62"/>
  <c r="J10" i="61"/>
  <c r="F43" i="34"/>
  <c r="C24" i="63" s="1"/>
  <c r="K50" i="62" l="1"/>
  <c r="K7" i="62"/>
  <c r="L8" i="62"/>
  <c r="L50" i="62" s="1"/>
  <c r="L9" i="13"/>
  <c r="I6" i="63" s="1"/>
  <c r="L79" i="46" s="1"/>
  <c r="F64" i="34"/>
  <c r="J11" i="61"/>
  <c r="M8" i="62" l="1"/>
  <c r="M50" i="62" s="1"/>
  <c r="K10" i="61"/>
  <c r="A5" i="57"/>
  <c r="A2" i="57"/>
  <c r="N39" i="55"/>
  <c r="M39" i="55"/>
  <c r="L39" i="55"/>
  <c r="K39" i="55"/>
  <c r="J39" i="55"/>
  <c r="I39" i="55"/>
  <c r="N26" i="55"/>
  <c r="M26" i="55"/>
  <c r="L26" i="55"/>
  <c r="K26" i="55"/>
  <c r="J26" i="55"/>
  <c r="I26" i="55"/>
  <c r="K11" i="55"/>
  <c r="L11" i="55" s="1"/>
  <c r="M11" i="55" s="1"/>
  <c r="N11" i="55" s="1"/>
  <c r="K11" i="61" l="1"/>
  <c r="L10" i="61" l="1"/>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I35" i="53"/>
  <c r="M12" i="53"/>
  <c r="G12" i="53"/>
  <c r="K21" i="46"/>
  <c r="J23" i="46"/>
  <c r="J45" i="46" s="1"/>
  <c r="I36" i="53"/>
  <c r="I37" i="53" s="1"/>
  <c r="G43" i="48"/>
  <c r="G42" i="48"/>
  <c r="G41" i="48"/>
  <c r="G40" i="48"/>
  <c r="G39" i="48"/>
  <c r="G38" i="48"/>
  <c r="G37" i="48"/>
  <c r="G36" i="48"/>
  <c r="H44" i="48"/>
  <c r="C32" i="63" s="1"/>
  <c r="I38" i="53" l="1"/>
  <c r="I40" i="53"/>
  <c r="I39" i="53"/>
  <c r="G38" i="53"/>
  <c r="G39" i="53"/>
  <c r="G40" i="53"/>
  <c r="L21" i="46"/>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2" i="67" l="1"/>
  <c r="I13" i="67" s="1"/>
  <c r="I51" i="67"/>
  <c r="I52" i="67" s="1"/>
  <c r="G12" i="67"/>
  <c r="G13" i="67" s="1"/>
  <c r="G51" i="67"/>
  <c r="K12" i="67"/>
  <c r="K13" i="67" s="1"/>
  <c r="K51" i="67"/>
  <c r="K52" i="67" s="1"/>
  <c r="J12" i="67"/>
  <c r="J13" i="67" s="1"/>
  <c r="J51" i="67"/>
  <c r="J52" i="67" s="1"/>
  <c r="L12" i="67"/>
  <c r="L13" i="67" s="1"/>
  <c r="L51" i="67"/>
  <c r="L52" i="67" s="1"/>
  <c r="H12" i="67"/>
  <c r="H13" i="67" s="1"/>
  <c r="H51" i="67"/>
  <c r="H52" i="67" s="1"/>
  <c r="H40" i="46"/>
  <c r="C51" i="67" l="1"/>
  <c r="G52" i="67"/>
  <c r="C52" i="67" s="1"/>
  <c r="I40" i="46"/>
  <c r="F51" i="47"/>
  <c r="E47" i="47"/>
  <c r="E46" i="47"/>
  <c r="E45" i="47"/>
  <c r="E44" i="47"/>
  <c r="E43" i="47"/>
  <c r="E42" i="47"/>
  <c r="E41" i="47"/>
  <c r="E15" i="47"/>
  <c r="E14" i="47"/>
  <c r="F52" i="18" l="1"/>
  <c r="C30" i="63"/>
  <c r="J40" i="46"/>
  <c r="F6" i="34"/>
  <c r="F58" i="34" s="1"/>
  <c r="C34" i="63" l="1"/>
  <c r="K40" i="46"/>
  <c r="D26" i="41"/>
  <c r="D25" i="41"/>
  <c r="D24" i="41"/>
  <c r="D23" i="41"/>
  <c r="D22" i="41"/>
  <c r="D21" i="41"/>
  <c r="D20" i="41"/>
  <c r="D19" i="41"/>
  <c r="D18" i="41"/>
  <c r="D17" i="41"/>
  <c r="D16" i="41"/>
  <c r="D15" i="41"/>
  <c r="D14" i="41"/>
  <c r="D12" i="41"/>
  <c r="D11" i="41" l="1"/>
  <c r="L40" i="46"/>
  <c r="D27" i="41"/>
  <c r="C12" i="52" l="1"/>
  <c r="D12" i="52" s="1"/>
  <c r="H101" i="41" l="1"/>
  <c r="I101" i="41" s="1"/>
  <c r="H71" i="41"/>
  <c r="I71" i="41" l="1"/>
  <c r="F6" i="46"/>
  <c r="L98" i="46"/>
  <c r="K98" i="46"/>
  <c r="J98" i="46"/>
  <c r="I98" i="46"/>
  <c r="H98" i="46"/>
  <c r="G98" i="46" l="1"/>
  <c r="E49" i="38"/>
  <c r="L20" i="46" l="1"/>
  <c r="K20" i="46"/>
  <c r="J20" i="46"/>
  <c r="I20" i="46"/>
  <c r="H20" i="46"/>
  <c r="G20" i="46"/>
  <c r="E23" i="46" l="1"/>
  <c r="E34" i="46" l="1"/>
  <c r="G100" i="46"/>
  <c r="C49" i="38" s="1"/>
  <c r="F2" i="41"/>
  <c r="C34" i="38" l="1"/>
  <c r="C33" i="38"/>
  <c r="C30" i="38"/>
  <c r="E39" i="45" l="1"/>
  <c r="F47" i="18" l="1"/>
  <c r="F33" i="18" l="1"/>
  <c r="F76" i="67" s="1"/>
  <c r="F32" i="18"/>
  <c r="F31" i="18"/>
  <c r="F74" i="67" s="1"/>
  <c r="F28" i="18"/>
  <c r="F71" i="67" s="1"/>
  <c r="F27" i="18"/>
  <c r="F70" i="67" s="1"/>
  <c r="F25" i="18"/>
  <c r="F23" i="18"/>
  <c r="F66" i="67" s="1"/>
  <c r="F22" i="18"/>
  <c r="F65" i="67" s="1"/>
  <c r="F21" i="18"/>
  <c r="F64" i="67" s="1"/>
  <c r="F19" i="18"/>
  <c r="F62" i="67" s="1"/>
  <c r="F61" i="67"/>
  <c r="F17" i="18"/>
  <c r="F60" i="67" s="1"/>
  <c r="L17" i="13"/>
  <c r="L15" i="61" s="1"/>
  <c r="K17" i="13"/>
  <c r="K15" i="61" s="1"/>
  <c r="J17" i="13"/>
  <c r="J15" i="61" s="1"/>
  <c r="I17" i="13"/>
  <c r="I15" i="61" s="1"/>
  <c r="H17" i="13"/>
  <c r="H15" i="61" s="1"/>
  <c r="G17" i="13"/>
  <c r="G15" i="61" s="1"/>
  <c r="F49" i="18"/>
  <c r="F48" i="18"/>
  <c r="F6" i="18"/>
  <c r="F15" i="67" l="1"/>
  <c r="F117" i="67"/>
  <c r="F80" i="67"/>
  <c r="F56" i="67"/>
  <c r="F75" i="67"/>
  <c r="F14" i="18"/>
  <c r="F96" i="67"/>
  <c r="F43" i="18"/>
  <c r="F9" i="18"/>
  <c r="K98" i="61"/>
  <c r="K99" i="61"/>
  <c r="I99" i="61"/>
  <c r="I98" i="61"/>
  <c r="J98" i="61"/>
  <c r="J99" i="61"/>
  <c r="G98" i="61"/>
  <c r="H99" i="61"/>
  <c r="H98" i="61"/>
  <c r="L99" i="61"/>
  <c r="L98" i="61"/>
  <c r="F12" i="18" l="1"/>
  <c r="E34" i="38"/>
  <c r="D34" i="38" s="1"/>
  <c r="C35" i="38"/>
  <c r="G12" i="47" l="1"/>
  <c r="H12" i="47"/>
  <c r="I12" i="47"/>
  <c r="J12" i="47"/>
  <c r="K12" i="47"/>
  <c r="L12" i="47"/>
  <c r="E22" i="38"/>
  <c r="E31" i="38"/>
  <c r="E32" i="38"/>
  <c r="E33" i="38"/>
  <c r="D33" i="38" s="1"/>
  <c r="E35" i="38"/>
  <c r="D35" i="38" s="1"/>
  <c r="E42" i="38"/>
  <c r="E12" i="47" l="1"/>
  <c r="E43" i="38"/>
  <c r="N44" i="48"/>
  <c r="I32" i="63" s="1"/>
  <c r="M44" i="48"/>
  <c r="H32" i="63" s="1"/>
  <c r="L44" i="48"/>
  <c r="G32" i="63" s="1"/>
  <c r="K44" i="48"/>
  <c r="F32" i="63" s="1"/>
  <c r="J44" i="48"/>
  <c r="E32" i="63" s="1"/>
  <c r="I44" i="48"/>
  <c r="D32" i="63" s="1"/>
  <c r="I13" i="48"/>
  <c r="I35" i="48" s="1"/>
  <c r="A2" i="48"/>
  <c r="B32" i="63" l="1"/>
  <c r="F35" i="18"/>
  <c r="G48" i="18"/>
  <c r="G44" i="48"/>
  <c r="J45" i="48" s="1"/>
  <c r="C47" i="38"/>
  <c r="K48" i="18"/>
  <c r="J48" i="18"/>
  <c r="H48" i="18"/>
  <c r="L48" i="18"/>
  <c r="I48" i="18"/>
  <c r="H12" i="48"/>
  <c r="J12" i="48"/>
  <c r="J13" i="48" s="1"/>
  <c r="H13" i="48"/>
  <c r="H35" i="48" s="1"/>
  <c r="K45" i="48" l="1"/>
  <c r="N45" i="48"/>
  <c r="F37" i="18"/>
  <c r="F41" i="18"/>
  <c r="F68" i="67"/>
  <c r="F69" i="67"/>
  <c r="F78" i="67"/>
  <c r="I122" i="67"/>
  <c r="K122" i="67"/>
  <c r="L122" i="67"/>
  <c r="F89" i="67"/>
  <c r="F87" i="67"/>
  <c r="F83" i="67"/>
  <c r="F88" i="67"/>
  <c r="F84" i="67"/>
  <c r="F86" i="67"/>
  <c r="F85" i="67"/>
  <c r="H122" i="67"/>
  <c r="J122" i="67"/>
  <c r="G122" i="67"/>
  <c r="D48" i="18"/>
  <c r="L45" i="48"/>
  <c r="G45" i="48"/>
  <c r="H45" i="48"/>
  <c r="I45" i="48"/>
  <c r="M45" i="48"/>
  <c r="K12" i="48"/>
  <c r="K13" i="48" s="1"/>
  <c r="J35" i="48"/>
  <c r="C48" i="18"/>
  <c r="C122" i="67" l="1"/>
  <c r="L12" i="48"/>
  <c r="L13" i="48" s="1"/>
  <c r="K35" i="48"/>
  <c r="G66" i="46"/>
  <c r="H66" i="46"/>
  <c r="G65" i="46"/>
  <c r="H65" i="46"/>
  <c r="G37"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E33" i="46"/>
  <c r="G30" i="63"/>
  <c r="J52" i="18"/>
  <c r="I52" i="18"/>
  <c r="F30" i="63"/>
  <c r="L52" i="18"/>
  <c r="I30" i="63"/>
  <c r="K52" i="18"/>
  <c r="H30" i="63"/>
  <c r="H52" i="18"/>
  <c r="E30" i="63"/>
  <c r="D61" i="46"/>
  <c r="D62" i="46" s="1"/>
  <c r="D63" i="46" s="1"/>
  <c r="F74" i="46"/>
  <c r="F76" i="46"/>
  <c r="C20" i="63" s="1"/>
  <c r="E26" i="46"/>
  <c r="G52" i="18"/>
  <c r="C52" i="38"/>
  <c r="E51" i="47"/>
  <c r="H125" i="67" l="1"/>
  <c r="G125" i="67"/>
  <c r="K125" i="67"/>
  <c r="L125" i="67"/>
  <c r="I125" i="67"/>
  <c r="J125" i="67"/>
  <c r="J43" i="46"/>
  <c r="H43" i="46"/>
  <c r="L43" i="46"/>
  <c r="I43" i="46"/>
  <c r="E75" i="46"/>
  <c r="K43" i="46"/>
  <c r="D52" i="18"/>
  <c r="G43" i="46"/>
  <c r="F85" i="46"/>
  <c r="E41" i="46"/>
  <c r="B30" i="63"/>
  <c r="G62" i="46"/>
  <c r="G94" i="46" s="1"/>
  <c r="G63" i="46"/>
  <c r="G76" i="46" s="1"/>
  <c r="F43" i="46"/>
  <c r="F45" i="18"/>
  <c r="F77" i="46"/>
  <c r="C52" i="18"/>
  <c r="F82" i="67" l="1"/>
  <c r="F93" i="67"/>
  <c r="C125" i="67"/>
  <c r="D20" i="63"/>
  <c r="G45" i="18"/>
  <c r="G93" i="67" s="1"/>
  <c r="G71" i="46"/>
  <c r="G74" i="46" s="1"/>
  <c r="C48" i="38" s="1"/>
  <c r="E40" i="46"/>
  <c r="G77" i="46" l="1"/>
  <c r="G119" i="67"/>
  <c r="G85" i="46"/>
  <c r="F11" i="45" l="1"/>
  <c r="A2" i="45"/>
  <c r="E10" i="45" l="1"/>
  <c r="E11" i="45"/>
  <c r="G10" i="45"/>
  <c r="G11" i="45" s="1"/>
  <c r="H10" i="45" s="1"/>
  <c r="H11" i="45" s="1"/>
  <c r="I10" i="45" s="1"/>
  <c r="I11" i="45" s="1"/>
  <c r="J10" i="45" s="1"/>
  <c r="J11" i="45" s="1"/>
  <c r="K10" i="45" s="1"/>
  <c r="K11" i="45" s="1"/>
  <c r="E30" i="38" l="1"/>
  <c r="D30" i="38" s="1"/>
  <c r="A2" i="35" l="1"/>
  <c r="A2" i="38"/>
  <c r="A2" i="41"/>
  <c r="A2" i="18"/>
  <c r="A2" i="13"/>
  <c r="A2" i="34"/>
  <c r="L33" i="18"/>
  <c r="L76" i="67" s="1"/>
  <c r="L31" i="18"/>
  <c r="L74" i="67" s="1"/>
  <c r="L27" i="18"/>
  <c r="L70"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K21" i="48"/>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5" i="67" l="1"/>
  <c r="L80" i="67"/>
  <c r="L117" i="67"/>
  <c r="L56" i="67"/>
  <c r="L109" i="67"/>
  <c r="L108" i="67"/>
  <c r="L68" i="67"/>
  <c r="L111" i="67"/>
  <c r="L14" i="18"/>
  <c r="L96" i="67"/>
  <c r="L113" i="67"/>
  <c r="L43" i="18"/>
  <c r="G11" i="41"/>
  <c r="K18" i="48"/>
  <c r="J15" i="48"/>
  <c r="J31" i="48"/>
  <c r="N15" i="48"/>
  <c r="N31" i="48"/>
  <c r="L15" i="48"/>
  <c r="L31" i="48"/>
  <c r="I31" i="48"/>
  <c r="I15" i="48"/>
  <c r="M15" i="48"/>
  <c r="M31" i="48"/>
  <c r="H11" i="41"/>
  <c r="E11" i="41"/>
  <c r="I11" i="41"/>
  <c r="F11" i="41"/>
  <c r="J11" i="41"/>
  <c r="H27" i="41"/>
  <c r="F27" i="41"/>
  <c r="J27" i="41"/>
  <c r="G27" i="41"/>
  <c r="E27" i="41"/>
  <c r="I27" i="41"/>
  <c r="E8" i="39"/>
  <c r="E29" i="41" l="1"/>
  <c r="G40" i="13" s="1"/>
  <c r="G29" i="41"/>
  <c r="I40" i="13" s="1"/>
  <c r="J29" i="41"/>
  <c r="L40" i="13" s="1"/>
  <c r="I29" i="41"/>
  <c r="K40" i="13" s="1"/>
  <c r="F29" i="41"/>
  <c r="H40" i="13" s="1"/>
  <c r="H29" i="41"/>
  <c r="J40" i="13" s="1"/>
  <c r="J30" i="41"/>
  <c r="L41" i="13" s="1"/>
  <c r="I30" i="41"/>
  <c r="K41" i="13" s="1"/>
  <c r="F30" i="41"/>
  <c r="H41" i="13" s="1"/>
  <c r="E30" i="41"/>
  <c r="G41" i="13" s="1"/>
  <c r="H30" i="41"/>
  <c r="J41" i="13" s="1"/>
  <c r="G30" i="41"/>
  <c r="I41" i="13" s="1"/>
  <c r="K31" i="48"/>
  <c r="K15" i="48"/>
  <c r="G12" i="45"/>
  <c r="I12" i="45"/>
  <c r="H12" i="45"/>
  <c r="J12" i="45"/>
  <c r="F12" i="45"/>
  <c r="K12" i="45"/>
  <c r="G33" i="18"/>
  <c r="G76" i="67" s="1"/>
  <c r="G31" i="18"/>
  <c r="G74" i="67" s="1"/>
  <c r="G27" i="18"/>
  <c r="G70" i="67" s="1"/>
  <c r="G25" i="18"/>
  <c r="G6" i="18"/>
  <c r="G15" i="67" l="1"/>
  <c r="G117" i="67"/>
  <c r="G56" i="67"/>
  <c r="G80" i="67"/>
  <c r="G108" i="67"/>
  <c r="G68" i="67"/>
  <c r="G111" i="67"/>
  <c r="G109" i="67"/>
  <c r="G14" i="18"/>
  <c r="G96" i="67"/>
  <c r="G113" i="67"/>
  <c r="G43" i="18"/>
  <c r="A5" i="39" l="1"/>
  <c r="D7" i="63" l="1"/>
  <c r="G80" i="46" s="1"/>
  <c r="L10" i="46"/>
  <c r="L19" i="13" l="1"/>
  <c r="L16" i="61" s="1"/>
  <c r="L32" i="61" s="1"/>
  <c r="L21" i="13"/>
  <c r="L34" i="67" s="1"/>
  <c r="F45" i="61"/>
  <c r="C10" i="63"/>
  <c r="L179" i="61"/>
  <c r="I9" i="63"/>
  <c r="L72" i="61"/>
  <c r="L82" i="61"/>
  <c r="L92" i="61"/>
  <c r="L81" i="61"/>
  <c r="L91" i="61"/>
  <c r="L149" i="61"/>
  <c r="L73" i="61"/>
  <c r="L74" i="61"/>
  <c r="L80" i="61"/>
  <c r="L148" i="61"/>
  <c r="H9" i="62"/>
  <c r="H51" i="62" s="1"/>
  <c r="D144"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C7" i="38"/>
  <c r="D8" i="63"/>
  <c r="G81" i="46" s="1"/>
  <c r="L128" i="13"/>
  <c r="L19" i="18" s="1"/>
  <c r="L136" i="13"/>
  <c r="L130" i="13"/>
  <c r="L126" i="13"/>
  <c r="L18" i="18" s="1"/>
  <c r="L132" i="13"/>
  <c r="L23" i="18" s="1"/>
  <c r="L125" i="13"/>
  <c r="L17" i="18" s="1"/>
  <c r="G59" i="34" l="1"/>
  <c r="G8" i="47"/>
  <c r="L105" i="67"/>
  <c r="L102" i="67"/>
  <c r="L101" i="67"/>
  <c r="L106" i="67"/>
  <c r="L103" i="67"/>
  <c r="L21" i="18"/>
  <c r="L143" i="13"/>
  <c r="L144" i="13" s="1"/>
  <c r="L31" i="34"/>
  <c r="L29" i="34"/>
  <c r="L30" i="34"/>
  <c r="I33" i="63"/>
  <c r="I31" i="63"/>
  <c r="F62" i="34"/>
  <c r="F83" i="46"/>
  <c r="G35" i="62"/>
  <c r="C18" i="63"/>
  <c r="F49" i="61" s="1"/>
  <c r="C26" i="63"/>
  <c r="F66" i="34" s="1"/>
  <c r="C36" i="63"/>
  <c r="C22" i="63"/>
  <c r="F87" i="46" s="1"/>
  <c r="L9" i="18"/>
  <c r="L12" i="18" s="1"/>
  <c r="L178" i="61"/>
  <c r="L177" i="61"/>
  <c r="M31" i="62"/>
  <c r="L61" i="34"/>
  <c r="L82" i="46"/>
  <c r="H10" i="62"/>
  <c r="H85" i="62" s="1"/>
  <c r="L153" i="61"/>
  <c r="L32" i="18"/>
  <c r="L75" i="67" s="1"/>
  <c r="F7" i="34"/>
  <c r="G9" i="62"/>
  <c r="G51" i="62" s="1"/>
  <c r="M5" i="53"/>
  <c r="M6" i="53" s="1"/>
  <c r="N16" i="48"/>
  <c r="N32" i="48" s="1"/>
  <c r="J12" i="41"/>
  <c r="J28" i="41" s="1"/>
  <c r="F7" i="18"/>
  <c r="F7" i="67" s="1"/>
  <c r="D8" i="41"/>
  <c r="D9" i="41" s="1"/>
  <c r="F11" i="13"/>
  <c r="C8" i="63" s="1"/>
  <c r="F81" i="46" s="1"/>
  <c r="L28" i="18"/>
  <c r="L71" i="67" s="1"/>
  <c r="G8" i="46"/>
  <c r="F8" i="46" s="1"/>
  <c r="G9" i="47"/>
  <c r="G8" i="34"/>
  <c r="G60" i="34" s="1"/>
  <c r="G8" i="18"/>
  <c r="G8" i="67" s="1"/>
  <c r="I9" i="41"/>
  <c r="C8" i="38"/>
  <c r="E12" i="38" s="1"/>
  <c r="E7" i="63"/>
  <c r="H80" i="46" s="1"/>
  <c r="H83" i="62" l="1"/>
  <c r="H247" i="62" s="1"/>
  <c r="H94" i="62"/>
  <c r="H84" i="62"/>
  <c r="H92" i="62"/>
  <c r="H255" i="62" s="1"/>
  <c r="H86" i="62"/>
  <c r="H95" i="62"/>
  <c r="H249" i="62"/>
  <c r="H93" i="62"/>
  <c r="H87" i="62"/>
  <c r="H251" i="62" s="1"/>
  <c r="F59" i="34"/>
  <c r="F8" i="47"/>
  <c r="H134" i="62"/>
  <c r="H297" i="62" s="1"/>
  <c r="H133" i="62"/>
  <c r="H296" i="62" s="1"/>
  <c r="H100" i="62"/>
  <c r="H265" i="62" s="1"/>
  <c r="Q14" i="38"/>
  <c r="H16" i="62"/>
  <c r="L112" i="67"/>
  <c r="L104" i="67"/>
  <c r="L54" i="67"/>
  <c r="L110" i="67"/>
  <c r="R14" i="38"/>
  <c r="M14" i="38"/>
  <c r="I14" i="38"/>
  <c r="G14" i="38"/>
  <c r="P14" i="38"/>
  <c r="L14" i="38"/>
  <c r="F14" i="38"/>
  <c r="O14" i="38"/>
  <c r="K14" i="38"/>
  <c r="H14" i="38"/>
  <c r="N14" i="38"/>
  <c r="J14" i="38"/>
  <c r="H302" i="62"/>
  <c r="H257" i="62"/>
  <c r="H52" i="62"/>
  <c r="H208" i="62"/>
  <c r="H364" i="62" s="1"/>
  <c r="H169" i="62"/>
  <c r="H225" i="62"/>
  <c r="H381" i="62" s="1"/>
  <c r="H190" i="62"/>
  <c r="H346" i="62" s="1"/>
  <c r="H233" i="62"/>
  <c r="H232" i="62"/>
  <c r="H174" i="62"/>
  <c r="H207" i="62"/>
  <c r="H209" i="62"/>
  <c r="H196" i="62"/>
  <c r="H352" i="62" s="1"/>
  <c r="H237" i="62"/>
  <c r="H393" i="62" s="1"/>
  <c r="H160" i="62"/>
  <c r="H316" i="62" s="1"/>
  <c r="H108" i="62"/>
  <c r="H273" i="62" s="1"/>
  <c r="H131" i="62"/>
  <c r="H294" i="62" s="1"/>
  <c r="H223" i="62"/>
  <c r="H128" i="62"/>
  <c r="H186" i="62"/>
  <c r="H342" i="62" s="1"/>
  <c r="H183" i="62"/>
  <c r="H339" i="62" s="1"/>
  <c r="H175" i="62"/>
  <c r="H331" i="62" s="1"/>
  <c r="H192" i="62"/>
  <c r="H348" i="62" s="1"/>
  <c r="H214" i="62"/>
  <c r="H370" i="62" s="1"/>
  <c r="H153" i="62"/>
  <c r="H309" i="62" s="1"/>
  <c r="H230" i="62"/>
  <c r="H386" i="62" s="1"/>
  <c r="H226" i="62"/>
  <c r="H382" i="62" s="1"/>
  <c r="H203" i="62"/>
  <c r="H359" i="62" s="1"/>
  <c r="H206" i="62"/>
  <c r="H362" i="62" s="1"/>
  <c r="H180" i="62"/>
  <c r="H231" i="62"/>
  <c r="H221" i="62"/>
  <c r="H377" i="62" s="1"/>
  <c r="H205" i="62"/>
  <c r="H361" i="62" s="1"/>
  <c r="H158" i="62"/>
  <c r="H201" i="62"/>
  <c r="H357" i="62" s="1"/>
  <c r="H163" i="62"/>
  <c r="H319" i="62" s="1"/>
  <c r="H195" i="62"/>
  <c r="H351" i="62" s="1"/>
  <c r="H172" i="62"/>
  <c r="H159" i="62"/>
  <c r="H236" i="62"/>
  <c r="H392" i="62" s="1"/>
  <c r="H213" i="62"/>
  <c r="H369" i="62" s="1"/>
  <c r="H189" i="62"/>
  <c r="H345" i="62" s="1"/>
  <c r="H166" i="62"/>
  <c r="H322" i="62" s="1"/>
  <c r="H135" i="62"/>
  <c r="H298" i="62" s="1"/>
  <c r="H152" i="62"/>
  <c r="H129" i="62"/>
  <c r="H303" i="62"/>
  <c r="H107" i="62"/>
  <c r="H103" i="62"/>
  <c r="H122" i="62"/>
  <c r="H118" i="62"/>
  <c r="H281" i="62" s="1"/>
  <c r="H104" i="62"/>
  <c r="H119" i="62"/>
  <c r="H258" i="62"/>
  <c r="H220" i="62"/>
  <c r="H199" i="62"/>
  <c r="H355" i="62" s="1"/>
  <c r="H200" i="62"/>
  <c r="H356" i="62" s="1"/>
  <c r="H177" i="62"/>
  <c r="H229" i="62"/>
  <c r="H385" i="62" s="1"/>
  <c r="H219" i="62"/>
  <c r="H202" i="62"/>
  <c r="H358" i="62" s="1"/>
  <c r="H132" i="62"/>
  <c r="H181" i="62"/>
  <c r="H194" i="62"/>
  <c r="H350" i="62" s="1"/>
  <c r="H171" i="62"/>
  <c r="H156" i="62"/>
  <c r="H312" i="62" s="1"/>
  <c r="H239" i="62"/>
  <c r="H235" i="62"/>
  <c r="H391" i="62" s="1"/>
  <c r="H212" i="62"/>
  <c r="H188" i="62"/>
  <c r="H164" i="62"/>
  <c r="H320" i="62" s="1"/>
  <c r="H130" i="62"/>
  <c r="H293" i="62" s="1"/>
  <c r="H127" i="62"/>
  <c r="H290" i="62" s="1"/>
  <c r="H126" i="62"/>
  <c r="H289" i="62" s="1"/>
  <c r="H106" i="62"/>
  <c r="H271" i="62" s="1"/>
  <c r="H102" i="62"/>
  <c r="H267" i="62" s="1"/>
  <c r="H121" i="62"/>
  <c r="H284" i="62" s="1"/>
  <c r="H117" i="62"/>
  <c r="H165" i="62"/>
  <c r="H218" i="62"/>
  <c r="H374" i="62" s="1"/>
  <c r="H176" i="62"/>
  <c r="H332" i="62" s="1"/>
  <c r="H184" i="62"/>
  <c r="H340" i="62" s="1"/>
  <c r="H157" i="62"/>
  <c r="H313" i="62" s="1"/>
  <c r="H227" i="62"/>
  <c r="H217" i="62"/>
  <c r="H373" i="62" s="1"/>
  <c r="H182" i="62"/>
  <c r="H224" i="62"/>
  <c r="H178" i="62"/>
  <c r="H334" i="62" s="1"/>
  <c r="H197" i="62"/>
  <c r="H353" i="62" s="1"/>
  <c r="H193" i="62"/>
  <c r="H349" i="62" s="1"/>
  <c r="H170" i="62"/>
  <c r="H136" i="62"/>
  <c r="H299" i="62" s="1"/>
  <c r="H238" i="62"/>
  <c r="H394" i="62" s="1"/>
  <c r="H215" i="62"/>
  <c r="H211" i="62"/>
  <c r="H367" i="62" s="1"/>
  <c r="H187" i="62"/>
  <c r="H162" i="62"/>
  <c r="H318" i="62" s="1"/>
  <c r="H154" i="62"/>
  <c r="H168" i="62"/>
  <c r="H105" i="62"/>
  <c r="H270" i="62" s="1"/>
  <c r="H101" i="62"/>
  <c r="H120" i="62"/>
  <c r="H116" i="62"/>
  <c r="H115" i="62"/>
  <c r="H7" i="46"/>
  <c r="H63" i="46" s="1"/>
  <c r="I9" i="62"/>
  <c r="I51" i="62" s="1"/>
  <c r="F9" i="47"/>
  <c r="G10" i="62"/>
  <c r="F8" i="18"/>
  <c r="F8" i="67" s="1"/>
  <c r="F8" i="34"/>
  <c r="F60" i="34" s="1"/>
  <c r="E8" i="63"/>
  <c r="H81" i="46" s="1"/>
  <c r="H7" i="34"/>
  <c r="J8" i="41"/>
  <c r="G83" i="62" l="1"/>
  <c r="G94" i="62"/>
  <c r="G93" i="62"/>
  <c r="G92" i="62"/>
  <c r="G84" i="62"/>
  <c r="G95" i="62"/>
  <c r="G86" i="62"/>
  <c r="G87" i="62"/>
  <c r="G85" i="62"/>
  <c r="Q15" i="38"/>
  <c r="H59" i="34"/>
  <c r="H8" i="47"/>
  <c r="G133" i="62"/>
  <c r="G296" i="62" s="1"/>
  <c r="G134" i="62"/>
  <c r="G297" i="62" s="1"/>
  <c r="G16" i="62"/>
  <c r="G100" i="62"/>
  <c r="P15" i="38"/>
  <c r="R15" i="38"/>
  <c r="M15" i="38"/>
  <c r="H15" i="38"/>
  <c r="G15" i="38"/>
  <c r="J15" i="38"/>
  <c r="O15" i="38"/>
  <c r="L15" i="38"/>
  <c r="K15" i="38"/>
  <c r="I15" i="38"/>
  <c r="N15" i="38"/>
  <c r="F15" i="38"/>
  <c r="F61" i="38" s="1"/>
  <c r="G52" i="62"/>
  <c r="G257" i="62"/>
  <c r="H62" i="46"/>
  <c r="H330" i="62"/>
  <c r="H371" i="62"/>
  <c r="H277" i="62"/>
  <c r="H325" i="62"/>
  <c r="H365" i="62"/>
  <c r="H388" i="62"/>
  <c r="H256" i="62"/>
  <c r="H389" i="62"/>
  <c r="H326" i="62"/>
  <c r="H314" i="62"/>
  <c r="H344" i="62"/>
  <c r="H268" i="62"/>
  <c r="H328" i="62"/>
  <c r="H379" i="62"/>
  <c r="H250" i="62"/>
  <c r="H269" i="62"/>
  <c r="H308" i="62"/>
  <c r="H337" i="62"/>
  <c r="H376" i="62"/>
  <c r="H336" i="62"/>
  <c r="H266" i="62"/>
  <c r="H380" i="62"/>
  <c r="H109" i="62"/>
  <c r="H111" i="62" s="1"/>
  <c r="H304" i="62"/>
  <c r="H306" i="62"/>
  <c r="H310" i="62"/>
  <c r="H395" i="62"/>
  <c r="H383" i="62"/>
  <c r="H123" i="62"/>
  <c r="H375" i="62"/>
  <c r="H280" i="62"/>
  <c r="H343" i="62"/>
  <c r="H321" i="62"/>
  <c r="H282" i="62"/>
  <c r="H241" i="62"/>
  <c r="H278" i="62"/>
  <c r="H285" i="62"/>
  <c r="H363" i="62"/>
  <c r="H279" i="62"/>
  <c r="H324" i="62"/>
  <c r="H292" i="62"/>
  <c r="H315" i="62"/>
  <c r="H387" i="62"/>
  <c r="H291" i="62"/>
  <c r="H283" i="62"/>
  <c r="H307" i="62"/>
  <c r="H368" i="62"/>
  <c r="H327" i="62"/>
  <c r="H295" i="62"/>
  <c r="H333" i="62"/>
  <c r="H248" i="62"/>
  <c r="H272" i="62"/>
  <c r="H338" i="62"/>
  <c r="H89" i="62"/>
  <c r="H137" i="62"/>
  <c r="H21" i="62" s="1"/>
  <c r="G59" i="61" s="1"/>
  <c r="I10" i="62"/>
  <c r="G101" i="62"/>
  <c r="G102" i="62"/>
  <c r="G103" i="62"/>
  <c r="G104" i="62"/>
  <c r="G105" i="62"/>
  <c r="G106" i="62"/>
  <c r="G107" i="62"/>
  <c r="G108" i="62"/>
  <c r="G258" i="62"/>
  <c r="G127" i="62"/>
  <c r="G129" i="62"/>
  <c r="G131" i="62"/>
  <c r="G146" i="62"/>
  <c r="G150" i="62"/>
  <c r="G151" i="62"/>
  <c r="G152" i="62"/>
  <c r="G153" i="62"/>
  <c r="G154" i="62"/>
  <c r="G156" i="62"/>
  <c r="G157" i="62"/>
  <c r="G158" i="62"/>
  <c r="G115" i="62"/>
  <c r="G117" i="62"/>
  <c r="G119" i="62"/>
  <c r="G121" i="62"/>
  <c r="G128" i="62"/>
  <c r="G136" i="62"/>
  <c r="G299" i="62" s="1"/>
  <c r="G159" i="62"/>
  <c r="G169" i="62"/>
  <c r="G170" i="62"/>
  <c r="G171" i="62"/>
  <c r="G172" i="62"/>
  <c r="G192" i="62"/>
  <c r="G193" i="62"/>
  <c r="G194" i="62"/>
  <c r="G195" i="62"/>
  <c r="G196" i="62"/>
  <c r="G197" i="62"/>
  <c r="G217" i="62"/>
  <c r="G218" i="62"/>
  <c r="G219" i="62"/>
  <c r="G220" i="62"/>
  <c r="G221" i="62"/>
  <c r="G163" i="62"/>
  <c r="G165" i="62"/>
  <c r="G174" i="62"/>
  <c r="G175" i="62"/>
  <c r="G176" i="62"/>
  <c r="G177" i="62"/>
  <c r="G178" i="62"/>
  <c r="G199" i="62"/>
  <c r="G200" i="62"/>
  <c r="G201" i="62"/>
  <c r="G202" i="62"/>
  <c r="G203" i="62"/>
  <c r="G116" i="62"/>
  <c r="G126" i="62"/>
  <c r="G130" i="62"/>
  <c r="G132" i="62"/>
  <c r="G162" i="62"/>
  <c r="G182" i="62"/>
  <c r="G186" i="62"/>
  <c r="G187" i="62"/>
  <c r="G188" i="62"/>
  <c r="G189" i="62"/>
  <c r="G190" i="62"/>
  <c r="G205" i="62"/>
  <c r="G209" i="62"/>
  <c r="G212" i="62"/>
  <c r="G214" i="62"/>
  <c r="G223" i="62"/>
  <c r="G227" i="62"/>
  <c r="G229" i="62"/>
  <c r="G231" i="62"/>
  <c r="G233" i="62"/>
  <c r="G114" i="62"/>
  <c r="G122" i="62"/>
  <c r="G148" i="62"/>
  <c r="G183" i="62"/>
  <c r="G206" i="62"/>
  <c r="G226" i="62"/>
  <c r="G236" i="62"/>
  <c r="G238" i="62"/>
  <c r="G118" i="62"/>
  <c r="G164" i="62"/>
  <c r="G166" i="62"/>
  <c r="G168" i="62"/>
  <c r="G213" i="62"/>
  <c r="G232" i="62"/>
  <c r="G235" i="62"/>
  <c r="G135" i="62"/>
  <c r="G298" i="62" s="1"/>
  <c r="G211" i="62"/>
  <c r="G224" i="62"/>
  <c r="G225" i="62"/>
  <c r="G230" i="62"/>
  <c r="G180" i="62"/>
  <c r="G184" i="62"/>
  <c r="G207" i="62"/>
  <c r="G215" i="62"/>
  <c r="G160" i="62"/>
  <c r="G208" i="62"/>
  <c r="G181" i="62"/>
  <c r="G147" i="62"/>
  <c r="G120" i="62"/>
  <c r="G239" i="62"/>
  <c r="G237" i="62"/>
  <c r="G393" i="62" s="1"/>
  <c r="F7" i="63"/>
  <c r="I80" i="46" s="1"/>
  <c r="H76" i="46"/>
  <c r="E20" i="63" s="1"/>
  <c r="H8" i="46"/>
  <c r="H9" i="47"/>
  <c r="H8" i="34"/>
  <c r="H60" i="34" s="1"/>
  <c r="H8" i="18"/>
  <c r="H8" i="67" s="1"/>
  <c r="J9" i="41"/>
  <c r="H71" i="46" l="1"/>
  <c r="H74" i="46" s="1"/>
  <c r="H77" i="46" s="1"/>
  <c r="H94" i="46"/>
  <c r="I85" i="62"/>
  <c r="I249" i="62" s="1"/>
  <c r="I94" i="62"/>
  <c r="I83" i="62"/>
  <c r="I247" i="62" s="1"/>
  <c r="I95" i="62"/>
  <c r="I258" i="62" s="1"/>
  <c r="I86" i="62"/>
  <c r="I250" i="62" s="1"/>
  <c r="I92" i="62"/>
  <c r="I255" i="62" s="1"/>
  <c r="I84" i="62"/>
  <c r="I248" i="62" s="1"/>
  <c r="I93" i="62"/>
  <c r="I256" i="62" s="1"/>
  <c r="I87" i="62"/>
  <c r="I251" i="62" s="1"/>
  <c r="I133" i="62"/>
  <c r="I296" i="62" s="1"/>
  <c r="I134" i="62"/>
  <c r="I297" i="62" s="1"/>
  <c r="G61" i="38"/>
  <c r="H61" i="38" s="1"/>
  <c r="I61" i="38" s="1"/>
  <c r="J61" i="38" s="1"/>
  <c r="K61" i="38" s="1"/>
  <c r="L61" i="38" s="1"/>
  <c r="M61" i="38" s="1"/>
  <c r="N61" i="38" s="1"/>
  <c r="O61" i="38" s="1"/>
  <c r="P61" i="38" s="1"/>
  <c r="Q61" i="38" s="1"/>
  <c r="R61" i="38" s="1"/>
  <c r="I100" i="62"/>
  <c r="I265" i="62" s="1"/>
  <c r="I16" i="62"/>
  <c r="H17" i="62"/>
  <c r="G35" i="67"/>
  <c r="H19" i="62"/>
  <c r="G25" i="67"/>
  <c r="H20" i="62"/>
  <c r="G58" i="61" s="1"/>
  <c r="G28" i="67"/>
  <c r="G30" i="67" s="1"/>
  <c r="H22" i="62"/>
  <c r="G60" i="61" s="1"/>
  <c r="G31" i="67"/>
  <c r="I302" i="62"/>
  <c r="I257" i="62"/>
  <c r="H85" i="46"/>
  <c r="I52" i="62"/>
  <c r="I217" i="62"/>
  <c r="I373" i="62" s="1"/>
  <c r="I132" i="62"/>
  <c r="I295" i="62" s="1"/>
  <c r="I233" i="62"/>
  <c r="I389" i="62" s="1"/>
  <c r="I197" i="62"/>
  <c r="I353" i="62" s="1"/>
  <c r="I206" i="62"/>
  <c r="I362" i="62" s="1"/>
  <c r="I101" i="62"/>
  <c r="I266" i="62" s="1"/>
  <c r="I169" i="62"/>
  <c r="I325" i="62" s="1"/>
  <c r="I239" i="62"/>
  <c r="I395" i="62" s="1"/>
  <c r="I310" i="62"/>
  <c r="I117" i="62"/>
  <c r="I280" i="62" s="1"/>
  <c r="I226" i="62"/>
  <c r="I382" i="62" s="1"/>
  <c r="I168" i="62"/>
  <c r="I324" i="62" s="1"/>
  <c r="I127" i="62"/>
  <c r="I290" i="62" s="1"/>
  <c r="I202" i="62"/>
  <c r="I358" i="62" s="1"/>
  <c r="I223" i="62"/>
  <c r="I379" i="62" s="1"/>
  <c r="I215" i="62"/>
  <c r="I371" i="62" s="1"/>
  <c r="I196" i="62"/>
  <c r="I352" i="62" s="1"/>
  <c r="I237" i="62"/>
  <c r="I393" i="62" s="1"/>
  <c r="I159" i="62"/>
  <c r="I315" i="62" s="1"/>
  <c r="I232" i="62"/>
  <c r="I388" i="62" s="1"/>
  <c r="I205" i="62"/>
  <c r="I361" i="62" s="1"/>
  <c r="I309" i="62"/>
  <c r="I166" i="62"/>
  <c r="I322" i="62" s="1"/>
  <c r="I108" i="62"/>
  <c r="I273" i="62" s="1"/>
  <c r="I116" i="62"/>
  <c r="I279" i="62" s="1"/>
  <c r="I126" i="62"/>
  <c r="I289" i="62" s="1"/>
  <c r="I211" i="62"/>
  <c r="I367" i="62" s="1"/>
  <c r="I224" i="62"/>
  <c r="I380" i="62" s="1"/>
  <c r="I193" i="62"/>
  <c r="I349" i="62" s="1"/>
  <c r="I220" i="62"/>
  <c r="I376" i="62" s="1"/>
  <c r="I188" i="62"/>
  <c r="I344" i="62" s="1"/>
  <c r="I229" i="62"/>
  <c r="I385" i="62" s="1"/>
  <c r="I182" i="62"/>
  <c r="I338" i="62" s="1"/>
  <c r="I306" i="62"/>
  <c r="I163" i="62"/>
  <c r="I319" i="62" s="1"/>
  <c r="I105" i="62"/>
  <c r="I270" i="62" s="1"/>
  <c r="I121" i="62"/>
  <c r="I284" i="62" s="1"/>
  <c r="I131" i="62"/>
  <c r="I294" i="62" s="1"/>
  <c r="I176" i="62"/>
  <c r="I332" i="62" s="1"/>
  <c r="I221" i="62"/>
  <c r="I377" i="62" s="1"/>
  <c r="I213" i="62"/>
  <c r="I369" i="62" s="1"/>
  <c r="I214" i="62"/>
  <c r="I370" i="62" s="1"/>
  <c r="I192" i="62"/>
  <c r="I348" i="62" s="1"/>
  <c r="I218" i="62"/>
  <c r="I374" i="62" s="1"/>
  <c r="I187" i="62"/>
  <c r="I343" i="62" s="1"/>
  <c r="I209" i="62"/>
  <c r="I365" i="62" s="1"/>
  <c r="I181" i="62"/>
  <c r="I337" i="62" s="1"/>
  <c r="I162" i="62"/>
  <c r="I318" i="62" s="1"/>
  <c r="I104" i="62"/>
  <c r="I269" i="62" s="1"/>
  <c r="I120" i="62"/>
  <c r="I283" i="62" s="1"/>
  <c r="I130" i="62"/>
  <c r="I293" i="62" s="1"/>
  <c r="H300" i="62"/>
  <c r="H252" i="62"/>
  <c r="H259" i="62"/>
  <c r="H274" i="62"/>
  <c r="G89" i="62"/>
  <c r="H97" i="62"/>
  <c r="I156" i="62"/>
  <c r="I312" i="62" s="1"/>
  <c r="I199" i="62"/>
  <c r="I355" i="62" s="1"/>
  <c r="I219" i="62"/>
  <c r="I375" i="62" s="1"/>
  <c r="I175" i="62"/>
  <c r="I331" i="62" s="1"/>
  <c r="I313" i="62"/>
  <c r="I172" i="62"/>
  <c r="I328" i="62" s="1"/>
  <c r="I212" i="62"/>
  <c r="I368" i="62" s="1"/>
  <c r="I195" i="62"/>
  <c r="I351" i="62" s="1"/>
  <c r="I178" i="62"/>
  <c r="I334" i="62" s="1"/>
  <c r="I235" i="62"/>
  <c r="I391" i="62" s="1"/>
  <c r="I200" i="62"/>
  <c r="I356" i="62" s="1"/>
  <c r="I190" i="62"/>
  <c r="I346" i="62" s="1"/>
  <c r="I186" i="62"/>
  <c r="I342" i="62" s="1"/>
  <c r="I231" i="62"/>
  <c r="I387" i="62" s="1"/>
  <c r="I208" i="62"/>
  <c r="I364" i="62" s="1"/>
  <c r="I184" i="62"/>
  <c r="I340" i="62" s="1"/>
  <c r="I180" i="62"/>
  <c r="I336" i="62" s="1"/>
  <c r="I308" i="62"/>
  <c r="I304" i="62"/>
  <c r="I165" i="62"/>
  <c r="I321" i="62" s="1"/>
  <c r="I136" i="62"/>
  <c r="I299" i="62" s="1"/>
  <c r="I107" i="62"/>
  <c r="I272" i="62" s="1"/>
  <c r="I103" i="62"/>
  <c r="I268" i="62" s="1"/>
  <c r="I119" i="62"/>
  <c r="I282" i="62" s="1"/>
  <c r="I115" i="62"/>
  <c r="I278" i="62" s="1"/>
  <c r="I129" i="62"/>
  <c r="I292" i="62" s="1"/>
  <c r="H397" i="62"/>
  <c r="I227" i="62"/>
  <c r="I383" i="62" s="1"/>
  <c r="I171" i="62"/>
  <c r="I327" i="62" s="1"/>
  <c r="I203" i="62"/>
  <c r="I359" i="62" s="1"/>
  <c r="I238" i="62"/>
  <c r="I394" i="62" s="1"/>
  <c r="I236" i="62"/>
  <c r="I392" i="62" s="1"/>
  <c r="I170" i="62"/>
  <c r="I326" i="62" s="1"/>
  <c r="I201" i="62"/>
  <c r="I357" i="62" s="1"/>
  <c r="I194" i="62"/>
  <c r="I350" i="62" s="1"/>
  <c r="I174" i="62"/>
  <c r="I330" i="62" s="1"/>
  <c r="I225" i="62"/>
  <c r="I381" i="62" s="1"/>
  <c r="I177" i="62"/>
  <c r="I333" i="62" s="1"/>
  <c r="I189" i="62"/>
  <c r="I345" i="62" s="1"/>
  <c r="I160" i="62"/>
  <c r="I316" i="62" s="1"/>
  <c r="I230" i="62"/>
  <c r="I386" i="62" s="1"/>
  <c r="I207" i="62"/>
  <c r="I363" i="62" s="1"/>
  <c r="I183" i="62"/>
  <c r="I339" i="62" s="1"/>
  <c r="I314" i="62"/>
  <c r="I307" i="62"/>
  <c r="I303" i="62"/>
  <c r="I164" i="62"/>
  <c r="I320" i="62" s="1"/>
  <c r="I135" i="62"/>
  <c r="I298" i="62" s="1"/>
  <c r="I106" i="62"/>
  <c r="I271" i="62" s="1"/>
  <c r="I102" i="62"/>
  <c r="I267" i="62" s="1"/>
  <c r="I122" i="62"/>
  <c r="I285" i="62" s="1"/>
  <c r="I118" i="62"/>
  <c r="I281" i="62" s="1"/>
  <c r="I277" i="62"/>
  <c r="I128" i="62"/>
  <c r="I291" i="62" s="1"/>
  <c r="H139" i="62"/>
  <c r="H286" i="62"/>
  <c r="G283" i="62"/>
  <c r="G336" i="62"/>
  <c r="G369" i="62"/>
  <c r="G362" i="62"/>
  <c r="G385" i="62"/>
  <c r="G345" i="62"/>
  <c r="G137" i="62"/>
  <c r="G21" i="62" s="1"/>
  <c r="F59" i="61" s="1"/>
  <c r="G289" i="62"/>
  <c r="G333" i="62"/>
  <c r="G375" i="62"/>
  <c r="G348" i="62"/>
  <c r="G325" i="62"/>
  <c r="G248" i="62"/>
  <c r="G307" i="62"/>
  <c r="G269" i="62"/>
  <c r="I7" i="46"/>
  <c r="I62" i="46" s="1"/>
  <c r="I94" i="46" s="1"/>
  <c r="J9" i="62"/>
  <c r="J51" i="62" s="1"/>
  <c r="G303" i="62"/>
  <c r="G371" i="62"/>
  <c r="G386" i="62"/>
  <c r="G324" i="62"/>
  <c r="G394" i="62"/>
  <c r="G339" i="62"/>
  <c r="G249" i="62"/>
  <c r="G383" i="62"/>
  <c r="G365" i="62"/>
  <c r="G344" i="62"/>
  <c r="G318" i="62"/>
  <c r="G279" i="62"/>
  <c r="G356" i="62"/>
  <c r="G332" i="62"/>
  <c r="G319" i="62"/>
  <c r="G374" i="62"/>
  <c r="G351" i="62"/>
  <c r="G328" i="62"/>
  <c r="G315" i="62"/>
  <c r="G282" i="62"/>
  <c r="G314" i="62"/>
  <c r="G310" i="62"/>
  <c r="G306" i="62"/>
  <c r="G290" i="62"/>
  <c r="G272" i="62"/>
  <c r="G268" i="62"/>
  <c r="G337" i="62"/>
  <c r="G363" i="62"/>
  <c r="G381" i="62"/>
  <c r="G391" i="62"/>
  <c r="G322" i="62"/>
  <c r="G392" i="62"/>
  <c r="G304" i="62"/>
  <c r="G389" i="62"/>
  <c r="G379" i="62"/>
  <c r="G361" i="62"/>
  <c r="G343" i="62"/>
  <c r="G295" i="62"/>
  <c r="G359" i="62"/>
  <c r="G355" i="62"/>
  <c r="G331" i="62"/>
  <c r="G377" i="62"/>
  <c r="G373" i="62"/>
  <c r="G350" i="62"/>
  <c r="G327" i="62"/>
  <c r="G280" i="62"/>
  <c r="G313" i="62"/>
  <c r="G309" i="62"/>
  <c r="G241" i="62"/>
  <c r="G302" i="62"/>
  <c r="G251" i="62"/>
  <c r="G256" i="62"/>
  <c r="G271" i="62"/>
  <c r="G267" i="62"/>
  <c r="G316" i="62"/>
  <c r="G367" i="62"/>
  <c r="G281" i="62"/>
  <c r="G277" i="62"/>
  <c r="G123" i="62"/>
  <c r="G368" i="62"/>
  <c r="G338" i="62"/>
  <c r="G357" i="62"/>
  <c r="G321" i="62"/>
  <c r="G352" i="62"/>
  <c r="G284" i="62"/>
  <c r="G250" i="62"/>
  <c r="G292" i="62"/>
  <c r="G273" i="62"/>
  <c r="G109" i="62"/>
  <c r="G265" i="62"/>
  <c r="G395" i="62"/>
  <c r="G364" i="62"/>
  <c r="G340" i="62"/>
  <c r="G380" i="62"/>
  <c r="G388" i="62"/>
  <c r="G320" i="62"/>
  <c r="G382" i="62"/>
  <c r="G285" i="62"/>
  <c r="G387" i="62"/>
  <c r="G370" i="62"/>
  <c r="G346" i="62"/>
  <c r="G342" i="62"/>
  <c r="G293" i="62"/>
  <c r="G358" i="62"/>
  <c r="G334" i="62"/>
  <c r="G330" i="62"/>
  <c r="G376" i="62"/>
  <c r="G353" i="62"/>
  <c r="G349" i="62"/>
  <c r="G326" i="62"/>
  <c r="G291" i="62"/>
  <c r="G278" i="62"/>
  <c r="G312" i="62"/>
  <c r="G308" i="62"/>
  <c r="G294" i="62"/>
  <c r="G247" i="62"/>
  <c r="G255" i="62"/>
  <c r="G270" i="62"/>
  <c r="G266" i="62"/>
  <c r="H45" i="18"/>
  <c r="I7" i="34"/>
  <c r="F8" i="63"/>
  <c r="I81" i="46" s="1"/>
  <c r="G55" i="61" l="1"/>
  <c r="G27" i="67"/>
  <c r="G32" i="67"/>
  <c r="G37" i="67" s="1"/>
  <c r="I59" i="34"/>
  <c r="I8" i="47"/>
  <c r="G57" i="61"/>
  <c r="H32" i="62"/>
  <c r="G22" i="62"/>
  <c r="F60" i="61" s="1"/>
  <c r="F31" i="67"/>
  <c r="H18" i="62"/>
  <c r="G56" i="61" s="1"/>
  <c r="G38" i="67"/>
  <c r="G17" i="62"/>
  <c r="F35" i="67"/>
  <c r="F36" i="67" s="1"/>
  <c r="G44" i="67"/>
  <c r="G41" i="67"/>
  <c r="G36" i="67"/>
  <c r="G45" i="67"/>
  <c r="G19" i="62"/>
  <c r="F25" i="67"/>
  <c r="G20" i="62"/>
  <c r="F58" i="61" s="1"/>
  <c r="F28" i="67"/>
  <c r="G43" i="67"/>
  <c r="H119" i="67"/>
  <c r="I300" i="62"/>
  <c r="I109" i="62"/>
  <c r="I111" i="62" s="1"/>
  <c r="H242" i="62"/>
  <c r="I137" i="62"/>
  <c r="I21" i="62" s="1"/>
  <c r="H59" i="61" s="1"/>
  <c r="H140" i="62"/>
  <c r="I241" i="62"/>
  <c r="H261" i="62"/>
  <c r="H401" i="62" s="1"/>
  <c r="I123" i="62"/>
  <c r="I89" i="62"/>
  <c r="I63" i="46"/>
  <c r="I76" i="46" s="1"/>
  <c r="G252" i="62"/>
  <c r="G139" i="62"/>
  <c r="G242" i="62" s="1"/>
  <c r="I259" i="62"/>
  <c r="I8" i="34"/>
  <c r="I60" i="34" s="1"/>
  <c r="J10" i="62"/>
  <c r="G274" i="62"/>
  <c r="G97" i="62"/>
  <c r="G259" i="62"/>
  <c r="G286" i="62"/>
  <c r="G397" i="62"/>
  <c r="G300" i="62"/>
  <c r="I8" i="46"/>
  <c r="I8" i="18"/>
  <c r="I8" i="67" s="1"/>
  <c r="I9" i="47"/>
  <c r="G7" i="63"/>
  <c r="J80" i="46" s="1"/>
  <c r="J85" i="62" l="1"/>
  <c r="J92" i="62"/>
  <c r="J255" i="62" s="1"/>
  <c r="J86" i="62"/>
  <c r="J250" i="62" s="1"/>
  <c r="J84" i="62"/>
  <c r="J248" i="62" s="1"/>
  <c r="J83" i="62"/>
  <c r="J247" i="62" s="1"/>
  <c r="J87" i="62"/>
  <c r="J251" i="62" s="1"/>
  <c r="J94" i="62"/>
  <c r="J257" i="62" s="1"/>
  <c r="J95" i="62"/>
  <c r="J258" i="62" s="1"/>
  <c r="J93" i="62"/>
  <c r="J256" i="62" s="1"/>
  <c r="F55" i="61"/>
  <c r="H24" i="62"/>
  <c r="G93" i="61" s="1"/>
  <c r="J134" i="62"/>
  <c r="J297" i="62" s="1"/>
  <c r="J133" i="62"/>
  <c r="J296" i="62" s="1"/>
  <c r="J16" i="62"/>
  <c r="J249" i="62"/>
  <c r="J100" i="62"/>
  <c r="J265" i="62" s="1"/>
  <c r="G40" i="67"/>
  <c r="G33" i="67"/>
  <c r="G61" i="61"/>
  <c r="F57" i="61"/>
  <c r="G32" i="62"/>
  <c r="G33" i="62" s="1"/>
  <c r="I17" i="62"/>
  <c r="H35" i="67"/>
  <c r="G18" i="62"/>
  <c r="G24" i="62" s="1"/>
  <c r="F38" i="67"/>
  <c r="I20" i="62"/>
  <c r="H58" i="61" s="1"/>
  <c r="H28" i="67"/>
  <c r="F32" i="67"/>
  <c r="F37" i="67" s="1"/>
  <c r="I22" i="62"/>
  <c r="H60" i="61" s="1"/>
  <c r="H31" i="67"/>
  <c r="I19" i="62"/>
  <c r="H25" i="67"/>
  <c r="G39" i="67"/>
  <c r="G42" i="67"/>
  <c r="J52" i="62"/>
  <c r="J302" i="62"/>
  <c r="I397" i="62"/>
  <c r="H403" i="62"/>
  <c r="H402" i="62" s="1"/>
  <c r="I45" i="18"/>
  <c r="F20" i="63"/>
  <c r="I71" i="46"/>
  <c r="I74" i="46" s="1"/>
  <c r="I77" i="46" s="1"/>
  <c r="I286" i="62"/>
  <c r="I274" i="62"/>
  <c r="I252" i="62"/>
  <c r="I97" i="62"/>
  <c r="I139" i="62"/>
  <c r="I242" i="62" s="1"/>
  <c r="J126" i="62"/>
  <c r="J289" i="62" s="1"/>
  <c r="J114" i="62"/>
  <c r="J277" i="62" s="1"/>
  <c r="J115" i="62"/>
  <c r="J278" i="62" s="1"/>
  <c r="J116" i="62"/>
  <c r="J279" i="62" s="1"/>
  <c r="J117" i="62"/>
  <c r="J280" i="62" s="1"/>
  <c r="J118" i="62"/>
  <c r="J281" i="62" s="1"/>
  <c r="J119" i="62"/>
  <c r="J282" i="62" s="1"/>
  <c r="J120" i="62"/>
  <c r="J283" i="62" s="1"/>
  <c r="J121" i="62"/>
  <c r="J284" i="62" s="1"/>
  <c r="J122" i="62"/>
  <c r="J285" i="62" s="1"/>
  <c r="J128" i="62"/>
  <c r="J291" i="62" s="1"/>
  <c r="J130" i="62"/>
  <c r="J293" i="62" s="1"/>
  <c r="J312" i="62"/>
  <c r="J313" i="62"/>
  <c r="J314" i="62"/>
  <c r="J159" i="62"/>
  <c r="J315" i="62" s="1"/>
  <c r="J160" i="62"/>
  <c r="J316" i="62" s="1"/>
  <c r="J101" i="62"/>
  <c r="J266" i="62" s="1"/>
  <c r="J102" i="62"/>
  <c r="J267" i="62" s="1"/>
  <c r="J103" i="62"/>
  <c r="J268" i="62" s="1"/>
  <c r="J104" i="62"/>
  <c r="J269" i="62" s="1"/>
  <c r="J105" i="62"/>
  <c r="J270" i="62" s="1"/>
  <c r="J106" i="62"/>
  <c r="J271" i="62" s="1"/>
  <c r="J107" i="62"/>
  <c r="J272" i="62" s="1"/>
  <c r="J108" i="62"/>
  <c r="J273" i="62" s="1"/>
  <c r="J132" i="62"/>
  <c r="J295" i="62" s="1"/>
  <c r="J135" i="62"/>
  <c r="J298" i="62" s="1"/>
  <c r="J136" i="62"/>
  <c r="J299" i="62" s="1"/>
  <c r="J129" i="62"/>
  <c r="J292" i="62" s="1"/>
  <c r="J303" i="62"/>
  <c r="J304" i="62"/>
  <c r="J168" i="62"/>
  <c r="J324" i="62" s="1"/>
  <c r="J174" i="62"/>
  <c r="J330" i="62" s="1"/>
  <c r="J175" i="62"/>
  <c r="J331" i="62" s="1"/>
  <c r="J176" i="62"/>
  <c r="J332" i="62" s="1"/>
  <c r="J177" i="62"/>
  <c r="J333" i="62" s="1"/>
  <c r="J178" i="62"/>
  <c r="J334" i="62" s="1"/>
  <c r="J199" i="62"/>
  <c r="J355" i="62" s="1"/>
  <c r="J200" i="62"/>
  <c r="J356" i="62" s="1"/>
  <c r="J201" i="62"/>
  <c r="J357" i="62" s="1"/>
  <c r="J202" i="62"/>
  <c r="J358" i="62" s="1"/>
  <c r="J203" i="62"/>
  <c r="J359" i="62" s="1"/>
  <c r="J223" i="62"/>
  <c r="J379" i="62" s="1"/>
  <c r="J224" i="62"/>
  <c r="J380" i="62" s="1"/>
  <c r="J225" i="62"/>
  <c r="J381" i="62" s="1"/>
  <c r="J226" i="62"/>
  <c r="J382" i="62" s="1"/>
  <c r="J227" i="62"/>
  <c r="J383" i="62" s="1"/>
  <c r="J127" i="62"/>
  <c r="J290" i="62" s="1"/>
  <c r="J306" i="62"/>
  <c r="J307" i="62"/>
  <c r="J308" i="62"/>
  <c r="J309" i="62"/>
  <c r="J310" i="62"/>
  <c r="J162" i="62"/>
  <c r="J318" i="62" s="1"/>
  <c r="J164" i="62"/>
  <c r="J320" i="62" s="1"/>
  <c r="J166" i="62"/>
  <c r="J322" i="62" s="1"/>
  <c r="J180" i="62"/>
  <c r="J336" i="62" s="1"/>
  <c r="J181" i="62"/>
  <c r="J337" i="62" s="1"/>
  <c r="J182" i="62"/>
  <c r="J338" i="62" s="1"/>
  <c r="J183" i="62"/>
  <c r="J339" i="62" s="1"/>
  <c r="J184" i="62"/>
  <c r="J340" i="62" s="1"/>
  <c r="J205" i="62"/>
  <c r="J361" i="62" s="1"/>
  <c r="J206" i="62"/>
  <c r="J362" i="62" s="1"/>
  <c r="J207" i="62"/>
  <c r="J363" i="62" s="1"/>
  <c r="J208" i="62"/>
  <c r="J364" i="62" s="1"/>
  <c r="J209" i="62"/>
  <c r="J365" i="62" s="1"/>
  <c r="J165" i="62"/>
  <c r="J321" i="62" s="1"/>
  <c r="J169" i="62"/>
  <c r="J325" i="62" s="1"/>
  <c r="J170" i="62"/>
  <c r="J326" i="62" s="1"/>
  <c r="J171" i="62"/>
  <c r="J327" i="62" s="1"/>
  <c r="J172" i="62"/>
  <c r="J328" i="62" s="1"/>
  <c r="J211" i="62"/>
  <c r="J367" i="62" s="1"/>
  <c r="J213" i="62"/>
  <c r="J369" i="62" s="1"/>
  <c r="J215" i="62"/>
  <c r="J371" i="62" s="1"/>
  <c r="J230" i="62"/>
  <c r="J386" i="62" s="1"/>
  <c r="J232" i="62"/>
  <c r="J388" i="62" s="1"/>
  <c r="J163" i="62"/>
  <c r="J319" i="62" s="1"/>
  <c r="J186" i="62"/>
  <c r="J342" i="62" s="1"/>
  <c r="J187" i="62"/>
  <c r="J343" i="62" s="1"/>
  <c r="J188" i="62"/>
  <c r="J344" i="62" s="1"/>
  <c r="J189" i="62"/>
  <c r="J345" i="62" s="1"/>
  <c r="J190" i="62"/>
  <c r="J346" i="62" s="1"/>
  <c r="J218" i="62"/>
  <c r="J374" i="62" s="1"/>
  <c r="J220" i="62"/>
  <c r="J376" i="62" s="1"/>
  <c r="J235" i="62"/>
  <c r="J391" i="62" s="1"/>
  <c r="J237" i="62"/>
  <c r="J393" i="62" s="1"/>
  <c r="J239" i="62"/>
  <c r="J395" i="62" s="1"/>
  <c r="J194" i="62"/>
  <c r="J350" i="62" s="1"/>
  <c r="J214" i="62"/>
  <c r="J370" i="62" s="1"/>
  <c r="J219" i="62"/>
  <c r="J375" i="62" s="1"/>
  <c r="J233" i="62"/>
  <c r="J389" i="62" s="1"/>
  <c r="J238" i="62"/>
  <c r="J394" i="62" s="1"/>
  <c r="J193" i="62"/>
  <c r="J349" i="62" s="1"/>
  <c r="J197" i="62"/>
  <c r="J353" i="62" s="1"/>
  <c r="J212" i="62"/>
  <c r="J368" i="62" s="1"/>
  <c r="J217" i="62"/>
  <c r="J373" i="62" s="1"/>
  <c r="J231" i="62"/>
  <c r="J387" i="62" s="1"/>
  <c r="J236" i="62"/>
  <c r="J392" i="62" s="1"/>
  <c r="J131" i="62"/>
  <c r="J294" i="62" s="1"/>
  <c r="J192" i="62"/>
  <c r="J348" i="62" s="1"/>
  <c r="J196" i="62"/>
  <c r="J352" i="62" s="1"/>
  <c r="J221" i="62"/>
  <c r="J377" i="62" s="1"/>
  <c r="J229" i="62"/>
  <c r="J385" i="62" s="1"/>
  <c r="J195" i="62"/>
  <c r="J351" i="62" s="1"/>
  <c r="G261" i="62"/>
  <c r="G401" i="62" s="1"/>
  <c r="J7" i="46"/>
  <c r="J62" i="46" s="1"/>
  <c r="J94" i="46" s="1"/>
  <c r="K9" i="62"/>
  <c r="K51" i="62" s="1"/>
  <c r="G140" i="62"/>
  <c r="G8" i="63"/>
  <c r="J81" i="46" s="1"/>
  <c r="J7" i="34"/>
  <c r="H55" i="61" l="1"/>
  <c r="H27" i="67"/>
  <c r="H32" i="67"/>
  <c r="H426" i="62"/>
  <c r="H427" i="62" s="1"/>
  <c r="H423" i="62"/>
  <c r="H424" i="62" s="1"/>
  <c r="J59" i="34"/>
  <c r="J8" i="47"/>
  <c r="H28" i="62"/>
  <c r="G22" i="67" s="1"/>
  <c r="G10" i="67" s="1"/>
  <c r="G11" i="67" s="1"/>
  <c r="G39" i="34"/>
  <c r="G12" i="34"/>
  <c r="H420" i="62"/>
  <c r="H421" i="62" s="1"/>
  <c r="H57" i="61"/>
  <c r="I32" i="62"/>
  <c r="G94" i="61"/>
  <c r="G23" i="34"/>
  <c r="H472" i="62"/>
  <c r="G95" i="61"/>
  <c r="H408" i="62"/>
  <c r="F56" i="61"/>
  <c r="F61" i="61" s="1"/>
  <c r="H43" i="67"/>
  <c r="G408" i="62"/>
  <c r="H45" i="67"/>
  <c r="H44" i="67"/>
  <c r="H41" i="67"/>
  <c r="H36" i="67"/>
  <c r="I18" i="62"/>
  <c r="I24" i="62" s="1"/>
  <c r="H38" i="67"/>
  <c r="I119" i="67"/>
  <c r="J300" i="62"/>
  <c r="I261" i="62"/>
  <c r="I401" i="62" s="1"/>
  <c r="G96" i="61"/>
  <c r="G28" i="62"/>
  <c r="F22" i="67" s="1"/>
  <c r="F10" i="67" s="1"/>
  <c r="F11" i="67" s="1"/>
  <c r="H96" i="61"/>
  <c r="G403" i="62"/>
  <c r="G402" i="62" s="1"/>
  <c r="I85" i="46"/>
  <c r="G38" i="34"/>
  <c r="H417" i="62"/>
  <c r="H418" i="62" s="1"/>
  <c r="H36" i="62"/>
  <c r="G22" i="34"/>
  <c r="J63" i="46"/>
  <c r="J71" i="46" s="1"/>
  <c r="J74" i="46" s="1"/>
  <c r="G420" i="62"/>
  <c r="G472" i="62"/>
  <c r="H411" i="62"/>
  <c r="H412" i="62" s="1"/>
  <c r="H414" i="62"/>
  <c r="H415" i="62" s="1"/>
  <c r="I140" i="62"/>
  <c r="J241" i="62"/>
  <c r="J137" i="62"/>
  <c r="J21" i="62" s="1"/>
  <c r="I59" i="61" s="1"/>
  <c r="J89" i="62"/>
  <c r="J9" i="47"/>
  <c r="K10" i="62"/>
  <c r="J109" i="62"/>
  <c r="J111" i="62" s="1"/>
  <c r="J123" i="62"/>
  <c r="J8" i="34"/>
  <c r="J60" i="34" s="1"/>
  <c r="H7" i="63"/>
  <c r="K80" i="46" s="1"/>
  <c r="J8" i="46"/>
  <c r="J8" i="18"/>
  <c r="J8" i="67" s="1"/>
  <c r="J76" i="46"/>
  <c r="G20" i="63" s="1"/>
  <c r="E29" i="38"/>
  <c r="D29" i="38" s="1"/>
  <c r="K87" i="62" l="1"/>
  <c r="K85" i="62"/>
  <c r="K92" i="62"/>
  <c r="K86" i="62"/>
  <c r="K250" i="62" s="1"/>
  <c r="K83" i="62"/>
  <c r="K247" i="62" s="1"/>
  <c r="K94" i="62"/>
  <c r="K84" i="62"/>
  <c r="K248" i="62" s="1"/>
  <c r="K95" i="62"/>
  <c r="K258" i="62" s="1"/>
  <c r="K93" i="62"/>
  <c r="K256" i="62" s="1"/>
  <c r="G421" i="62"/>
  <c r="G39" i="62"/>
  <c r="G409" i="62"/>
  <c r="H39" i="62"/>
  <c r="H409" i="62"/>
  <c r="G417" i="62"/>
  <c r="G418" i="62" s="1"/>
  <c r="G423" i="62"/>
  <c r="G424" i="62" s="1"/>
  <c r="G426" i="62"/>
  <c r="G427" i="62" s="1"/>
  <c r="K133" i="62"/>
  <c r="K296" i="62" s="1"/>
  <c r="K134" i="62"/>
  <c r="K297" i="62" s="1"/>
  <c r="K16" i="62"/>
  <c r="K100" i="62"/>
  <c r="K265" i="62" s="1"/>
  <c r="K255" i="62"/>
  <c r="K251" i="62"/>
  <c r="K249" i="62"/>
  <c r="G23" i="67"/>
  <c r="G53" i="67" s="1"/>
  <c r="Q132" i="38"/>
  <c r="G132" i="38"/>
  <c r="I132" i="38"/>
  <c r="O132" i="38"/>
  <c r="M132" i="38"/>
  <c r="F132" i="38"/>
  <c r="H132" i="38"/>
  <c r="N132" i="38"/>
  <c r="L132" i="38"/>
  <c r="J132" i="38"/>
  <c r="K132" i="38"/>
  <c r="P132" i="38"/>
  <c r="R132" i="38"/>
  <c r="H56" i="61"/>
  <c r="H61" i="61" s="1"/>
  <c r="H33" i="67"/>
  <c r="H40" i="67"/>
  <c r="H37" i="67"/>
  <c r="J22" i="62"/>
  <c r="I60" i="61" s="1"/>
  <c r="I31" i="67"/>
  <c r="J19" i="62"/>
  <c r="I25" i="67"/>
  <c r="I408" i="62"/>
  <c r="H42" i="67"/>
  <c r="H39" i="67"/>
  <c r="J20" i="62"/>
  <c r="I58" i="61" s="1"/>
  <c r="I28" i="67"/>
  <c r="J17" i="62"/>
  <c r="I35" i="67"/>
  <c r="F23" i="67"/>
  <c r="I403" i="62"/>
  <c r="I402" i="62" s="1"/>
  <c r="K257" i="62"/>
  <c r="H12" i="34"/>
  <c r="K52" i="62"/>
  <c r="K302" i="62"/>
  <c r="G36" i="62"/>
  <c r="I96" i="61"/>
  <c r="I28" i="62"/>
  <c r="H22" i="67" s="1"/>
  <c r="H10" i="67" s="1"/>
  <c r="H11" i="67" s="1"/>
  <c r="G414" i="62"/>
  <c r="H95" i="61"/>
  <c r="H93" i="61"/>
  <c r="H94" i="61"/>
  <c r="G411" i="62"/>
  <c r="G412" i="62" s="1"/>
  <c r="H428" i="62"/>
  <c r="H474" i="62" s="1"/>
  <c r="J85" i="46"/>
  <c r="H39" i="34"/>
  <c r="H40" i="62"/>
  <c r="I420" i="62"/>
  <c r="H38" i="34"/>
  <c r="H23" i="34"/>
  <c r="H22" i="34"/>
  <c r="I472" i="62"/>
  <c r="J286" i="62"/>
  <c r="J274" i="62"/>
  <c r="K7" i="46"/>
  <c r="K63" i="46" s="1"/>
  <c r="L9" i="62"/>
  <c r="L51" i="62" s="1"/>
  <c r="J139" i="62"/>
  <c r="J242" i="62" s="1"/>
  <c r="J97" i="62"/>
  <c r="J259" i="62"/>
  <c r="J252" i="62"/>
  <c r="K101" i="62"/>
  <c r="K266" i="62" s="1"/>
  <c r="K102" i="62"/>
  <c r="K267" i="62" s="1"/>
  <c r="K103" i="62"/>
  <c r="K268" i="62" s="1"/>
  <c r="K104" i="62"/>
  <c r="K269" i="62" s="1"/>
  <c r="K105" i="62"/>
  <c r="K270" i="62" s="1"/>
  <c r="K106" i="62"/>
  <c r="K271" i="62" s="1"/>
  <c r="K107" i="62"/>
  <c r="K272" i="62" s="1"/>
  <c r="K108" i="62"/>
  <c r="K273" i="62" s="1"/>
  <c r="K306" i="62"/>
  <c r="K307" i="62"/>
  <c r="K308" i="62"/>
  <c r="K309" i="62"/>
  <c r="K310" i="62"/>
  <c r="K114" i="62"/>
  <c r="K277" i="62" s="1"/>
  <c r="K115" i="62"/>
  <c r="K278" i="62" s="1"/>
  <c r="K116" i="62"/>
  <c r="K279" i="62" s="1"/>
  <c r="K117" i="62"/>
  <c r="K280" i="62" s="1"/>
  <c r="K118" i="62"/>
  <c r="K281" i="62" s="1"/>
  <c r="K119" i="62"/>
  <c r="K282" i="62" s="1"/>
  <c r="K120" i="62"/>
  <c r="K283" i="62" s="1"/>
  <c r="K121" i="62"/>
  <c r="K284" i="62" s="1"/>
  <c r="K122" i="62"/>
  <c r="K285" i="62" s="1"/>
  <c r="K126" i="62"/>
  <c r="K289" i="62" s="1"/>
  <c r="K128" i="62"/>
  <c r="K291" i="62" s="1"/>
  <c r="K130" i="62"/>
  <c r="K293" i="62" s="1"/>
  <c r="K312" i="62"/>
  <c r="K313" i="62"/>
  <c r="K314" i="62"/>
  <c r="K131" i="62"/>
  <c r="K294" i="62" s="1"/>
  <c r="K132" i="62"/>
  <c r="K295" i="62" s="1"/>
  <c r="K163" i="62"/>
  <c r="K319" i="62" s="1"/>
  <c r="K165" i="62"/>
  <c r="K321" i="62" s="1"/>
  <c r="K169" i="62"/>
  <c r="K325" i="62" s="1"/>
  <c r="K170" i="62"/>
  <c r="K326" i="62" s="1"/>
  <c r="K171" i="62"/>
  <c r="K327" i="62" s="1"/>
  <c r="K172" i="62"/>
  <c r="K328" i="62" s="1"/>
  <c r="K192" i="62"/>
  <c r="K348" i="62" s="1"/>
  <c r="K193" i="62"/>
  <c r="K349" i="62" s="1"/>
  <c r="K194" i="62"/>
  <c r="K350" i="62" s="1"/>
  <c r="K195" i="62"/>
  <c r="K351" i="62" s="1"/>
  <c r="K196" i="62"/>
  <c r="K352" i="62" s="1"/>
  <c r="K197" i="62"/>
  <c r="K353" i="62" s="1"/>
  <c r="K217" i="62"/>
  <c r="K373" i="62" s="1"/>
  <c r="K218" i="62"/>
  <c r="K374" i="62" s="1"/>
  <c r="K219" i="62"/>
  <c r="K375" i="62" s="1"/>
  <c r="K220" i="62"/>
  <c r="K376" i="62" s="1"/>
  <c r="K221" i="62"/>
  <c r="K377" i="62" s="1"/>
  <c r="K129" i="62"/>
  <c r="K292" i="62" s="1"/>
  <c r="K135" i="62"/>
  <c r="K298" i="62" s="1"/>
  <c r="K303" i="62"/>
  <c r="K304" i="62"/>
  <c r="K168" i="62"/>
  <c r="K324" i="62" s="1"/>
  <c r="K174" i="62"/>
  <c r="K330" i="62" s="1"/>
  <c r="K175" i="62"/>
  <c r="K331" i="62" s="1"/>
  <c r="K176" i="62"/>
  <c r="K332" i="62" s="1"/>
  <c r="K177" i="62"/>
  <c r="K333" i="62" s="1"/>
  <c r="K178" i="62"/>
  <c r="K334" i="62" s="1"/>
  <c r="K199" i="62"/>
  <c r="K355" i="62" s="1"/>
  <c r="K200" i="62"/>
  <c r="K356" i="62" s="1"/>
  <c r="K201" i="62"/>
  <c r="K357" i="62" s="1"/>
  <c r="K202" i="62"/>
  <c r="K358" i="62" s="1"/>
  <c r="K203" i="62"/>
  <c r="K359" i="62" s="1"/>
  <c r="K160" i="62"/>
  <c r="K316" i="62" s="1"/>
  <c r="K164" i="62"/>
  <c r="K320" i="62" s="1"/>
  <c r="K180" i="62"/>
  <c r="K336" i="62" s="1"/>
  <c r="K184" i="62"/>
  <c r="K340" i="62" s="1"/>
  <c r="K207" i="62"/>
  <c r="K363" i="62" s="1"/>
  <c r="K226" i="62"/>
  <c r="K382" i="62" s="1"/>
  <c r="K236" i="62"/>
  <c r="K392" i="62" s="1"/>
  <c r="K238" i="62"/>
  <c r="K394" i="62" s="1"/>
  <c r="K159" i="62"/>
  <c r="K315" i="62" s="1"/>
  <c r="K162" i="62"/>
  <c r="K318" i="62" s="1"/>
  <c r="K181" i="62"/>
  <c r="K337" i="62" s="1"/>
  <c r="K208" i="62"/>
  <c r="K364" i="62" s="1"/>
  <c r="K211" i="62"/>
  <c r="K367" i="62" s="1"/>
  <c r="K213" i="62"/>
  <c r="K369" i="62" s="1"/>
  <c r="K215" i="62"/>
  <c r="K371" i="62" s="1"/>
  <c r="K225" i="62"/>
  <c r="K381" i="62" s="1"/>
  <c r="K230" i="62"/>
  <c r="K386" i="62" s="1"/>
  <c r="K232" i="62"/>
  <c r="K388" i="62" s="1"/>
  <c r="K237" i="62"/>
  <c r="K393" i="62" s="1"/>
  <c r="K127" i="62"/>
  <c r="K290" i="62" s="1"/>
  <c r="K166" i="62"/>
  <c r="K322" i="62" s="1"/>
  <c r="K182" i="62"/>
  <c r="K338" i="62" s="1"/>
  <c r="K183" i="62"/>
  <c r="K339" i="62" s="1"/>
  <c r="K187" i="62"/>
  <c r="K343" i="62" s="1"/>
  <c r="K189" i="62"/>
  <c r="K345" i="62" s="1"/>
  <c r="K205" i="62"/>
  <c r="K361" i="62" s="1"/>
  <c r="K206" i="62"/>
  <c r="K362" i="62" s="1"/>
  <c r="K209" i="62"/>
  <c r="K365" i="62" s="1"/>
  <c r="K214" i="62"/>
  <c r="K370" i="62" s="1"/>
  <c r="K233" i="62"/>
  <c r="K389" i="62" s="1"/>
  <c r="K235" i="62"/>
  <c r="K391" i="62" s="1"/>
  <c r="K136" i="62"/>
  <c r="K299" i="62" s="1"/>
  <c r="K223" i="62"/>
  <c r="K379" i="62" s="1"/>
  <c r="K227" i="62"/>
  <c r="K383" i="62" s="1"/>
  <c r="K229" i="62"/>
  <c r="K385" i="62" s="1"/>
  <c r="K188" i="62"/>
  <c r="K344" i="62" s="1"/>
  <c r="K212" i="62"/>
  <c r="K368" i="62" s="1"/>
  <c r="K186" i="62"/>
  <c r="K342" i="62" s="1"/>
  <c r="K190" i="62"/>
  <c r="K346" i="62" s="1"/>
  <c r="K224" i="62"/>
  <c r="K380" i="62" s="1"/>
  <c r="K231" i="62"/>
  <c r="K387" i="62" s="1"/>
  <c r="K239" i="62"/>
  <c r="K395" i="62" s="1"/>
  <c r="J397" i="62"/>
  <c r="J45" i="18"/>
  <c r="J77" i="46"/>
  <c r="K7" i="34"/>
  <c r="H8" i="63"/>
  <c r="K81" i="46" s="1"/>
  <c r="K76" i="46"/>
  <c r="H20" i="63" s="1"/>
  <c r="E26" i="38"/>
  <c r="I55" i="61" l="1"/>
  <c r="H429" i="62"/>
  <c r="C41" i="38"/>
  <c r="G40" i="62"/>
  <c r="G415" i="62"/>
  <c r="I421" i="62"/>
  <c r="I39" i="62"/>
  <c r="I409" i="62"/>
  <c r="I27" i="67"/>
  <c r="I32" i="67"/>
  <c r="I423" i="62"/>
  <c r="I424" i="62" s="1"/>
  <c r="I426" i="62"/>
  <c r="I427" i="62" s="1"/>
  <c r="K59" i="34"/>
  <c r="K8" i="47"/>
  <c r="H23" i="67"/>
  <c r="H53" i="67" s="1"/>
  <c r="Q133" i="38"/>
  <c r="Q134" i="38"/>
  <c r="I57" i="61"/>
  <c r="J32" i="62"/>
  <c r="I44" i="67"/>
  <c r="I43" i="67"/>
  <c r="I45" i="67"/>
  <c r="J18" i="62"/>
  <c r="I56" i="61" s="1"/>
  <c r="I38" i="67"/>
  <c r="I41" i="67"/>
  <c r="I36" i="67"/>
  <c r="J119" i="67"/>
  <c r="I414" i="62"/>
  <c r="I417" i="62"/>
  <c r="I418" i="62" s="1"/>
  <c r="I36" i="62"/>
  <c r="I411" i="62"/>
  <c r="I412" i="62" s="1"/>
  <c r="K300" i="62"/>
  <c r="G428" i="62"/>
  <c r="G474" i="62" s="1"/>
  <c r="P134" i="38"/>
  <c r="L134" i="38"/>
  <c r="H134" i="38"/>
  <c r="P133" i="38"/>
  <c r="L133" i="38"/>
  <c r="H133" i="38"/>
  <c r="O134" i="38"/>
  <c r="K134" i="38"/>
  <c r="G134" i="38"/>
  <c r="O133" i="38"/>
  <c r="K133" i="38"/>
  <c r="G133" i="38"/>
  <c r="I134" i="38"/>
  <c r="M133" i="38"/>
  <c r="N134" i="38"/>
  <c r="J134" i="38"/>
  <c r="F134" i="38"/>
  <c r="N133" i="38"/>
  <c r="J133" i="38"/>
  <c r="F133" i="38"/>
  <c r="R134" i="38"/>
  <c r="M134" i="38"/>
  <c r="R133" i="38"/>
  <c r="I133" i="38"/>
  <c r="K85" i="46"/>
  <c r="H38" i="62"/>
  <c r="H41" i="62"/>
  <c r="K62" i="46"/>
  <c r="I8" i="63"/>
  <c r="L81" i="46" s="1"/>
  <c r="L10" i="62"/>
  <c r="K109" i="62"/>
  <c r="K111" i="62" s="1"/>
  <c r="J261" i="62"/>
  <c r="J401" i="62" s="1"/>
  <c r="K123" i="62"/>
  <c r="J140" i="62"/>
  <c r="K89" i="62"/>
  <c r="K241" i="62"/>
  <c r="K137" i="62"/>
  <c r="K21" i="62" s="1"/>
  <c r="J59" i="61" s="1"/>
  <c r="K8" i="34"/>
  <c r="K60" i="34" s="1"/>
  <c r="K45" i="18"/>
  <c r="K9" i="47"/>
  <c r="K8" i="18"/>
  <c r="K8" i="67" s="1"/>
  <c r="K8" i="46"/>
  <c r="L87" i="62" l="1"/>
  <c r="L251" i="62" s="1"/>
  <c r="L94" i="62"/>
  <c r="L257" i="62" s="1"/>
  <c r="L85" i="62"/>
  <c r="L249" i="62" s="1"/>
  <c r="L86" i="62"/>
  <c r="L83" i="62"/>
  <c r="L247" i="62" s="1"/>
  <c r="L92" i="62"/>
  <c r="L255" i="62" s="1"/>
  <c r="L84" i="62"/>
  <c r="L248" i="62" s="1"/>
  <c r="L95" i="62"/>
  <c r="L258" i="62" s="1"/>
  <c r="L93" i="62"/>
  <c r="L256" i="62" s="1"/>
  <c r="K71" i="46"/>
  <c r="K74" i="46" s="1"/>
  <c r="K77" i="46" s="1"/>
  <c r="K94" i="46"/>
  <c r="J24" i="62"/>
  <c r="I23" i="34" s="1"/>
  <c r="F44" i="18"/>
  <c r="G429" i="62"/>
  <c r="I40" i="62"/>
  <c r="I415" i="62"/>
  <c r="L134" i="62"/>
  <c r="L297" i="62" s="1"/>
  <c r="L133" i="62"/>
  <c r="L296" i="62" s="1"/>
  <c r="L16" i="62"/>
  <c r="L100" i="62"/>
  <c r="L265" i="62" s="1"/>
  <c r="L250" i="62"/>
  <c r="I61" i="61"/>
  <c r="K17" i="62"/>
  <c r="J35" i="67"/>
  <c r="K19" i="62"/>
  <c r="J25" i="67"/>
  <c r="K20" i="62"/>
  <c r="J58" i="61" s="1"/>
  <c r="J28" i="67"/>
  <c r="I42" i="67"/>
  <c r="I39" i="67"/>
  <c r="K22" i="62"/>
  <c r="J60" i="61" s="1"/>
  <c r="J31" i="67"/>
  <c r="I33" i="67"/>
  <c r="I37" i="67"/>
  <c r="I40" i="67"/>
  <c r="K119" i="67"/>
  <c r="I428" i="62"/>
  <c r="I474" i="62" s="1"/>
  <c r="G38" i="62"/>
  <c r="G41" i="62"/>
  <c r="L52" i="62"/>
  <c r="L302" i="62"/>
  <c r="J403" i="62"/>
  <c r="J402" i="62" s="1"/>
  <c r="L7" i="18"/>
  <c r="L7" i="67" s="1"/>
  <c r="I7" i="63"/>
  <c r="L80" i="46" s="1"/>
  <c r="G44" i="18"/>
  <c r="H43" i="62"/>
  <c r="L7" i="34"/>
  <c r="M10" i="62"/>
  <c r="K274" i="62"/>
  <c r="K286" i="62"/>
  <c r="K139" i="62"/>
  <c r="K242" i="62" s="1"/>
  <c r="K397" i="62"/>
  <c r="L114" i="62"/>
  <c r="L277" i="62" s="1"/>
  <c r="L115" i="62"/>
  <c r="L278" i="62" s="1"/>
  <c r="L116" i="62"/>
  <c r="L279" i="62" s="1"/>
  <c r="L117" i="62"/>
  <c r="L280" i="62" s="1"/>
  <c r="L118" i="62"/>
  <c r="L281" i="62" s="1"/>
  <c r="L119" i="62"/>
  <c r="L282" i="62" s="1"/>
  <c r="L120" i="62"/>
  <c r="L283" i="62" s="1"/>
  <c r="L121" i="62"/>
  <c r="L284" i="62" s="1"/>
  <c r="L122" i="62"/>
  <c r="L285" i="62" s="1"/>
  <c r="L101" i="62"/>
  <c r="L266" i="62" s="1"/>
  <c r="L102" i="62"/>
  <c r="L267" i="62" s="1"/>
  <c r="L103" i="62"/>
  <c r="L268" i="62" s="1"/>
  <c r="L104" i="62"/>
  <c r="L269" i="62" s="1"/>
  <c r="L105" i="62"/>
  <c r="L270" i="62" s="1"/>
  <c r="L106" i="62"/>
  <c r="L271" i="62" s="1"/>
  <c r="L107" i="62"/>
  <c r="L272" i="62" s="1"/>
  <c r="L108" i="62"/>
  <c r="L273" i="62" s="1"/>
  <c r="L127" i="62"/>
  <c r="L290" i="62" s="1"/>
  <c r="L129" i="62"/>
  <c r="L292" i="62" s="1"/>
  <c r="L131" i="62"/>
  <c r="L294" i="62" s="1"/>
  <c r="L303" i="62"/>
  <c r="L304" i="62"/>
  <c r="L168" i="62"/>
  <c r="L324" i="62" s="1"/>
  <c r="L306" i="62"/>
  <c r="L307" i="62"/>
  <c r="L308" i="62"/>
  <c r="L309" i="62"/>
  <c r="L310" i="62"/>
  <c r="L313" i="62"/>
  <c r="L159" i="62"/>
  <c r="L315" i="62" s="1"/>
  <c r="L186" i="62"/>
  <c r="L342" i="62" s="1"/>
  <c r="L187" i="62"/>
  <c r="L343" i="62" s="1"/>
  <c r="L188" i="62"/>
  <c r="L344" i="62" s="1"/>
  <c r="L189" i="62"/>
  <c r="L345" i="62" s="1"/>
  <c r="L190" i="62"/>
  <c r="L346" i="62" s="1"/>
  <c r="L211" i="62"/>
  <c r="L367" i="62" s="1"/>
  <c r="L212" i="62"/>
  <c r="L368" i="62" s="1"/>
  <c r="L213" i="62"/>
  <c r="L369" i="62" s="1"/>
  <c r="L214" i="62"/>
  <c r="L370" i="62" s="1"/>
  <c r="L215" i="62"/>
  <c r="L371" i="62" s="1"/>
  <c r="L235" i="62"/>
  <c r="L391" i="62" s="1"/>
  <c r="L236" i="62"/>
  <c r="L392" i="62" s="1"/>
  <c r="L237" i="62"/>
  <c r="L393" i="62" s="1"/>
  <c r="L238" i="62"/>
  <c r="L394" i="62" s="1"/>
  <c r="L239" i="62"/>
  <c r="L395" i="62" s="1"/>
  <c r="L130" i="62"/>
  <c r="L293" i="62" s="1"/>
  <c r="L132" i="62"/>
  <c r="L295" i="62" s="1"/>
  <c r="L314" i="62"/>
  <c r="L163" i="62"/>
  <c r="L319" i="62" s="1"/>
  <c r="L165" i="62"/>
  <c r="L321" i="62" s="1"/>
  <c r="L169" i="62"/>
  <c r="L325" i="62" s="1"/>
  <c r="L170" i="62"/>
  <c r="L326" i="62" s="1"/>
  <c r="L171" i="62"/>
  <c r="L327" i="62" s="1"/>
  <c r="L172" i="62"/>
  <c r="L328" i="62" s="1"/>
  <c r="L192" i="62"/>
  <c r="L348" i="62" s="1"/>
  <c r="L193" i="62"/>
  <c r="L349" i="62" s="1"/>
  <c r="L194" i="62"/>
  <c r="L350" i="62" s="1"/>
  <c r="L195" i="62"/>
  <c r="L351" i="62" s="1"/>
  <c r="L196" i="62"/>
  <c r="L352" i="62" s="1"/>
  <c r="L197" i="62"/>
  <c r="L353" i="62" s="1"/>
  <c r="L135" i="62"/>
  <c r="L298" i="62" s="1"/>
  <c r="L312" i="62"/>
  <c r="L166" i="62"/>
  <c r="L322" i="62" s="1"/>
  <c r="L176" i="62"/>
  <c r="L332" i="62" s="1"/>
  <c r="L183" i="62"/>
  <c r="L339" i="62" s="1"/>
  <c r="L199" i="62"/>
  <c r="L355" i="62" s="1"/>
  <c r="L203" i="62"/>
  <c r="L359" i="62" s="1"/>
  <c r="L206" i="62"/>
  <c r="L362" i="62" s="1"/>
  <c r="L217" i="62"/>
  <c r="L373" i="62" s="1"/>
  <c r="L219" i="62"/>
  <c r="L375" i="62" s="1"/>
  <c r="L221" i="62"/>
  <c r="L377" i="62" s="1"/>
  <c r="L223" i="62"/>
  <c r="L379" i="62" s="1"/>
  <c r="L227" i="62"/>
  <c r="L383" i="62" s="1"/>
  <c r="L229" i="62"/>
  <c r="L385" i="62" s="1"/>
  <c r="L231" i="62"/>
  <c r="L387" i="62" s="1"/>
  <c r="L233" i="62"/>
  <c r="L389" i="62" s="1"/>
  <c r="L126" i="62"/>
  <c r="L289" i="62" s="1"/>
  <c r="L128" i="62"/>
  <c r="L291" i="62" s="1"/>
  <c r="L160" i="62"/>
  <c r="L316" i="62" s="1"/>
  <c r="L164" i="62"/>
  <c r="L320" i="62" s="1"/>
  <c r="L177" i="62"/>
  <c r="L333" i="62" s="1"/>
  <c r="L180" i="62"/>
  <c r="L336" i="62" s="1"/>
  <c r="L184" i="62"/>
  <c r="L340" i="62" s="1"/>
  <c r="L200" i="62"/>
  <c r="L356" i="62" s="1"/>
  <c r="L207" i="62"/>
  <c r="L363" i="62" s="1"/>
  <c r="L226" i="62"/>
  <c r="L382" i="62" s="1"/>
  <c r="L136" i="62"/>
  <c r="L299" i="62" s="1"/>
  <c r="L218" i="62"/>
  <c r="L374" i="62" s="1"/>
  <c r="L162" i="62"/>
  <c r="L318" i="62" s="1"/>
  <c r="L175" i="62"/>
  <c r="L331" i="62" s="1"/>
  <c r="L202" i="62"/>
  <c r="L358" i="62" s="1"/>
  <c r="L182" i="62"/>
  <c r="L338" i="62" s="1"/>
  <c r="L205" i="62"/>
  <c r="L361" i="62" s="1"/>
  <c r="L230" i="62"/>
  <c r="L386" i="62" s="1"/>
  <c r="L232" i="62"/>
  <c r="L388" i="62" s="1"/>
  <c r="L178" i="62"/>
  <c r="L334" i="62" s="1"/>
  <c r="L201" i="62"/>
  <c r="L357" i="62" s="1"/>
  <c r="L208" i="62"/>
  <c r="L364" i="62" s="1"/>
  <c r="L174" i="62"/>
  <c r="L330" i="62" s="1"/>
  <c r="L209" i="62"/>
  <c r="L365" i="62" s="1"/>
  <c r="L224" i="62"/>
  <c r="L380" i="62" s="1"/>
  <c r="L181" i="62"/>
  <c r="L337" i="62" s="1"/>
  <c r="L220" i="62"/>
  <c r="L376" i="62" s="1"/>
  <c r="L225" i="62"/>
  <c r="L381" i="62" s="1"/>
  <c r="K97" i="62"/>
  <c r="K252" i="62"/>
  <c r="K259" i="62"/>
  <c r="L7" i="46"/>
  <c r="M9" i="62"/>
  <c r="M51" i="62" s="1"/>
  <c r="L76" i="46"/>
  <c r="L8" i="46"/>
  <c r="L9" i="47"/>
  <c r="L8" i="18"/>
  <c r="L8" i="67" s="1"/>
  <c r="L8" i="34"/>
  <c r="L60" i="34" s="1"/>
  <c r="K10" i="46"/>
  <c r="M93" i="62" l="1"/>
  <c r="M92" i="62"/>
  <c r="M255" i="62" s="1"/>
  <c r="M87" i="62"/>
  <c r="M85" i="62"/>
  <c r="M83" i="62"/>
  <c r="M94" i="62"/>
  <c r="M257" i="62" s="1"/>
  <c r="C257" i="62" s="1"/>
  <c r="M86" i="62"/>
  <c r="M84" i="62"/>
  <c r="M248" i="62" s="1"/>
  <c r="M95" i="62"/>
  <c r="M258" i="62" s="1"/>
  <c r="I93" i="61"/>
  <c r="I95" i="61"/>
  <c r="I94" i="61"/>
  <c r="J420" i="62"/>
  <c r="J421" i="62" s="1"/>
  <c r="J28" i="62"/>
  <c r="I22" i="67" s="1"/>
  <c r="I10" i="67" s="1"/>
  <c r="I11" i="67" s="1"/>
  <c r="J96" i="61"/>
  <c r="J408" i="62"/>
  <c r="J39" i="62" s="1"/>
  <c r="I39" i="34"/>
  <c r="J472" i="62"/>
  <c r="I12" i="34"/>
  <c r="I22" i="34"/>
  <c r="I38" i="34"/>
  <c r="J55" i="61"/>
  <c r="G43" i="62"/>
  <c r="C12" i="63" s="1"/>
  <c r="C14" i="63" s="1"/>
  <c r="G45" i="62" s="1"/>
  <c r="I429" i="62"/>
  <c r="F81" i="67"/>
  <c r="F53" i="18"/>
  <c r="F54" i="18" s="1"/>
  <c r="J27" i="67"/>
  <c r="J32" i="67"/>
  <c r="J36" i="62"/>
  <c r="J426" i="62"/>
  <c r="J427" i="62" s="1"/>
  <c r="J423" i="62"/>
  <c r="J424" i="62" s="1"/>
  <c r="L59" i="34"/>
  <c r="L8" i="47"/>
  <c r="M133" i="62"/>
  <c r="M296" i="62" s="1"/>
  <c r="M134" i="62"/>
  <c r="M297" i="62" s="1"/>
  <c r="C297" i="62" s="1"/>
  <c r="M16" i="62"/>
  <c r="M100" i="62"/>
  <c r="M265" i="62" s="1"/>
  <c r="M250" i="62"/>
  <c r="M251" i="62"/>
  <c r="M249" i="62"/>
  <c r="M247" i="62"/>
  <c r="M256" i="62"/>
  <c r="J57" i="61"/>
  <c r="K32" i="62"/>
  <c r="J43" i="67"/>
  <c r="J44" i="67"/>
  <c r="J41" i="67"/>
  <c r="J36" i="67"/>
  <c r="K18" i="62"/>
  <c r="K24" i="62" s="1"/>
  <c r="J38" i="67"/>
  <c r="J42" i="67" s="1"/>
  <c r="J45" i="67"/>
  <c r="G118" i="67"/>
  <c r="I38" i="62"/>
  <c r="I41" i="62"/>
  <c r="L300" i="62"/>
  <c r="E14" i="45"/>
  <c r="M205" i="62"/>
  <c r="M361" i="62" s="1"/>
  <c r="M302" i="62"/>
  <c r="K19" i="13"/>
  <c r="K16" i="61" s="1"/>
  <c r="K32" i="61" s="1"/>
  <c r="K21" i="13"/>
  <c r="K34" i="67" s="1"/>
  <c r="J417" i="62"/>
  <c r="J418" i="62" s="1"/>
  <c r="J411" i="62"/>
  <c r="J412" i="62" s="1"/>
  <c r="J414" i="62"/>
  <c r="D12" i="63"/>
  <c r="K178" i="61"/>
  <c r="H9" i="63"/>
  <c r="E76" i="46"/>
  <c r="I20" i="63"/>
  <c r="I21" i="63" s="1"/>
  <c r="H44" i="18"/>
  <c r="I43" i="62"/>
  <c r="E12" i="63" s="1"/>
  <c r="M52" i="62"/>
  <c r="M219" i="62"/>
  <c r="M375" i="62" s="1"/>
  <c r="M162" i="62"/>
  <c r="M318" i="62" s="1"/>
  <c r="M213" i="62"/>
  <c r="M369" i="62" s="1"/>
  <c r="M118" i="62"/>
  <c r="M281" i="62" s="1"/>
  <c r="M169" i="62"/>
  <c r="M325" i="62" s="1"/>
  <c r="M193" i="62"/>
  <c r="M349" i="62" s="1"/>
  <c r="M186" i="62"/>
  <c r="M342" i="62" s="1"/>
  <c r="M174" i="62"/>
  <c r="M330" i="62" s="1"/>
  <c r="M232" i="62"/>
  <c r="M388" i="62" s="1"/>
  <c r="M128" i="62"/>
  <c r="M291" i="62" s="1"/>
  <c r="M177" i="62"/>
  <c r="M333" i="62" s="1"/>
  <c r="M310" i="62"/>
  <c r="M304" i="62"/>
  <c r="M314" i="62"/>
  <c r="M226" i="62"/>
  <c r="M382" i="62" s="1"/>
  <c r="M203" i="62"/>
  <c r="M359" i="62" s="1"/>
  <c r="M306" i="62"/>
  <c r="M313" i="62"/>
  <c r="M230" i="62"/>
  <c r="M386" i="62" s="1"/>
  <c r="M183" i="62"/>
  <c r="M339" i="62" s="1"/>
  <c r="M135" i="62"/>
  <c r="M298" i="62" s="1"/>
  <c r="C298" i="62" s="1"/>
  <c r="M116" i="62"/>
  <c r="M279" i="62" s="1"/>
  <c r="M126" i="62"/>
  <c r="M289" i="62" s="1"/>
  <c r="M197" i="62"/>
  <c r="M353" i="62" s="1"/>
  <c r="M104" i="62"/>
  <c r="M269" i="62" s="1"/>
  <c r="M108" i="62"/>
  <c r="M273" i="62" s="1"/>
  <c r="M218" i="62"/>
  <c r="M374" i="62" s="1"/>
  <c r="M220" i="62"/>
  <c r="M376" i="62" s="1"/>
  <c r="M236" i="62"/>
  <c r="M392" i="62" s="1"/>
  <c r="M176" i="62"/>
  <c r="M332" i="62" s="1"/>
  <c r="M214" i="62"/>
  <c r="M370" i="62" s="1"/>
  <c r="M190" i="62"/>
  <c r="M346" i="62" s="1"/>
  <c r="M105" i="62"/>
  <c r="M270" i="62" s="1"/>
  <c r="M209" i="62"/>
  <c r="M365" i="62" s="1"/>
  <c r="M181" i="62"/>
  <c r="M337" i="62" s="1"/>
  <c r="M166" i="62"/>
  <c r="M322" i="62" s="1"/>
  <c r="M122" i="62"/>
  <c r="M285" i="62" s="1"/>
  <c r="M114" i="62"/>
  <c r="M277" i="62" s="1"/>
  <c r="M196" i="62"/>
  <c r="M352" i="62" s="1"/>
  <c r="M200" i="62"/>
  <c r="M356" i="62" s="1"/>
  <c r="M195" i="62"/>
  <c r="M351" i="62" s="1"/>
  <c r="M223" i="62"/>
  <c r="M379" i="62" s="1"/>
  <c r="M171" i="62"/>
  <c r="M327" i="62" s="1"/>
  <c r="M202" i="62"/>
  <c r="M358" i="62" s="1"/>
  <c r="M188" i="62"/>
  <c r="M344" i="62" s="1"/>
  <c r="M101" i="62"/>
  <c r="M266" i="62" s="1"/>
  <c r="M207" i="62"/>
  <c r="M363" i="62" s="1"/>
  <c r="M160" i="62"/>
  <c r="M316" i="62" s="1"/>
  <c r="M164" i="62"/>
  <c r="M320" i="62" s="1"/>
  <c r="M120" i="62"/>
  <c r="M283" i="62" s="1"/>
  <c r="M130" i="62"/>
  <c r="M293" i="62" s="1"/>
  <c r="M192" i="62"/>
  <c r="M348" i="62" s="1"/>
  <c r="M102" i="62"/>
  <c r="M267" i="62" s="1"/>
  <c r="M235" i="62"/>
  <c r="M391" i="62" s="1"/>
  <c r="M237" i="62"/>
  <c r="M393" i="62" s="1"/>
  <c r="M194" i="62"/>
  <c r="M350" i="62" s="1"/>
  <c r="M225" i="62"/>
  <c r="M381" i="62" s="1"/>
  <c r="M178" i="62"/>
  <c r="M334" i="62" s="1"/>
  <c r="M238" i="62"/>
  <c r="M394" i="62" s="1"/>
  <c r="M221" i="62"/>
  <c r="M377" i="62" s="1"/>
  <c r="M199" i="62"/>
  <c r="M355" i="62" s="1"/>
  <c r="M170" i="62"/>
  <c r="M326" i="62" s="1"/>
  <c r="M224" i="62"/>
  <c r="M380" i="62" s="1"/>
  <c r="M175" i="62"/>
  <c r="M331" i="62" s="1"/>
  <c r="M106" i="62"/>
  <c r="M271" i="62" s="1"/>
  <c r="M187" i="62"/>
  <c r="M343" i="62" s="1"/>
  <c r="M107" i="62"/>
  <c r="M272" i="62" s="1"/>
  <c r="M233" i="62"/>
  <c r="M389" i="62" s="1"/>
  <c r="M229" i="62"/>
  <c r="M385" i="62" s="1"/>
  <c r="M206" i="62"/>
  <c r="M362" i="62" s="1"/>
  <c r="M182" i="62"/>
  <c r="M338" i="62" s="1"/>
  <c r="M312" i="62"/>
  <c r="M163" i="62"/>
  <c r="M319" i="62" s="1"/>
  <c r="M132" i="62"/>
  <c r="M295" i="62" s="1"/>
  <c r="M119" i="62"/>
  <c r="M282" i="62" s="1"/>
  <c r="M115" i="62"/>
  <c r="M278" i="62" s="1"/>
  <c r="M129" i="62"/>
  <c r="M292" i="62" s="1"/>
  <c r="K81" i="61"/>
  <c r="K91" i="61"/>
  <c r="K149" i="61"/>
  <c r="K74" i="61"/>
  <c r="K80" i="61"/>
  <c r="K148" i="61"/>
  <c r="K82" i="61"/>
  <c r="K92" i="61"/>
  <c r="K73" i="61"/>
  <c r="K72" i="61"/>
  <c r="L70" i="61"/>
  <c r="L85" i="61"/>
  <c r="M309" i="62"/>
  <c r="M211" i="62"/>
  <c r="M367" i="62" s="1"/>
  <c r="M307" i="62"/>
  <c r="M215" i="62"/>
  <c r="M371" i="62" s="1"/>
  <c r="M239" i="62"/>
  <c r="M395" i="62" s="1"/>
  <c r="M201" i="62"/>
  <c r="M357" i="62" s="1"/>
  <c r="M227" i="62"/>
  <c r="M383" i="62" s="1"/>
  <c r="M217" i="62"/>
  <c r="M373" i="62" s="1"/>
  <c r="M172" i="62"/>
  <c r="M328" i="62" s="1"/>
  <c r="M168" i="62"/>
  <c r="M324" i="62" s="1"/>
  <c r="M212" i="62"/>
  <c r="M368" i="62" s="1"/>
  <c r="M308" i="62"/>
  <c r="M189" i="62"/>
  <c r="M345" i="62" s="1"/>
  <c r="M159" i="62"/>
  <c r="M315" i="62" s="1"/>
  <c r="M103" i="62"/>
  <c r="M268" i="62" s="1"/>
  <c r="M231" i="62"/>
  <c r="M387" i="62" s="1"/>
  <c r="M208" i="62"/>
  <c r="M364" i="62" s="1"/>
  <c r="M184" i="62"/>
  <c r="M340" i="62" s="1"/>
  <c r="M180" i="62"/>
  <c r="M336" i="62" s="1"/>
  <c r="M303" i="62"/>
  <c r="M165" i="62"/>
  <c r="M321" i="62" s="1"/>
  <c r="M136" i="62"/>
  <c r="M299" i="62" s="1"/>
  <c r="C299" i="62" s="1"/>
  <c r="M121" i="62"/>
  <c r="M284" i="62" s="1"/>
  <c r="M117" i="62"/>
  <c r="M280" i="62" s="1"/>
  <c r="M131" i="62"/>
  <c r="M294" i="62" s="1"/>
  <c r="M127" i="62"/>
  <c r="M290" i="62" s="1"/>
  <c r="L63" i="46"/>
  <c r="L62" i="46"/>
  <c r="L94" i="46" s="1"/>
  <c r="K261" i="62"/>
  <c r="K401" i="62" s="1"/>
  <c r="L109" i="62"/>
  <c r="L111" i="62" s="1"/>
  <c r="L123" i="62"/>
  <c r="L137" i="62"/>
  <c r="L21" i="62" s="1"/>
  <c r="K59" i="61" s="1"/>
  <c r="K140" i="62"/>
  <c r="L241" i="62"/>
  <c r="L89" i="62"/>
  <c r="K9" i="46"/>
  <c r="L4" i="53"/>
  <c r="L45" i="18"/>
  <c r="K95" i="13"/>
  <c r="K45" i="13"/>
  <c r="K11" i="34"/>
  <c r="I23" i="67" l="1"/>
  <c r="C38" i="63"/>
  <c r="F89" i="46" s="1"/>
  <c r="J409" i="62"/>
  <c r="J40" i="62"/>
  <c r="J415" i="62"/>
  <c r="J56" i="61"/>
  <c r="J61" i="61" s="1"/>
  <c r="L20" i="62"/>
  <c r="K58" i="61" s="1"/>
  <c r="K28" i="67"/>
  <c r="I53" i="67"/>
  <c r="J39" i="67"/>
  <c r="K408" i="62"/>
  <c r="J37" i="67"/>
  <c r="J40" i="67"/>
  <c r="J33" i="67"/>
  <c r="L17" i="62"/>
  <c r="K35" i="67"/>
  <c r="L22" i="62"/>
  <c r="K60" i="61" s="1"/>
  <c r="K31" i="67"/>
  <c r="L19" i="62"/>
  <c r="K25" i="67"/>
  <c r="L119" i="67"/>
  <c r="C119" i="67" s="1"/>
  <c r="H118" i="67"/>
  <c r="K30" i="34"/>
  <c r="K31" i="34"/>
  <c r="K29" i="34"/>
  <c r="M300" i="62"/>
  <c r="J12" i="34"/>
  <c r="D45" i="18"/>
  <c r="H33" i="63"/>
  <c r="H31" i="63"/>
  <c r="H21" i="63"/>
  <c r="K86" i="46" s="1"/>
  <c r="K96" i="61"/>
  <c r="K28" i="62"/>
  <c r="J22" i="67" s="1"/>
  <c r="J10" i="67" s="1"/>
  <c r="J11" i="67" s="1"/>
  <c r="J428" i="62"/>
  <c r="J474" i="62" s="1"/>
  <c r="J94" i="61"/>
  <c r="J95" i="61"/>
  <c r="J93" i="61"/>
  <c r="K403" i="62"/>
  <c r="K402" i="62" s="1"/>
  <c r="K177" i="61"/>
  <c r="J39" i="34"/>
  <c r="K179" i="61"/>
  <c r="L181" i="61"/>
  <c r="L31" i="62"/>
  <c r="K61" i="34"/>
  <c r="K82" i="46"/>
  <c r="L85" i="46"/>
  <c r="L86" i="46"/>
  <c r="B20" i="63"/>
  <c r="J22" i="34"/>
  <c r="K472" i="62"/>
  <c r="J38" i="34"/>
  <c r="J23" i="34"/>
  <c r="K420" i="62"/>
  <c r="C337" i="62"/>
  <c r="C374" i="62"/>
  <c r="C339" i="62"/>
  <c r="C382" i="62"/>
  <c r="C303" i="62"/>
  <c r="C309" i="62"/>
  <c r="C308" i="62"/>
  <c r="C332" i="62"/>
  <c r="C394" i="62"/>
  <c r="C310" i="62"/>
  <c r="C272" i="62"/>
  <c r="C359" i="62"/>
  <c r="C348" i="62"/>
  <c r="C321" i="62"/>
  <c r="C364" i="62"/>
  <c r="C345" i="62"/>
  <c r="C328" i="62"/>
  <c r="C265" i="62"/>
  <c r="C302" i="62"/>
  <c r="C315" i="62"/>
  <c r="K153" i="61"/>
  <c r="C249" i="62"/>
  <c r="C363" i="62"/>
  <c r="C296" i="62"/>
  <c r="M123" i="62"/>
  <c r="C266" i="62"/>
  <c r="M89" i="62"/>
  <c r="C338" i="62"/>
  <c r="C357" i="62"/>
  <c r="C367" i="62"/>
  <c r="M241" i="62"/>
  <c r="M137" i="62"/>
  <c r="M21" i="62" s="1"/>
  <c r="L59" i="61" s="1"/>
  <c r="M109" i="62"/>
  <c r="M111" i="62" s="1"/>
  <c r="L71" i="46"/>
  <c r="L74" i="46" s="1"/>
  <c r="C280" i="62"/>
  <c r="L397" i="62"/>
  <c r="C373" i="62"/>
  <c r="C268" i="62"/>
  <c r="C370" i="62"/>
  <c r="C355" i="62"/>
  <c r="C346" i="62"/>
  <c r="C340" i="62"/>
  <c r="C344" i="62"/>
  <c r="C371" i="62"/>
  <c r="C349" i="62"/>
  <c r="C307" i="62"/>
  <c r="C380" i="62"/>
  <c r="C389" i="62"/>
  <c r="C279" i="62"/>
  <c r="C383" i="62"/>
  <c r="C285" i="62"/>
  <c r="C290" i="62"/>
  <c r="C325" i="62"/>
  <c r="C376" i="62"/>
  <c r="L97" i="62"/>
  <c r="C267" i="62"/>
  <c r="C312" i="62"/>
  <c r="C291" i="62"/>
  <c r="C386" i="62"/>
  <c r="C270" i="62"/>
  <c r="C319" i="62"/>
  <c r="C289" i="62"/>
  <c r="C318" i="62"/>
  <c r="L286" i="62"/>
  <c r="C277" i="62"/>
  <c r="C281" i="62"/>
  <c r="C342" i="62"/>
  <c r="C322" i="62"/>
  <c r="C316" i="62"/>
  <c r="C330" i="62"/>
  <c r="C256" i="62"/>
  <c r="C282" i="62"/>
  <c r="L274" i="62"/>
  <c r="C269" i="62"/>
  <c r="C304" i="62"/>
  <c r="C362" i="62"/>
  <c r="C356" i="62"/>
  <c r="C365" i="62"/>
  <c r="C294" i="62"/>
  <c r="C350" i="62"/>
  <c r="C361" i="62"/>
  <c r="C258" i="62"/>
  <c r="C369" i="62"/>
  <c r="C375" i="62"/>
  <c r="C377" i="62"/>
  <c r="C358" i="62"/>
  <c r="M259" i="62"/>
  <c r="C273" i="62"/>
  <c r="C353" i="62"/>
  <c r="C368" i="62"/>
  <c r="L252" i="62"/>
  <c r="C247" i="62"/>
  <c r="C271" i="62"/>
  <c r="C336" i="62"/>
  <c r="C284" i="62"/>
  <c r="L259" i="62"/>
  <c r="C255" i="62"/>
  <c r="C351" i="62"/>
  <c r="C385" i="62"/>
  <c r="C331" i="62"/>
  <c r="C391" i="62"/>
  <c r="C248" i="62"/>
  <c r="C393" i="62"/>
  <c r="C387" i="62"/>
  <c r="C388" i="62"/>
  <c r="C250" i="62"/>
  <c r="C333" i="62"/>
  <c r="L139" i="62"/>
  <c r="L242" i="62" s="1"/>
  <c r="C292" i="62"/>
  <c r="C343" i="62"/>
  <c r="C320" i="62"/>
  <c r="C334" i="62"/>
  <c r="C395" i="62"/>
  <c r="L5" i="53"/>
  <c r="L6" i="53" s="1"/>
  <c r="M16" i="48"/>
  <c r="M32" i="48" s="1"/>
  <c r="I12" i="41"/>
  <c r="I28" i="41" s="1"/>
  <c r="L26" i="34"/>
  <c r="C45" i="18"/>
  <c r="G47" i="62" l="1"/>
  <c r="F68" i="34"/>
  <c r="F51" i="61"/>
  <c r="K55" i="61"/>
  <c r="K421" i="62"/>
  <c r="K39" i="62"/>
  <c r="K409" i="62"/>
  <c r="J429" i="62"/>
  <c r="K27" i="67"/>
  <c r="K32" i="67"/>
  <c r="K36" i="62"/>
  <c r="K423" i="62"/>
  <c r="K424" i="62" s="1"/>
  <c r="K426" i="62"/>
  <c r="K427" i="62" s="1"/>
  <c r="L184" i="61"/>
  <c r="L50" i="18" s="1"/>
  <c r="L182" i="61"/>
  <c r="K43" i="67"/>
  <c r="K57" i="61"/>
  <c r="L32" i="62"/>
  <c r="L33" i="62" s="1"/>
  <c r="M19" i="62"/>
  <c r="L25" i="67"/>
  <c r="M20" i="62"/>
  <c r="L58" i="61" s="1"/>
  <c r="L28" i="67"/>
  <c r="K45" i="67"/>
  <c r="J23" i="67"/>
  <c r="L18" i="62"/>
  <c r="K56" i="61" s="1"/>
  <c r="K38" i="67"/>
  <c r="M22" i="62"/>
  <c r="L60" i="61" s="1"/>
  <c r="L31" i="67"/>
  <c r="M17" i="62"/>
  <c r="L35" i="67"/>
  <c r="C35" i="67" s="1"/>
  <c r="K41" i="67"/>
  <c r="K36" i="67"/>
  <c r="K44" i="67"/>
  <c r="K414" i="62"/>
  <c r="K417" i="62"/>
  <c r="K418" i="62" s="1"/>
  <c r="K411" i="62"/>
  <c r="K412" i="62" s="1"/>
  <c r="I28" i="63"/>
  <c r="E85" i="46"/>
  <c r="M97" i="62"/>
  <c r="J41" i="62"/>
  <c r="J38" i="62"/>
  <c r="C295" i="62"/>
  <c r="C324" i="62"/>
  <c r="M286" i="62"/>
  <c r="C286" i="62" s="1"/>
  <c r="C314" i="62"/>
  <c r="M274" i="62"/>
  <c r="C283" i="62"/>
  <c r="C278" i="62"/>
  <c r="C313" i="62"/>
  <c r="C327" i="62"/>
  <c r="C392" i="62"/>
  <c r="C381" i="62"/>
  <c r="C379" i="62"/>
  <c r="C306" i="62"/>
  <c r="C326" i="62"/>
  <c r="C300" i="62"/>
  <c r="C293" i="62"/>
  <c r="M252" i="62"/>
  <c r="C352" i="62"/>
  <c r="M397" i="62"/>
  <c r="M139" i="62"/>
  <c r="M242" i="62" s="1"/>
  <c r="C251" i="62"/>
  <c r="E74" i="46"/>
  <c r="L77" i="46"/>
  <c r="L261" i="62"/>
  <c r="L401" i="62" s="1"/>
  <c r="L140" i="62"/>
  <c r="C259" i="62"/>
  <c r="K33" i="18"/>
  <c r="K76" i="67" s="1"/>
  <c r="K31" i="18"/>
  <c r="K74" i="67" s="1"/>
  <c r="K27" i="18"/>
  <c r="K70" i="67" s="1"/>
  <c r="K25" i="18"/>
  <c r="K7" i="18"/>
  <c r="K7" i="67" s="1"/>
  <c r="K6" i="18"/>
  <c r="J33" i="18"/>
  <c r="J76" i="67" s="1"/>
  <c r="J31" i="18"/>
  <c r="J74" i="67" s="1"/>
  <c r="J27" i="18"/>
  <c r="J70" i="67" s="1"/>
  <c r="J25" i="18"/>
  <c r="J7" i="18"/>
  <c r="J7" i="67" s="1"/>
  <c r="J6" i="18"/>
  <c r="L37" i="34"/>
  <c r="L32" i="34"/>
  <c r="K37" i="34"/>
  <c r="K32" i="34"/>
  <c r="J10" i="46"/>
  <c r="L55" i="61" l="1"/>
  <c r="L24" i="62"/>
  <c r="L420" i="62" s="1"/>
  <c r="K40" i="62"/>
  <c r="K415" i="62"/>
  <c r="L27" i="67"/>
  <c r="C27" i="67" s="1"/>
  <c r="L32" i="67"/>
  <c r="C25" i="67"/>
  <c r="J15" i="67"/>
  <c r="J80" i="67"/>
  <c r="J56" i="67"/>
  <c r="J117" i="67"/>
  <c r="K15" i="67"/>
  <c r="K80" i="67"/>
  <c r="K117" i="67"/>
  <c r="K56" i="67"/>
  <c r="K61" i="61"/>
  <c r="L57" i="61"/>
  <c r="M32" i="62"/>
  <c r="M33" i="62" s="1"/>
  <c r="L43" i="67"/>
  <c r="C43" i="67" s="1"/>
  <c r="L45" i="67"/>
  <c r="C45" i="67" s="1"/>
  <c r="C31" i="67"/>
  <c r="L44" i="67"/>
  <c r="C44" i="67" s="1"/>
  <c r="C28" i="67"/>
  <c r="M18" i="62"/>
  <c r="L56" i="61" s="1"/>
  <c r="L38" i="67"/>
  <c r="C38" i="67" s="1"/>
  <c r="K37" i="67"/>
  <c r="K40" i="67"/>
  <c r="K33" i="67"/>
  <c r="L41" i="67"/>
  <c r="C41" i="67" s="1"/>
  <c r="L36" i="67"/>
  <c r="C36" i="67" s="1"/>
  <c r="K42" i="67"/>
  <c r="K39" i="67"/>
  <c r="J53" i="67"/>
  <c r="J113" i="67"/>
  <c r="K109" i="67"/>
  <c r="L124" i="67"/>
  <c r="K111" i="67"/>
  <c r="J109" i="67"/>
  <c r="K113" i="67"/>
  <c r="J108" i="67"/>
  <c r="J68" i="67"/>
  <c r="K14" i="18"/>
  <c r="K96" i="67"/>
  <c r="J14" i="18"/>
  <c r="J96" i="67"/>
  <c r="J111" i="67"/>
  <c r="K108" i="67"/>
  <c r="K68" i="67"/>
  <c r="C274" i="62"/>
  <c r="M261" i="62"/>
  <c r="M401" i="62" s="1"/>
  <c r="I34" i="63"/>
  <c r="I35" i="63" s="1"/>
  <c r="I29" i="63"/>
  <c r="J19" i="13"/>
  <c r="J16" i="61" s="1"/>
  <c r="J32" i="61" s="1"/>
  <c r="J21" i="13"/>
  <c r="J34" i="67" s="1"/>
  <c r="K428" i="62"/>
  <c r="K474" i="62" s="1"/>
  <c r="C397" i="62"/>
  <c r="L403" i="62"/>
  <c r="L402" i="62" s="1"/>
  <c r="K43" i="18"/>
  <c r="J43" i="18"/>
  <c r="J179" i="61"/>
  <c r="G9" i="63"/>
  <c r="I44" i="18"/>
  <c r="J43" i="62"/>
  <c r="C252" i="62"/>
  <c r="M140" i="62"/>
  <c r="J74" i="61"/>
  <c r="J80" i="61"/>
  <c r="J148" i="61"/>
  <c r="J149" i="61"/>
  <c r="J73" i="61"/>
  <c r="J81" i="61"/>
  <c r="J72" i="61"/>
  <c r="J82" i="61"/>
  <c r="J92" i="61"/>
  <c r="J91" i="61"/>
  <c r="K85" i="61"/>
  <c r="K70"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M24" i="62" l="1"/>
  <c r="M408" i="62" s="1"/>
  <c r="K95" i="61"/>
  <c r="L472" i="62"/>
  <c r="L421" i="62"/>
  <c r="L28" i="62"/>
  <c r="K22" i="67" s="1"/>
  <c r="K10" i="67" s="1"/>
  <c r="K11" i="67" s="1"/>
  <c r="K93" i="61"/>
  <c r="K38" i="34"/>
  <c r="K39" i="34"/>
  <c r="K12" i="34"/>
  <c r="K429" i="62"/>
  <c r="K23" i="34"/>
  <c r="K94" i="61"/>
  <c r="K22" i="34"/>
  <c r="L408" i="62"/>
  <c r="L96" i="61"/>
  <c r="L426" i="62"/>
  <c r="L427" i="62" s="1"/>
  <c r="L423" i="62"/>
  <c r="L424" i="62" s="1"/>
  <c r="L61" i="61"/>
  <c r="L33" i="67"/>
  <c r="C33" i="67" s="1"/>
  <c r="L37" i="67"/>
  <c r="C37" i="67" s="1"/>
  <c r="L40" i="67"/>
  <c r="C40" i="67" s="1"/>
  <c r="L46" i="67"/>
  <c r="C32" i="67"/>
  <c r="L42" i="67"/>
  <c r="C42" i="67" s="1"/>
  <c r="L39" i="67"/>
  <c r="C39" i="67" s="1"/>
  <c r="J106" i="67"/>
  <c r="K101" i="67"/>
  <c r="J105" i="67"/>
  <c r="K102" i="67"/>
  <c r="K46" i="67"/>
  <c r="K103" i="67"/>
  <c r="I118" i="67"/>
  <c r="J101" i="67"/>
  <c r="K105" i="67"/>
  <c r="K106" i="67"/>
  <c r="J102" i="67"/>
  <c r="J46" i="67"/>
  <c r="J103" i="67"/>
  <c r="K21" i="18"/>
  <c r="K143" i="13"/>
  <c r="K144" i="13" s="1"/>
  <c r="J21" i="18"/>
  <c r="J143" i="13"/>
  <c r="J144" i="13" s="1"/>
  <c r="J30" i="34"/>
  <c r="J31" i="34"/>
  <c r="J29" i="34"/>
  <c r="M403" i="62"/>
  <c r="M402" i="62" s="1"/>
  <c r="C261" i="62"/>
  <c r="G33" i="63"/>
  <c r="G31" i="63"/>
  <c r="G21" i="63"/>
  <c r="J86" i="46" s="1"/>
  <c r="K181" i="61"/>
  <c r="J178" i="61"/>
  <c r="J177" i="61"/>
  <c r="F12" i="63"/>
  <c r="J9" i="18"/>
  <c r="J12" i="18" s="1"/>
  <c r="K9" i="18"/>
  <c r="K12" i="18" s="1"/>
  <c r="J61" i="34"/>
  <c r="J82" i="46"/>
  <c r="K31" i="62"/>
  <c r="K33" i="62" s="1"/>
  <c r="K38" i="62"/>
  <c r="K41" i="62"/>
  <c r="L417" i="62"/>
  <c r="L418" i="62" s="1"/>
  <c r="L36" i="62"/>
  <c r="L411" i="62"/>
  <c r="L412" i="62" s="1"/>
  <c r="L414" i="62"/>
  <c r="J153" i="61"/>
  <c r="J32" i="18"/>
  <c r="J75" i="67" s="1"/>
  <c r="K32" i="18"/>
  <c r="K75" i="67" s="1"/>
  <c r="L9" i="53"/>
  <c r="K5" i="53"/>
  <c r="L16" i="48"/>
  <c r="L32" i="48" s="1"/>
  <c r="H12" i="41"/>
  <c r="H28" i="41" s="1"/>
  <c r="K26" i="34"/>
  <c r="K28" i="18"/>
  <c r="K71" i="67" s="1"/>
  <c r="J28" i="18"/>
  <c r="J71" i="67" s="1"/>
  <c r="K16" i="34"/>
  <c r="L16" i="34"/>
  <c r="L93" i="61" l="1"/>
  <c r="K23" i="67"/>
  <c r="K53" i="67" s="1"/>
  <c r="L39" i="34"/>
  <c r="L17" i="34"/>
  <c r="M39" i="62"/>
  <c r="M409" i="62"/>
  <c r="L40" i="62"/>
  <c r="L415" i="62"/>
  <c r="M420" i="62"/>
  <c r="M421" i="62" s="1"/>
  <c r="L39" i="62"/>
  <c r="L409" i="62"/>
  <c r="L23" i="34"/>
  <c r="L94" i="61"/>
  <c r="L95" i="61"/>
  <c r="M28" i="62"/>
  <c r="L22" i="67" s="1"/>
  <c r="L10" i="67" s="1"/>
  <c r="L11" i="67" s="1"/>
  <c r="L22" i="34"/>
  <c r="L38" i="34"/>
  <c r="M472" i="62"/>
  <c r="C472" i="62" s="1"/>
  <c r="L12" i="34"/>
  <c r="M423" i="62"/>
  <c r="M424" i="62" s="1"/>
  <c r="M426" i="62"/>
  <c r="M427" i="62" s="1"/>
  <c r="K184" i="61"/>
  <c r="K50" i="18" s="1"/>
  <c r="K182" i="61"/>
  <c r="K112" i="67"/>
  <c r="J104" i="67"/>
  <c r="J110" i="67"/>
  <c r="J54" i="67"/>
  <c r="J112" i="67"/>
  <c r="K110" i="67"/>
  <c r="K54" i="67"/>
  <c r="K104" i="67"/>
  <c r="C403" i="62"/>
  <c r="M36" i="62"/>
  <c r="C36" i="62" s="1"/>
  <c r="M417" i="62"/>
  <c r="M418" i="62" s="1"/>
  <c r="M411" i="62"/>
  <c r="M412" i="62" s="1"/>
  <c r="M414" i="62"/>
  <c r="H28" i="63"/>
  <c r="L428" i="62"/>
  <c r="L474" i="62" s="1"/>
  <c r="K6" i="53"/>
  <c r="L11" i="53" s="1"/>
  <c r="L15" i="53" s="1"/>
  <c r="M15" i="53" s="1"/>
  <c r="M29" i="53"/>
  <c r="J44" i="18"/>
  <c r="K43" i="62"/>
  <c r="H31" i="18"/>
  <c r="H74" i="67" s="1"/>
  <c r="I31" i="18"/>
  <c r="I74" i="67" s="1"/>
  <c r="M40" i="62" l="1"/>
  <c r="M415" i="62"/>
  <c r="L23" i="67"/>
  <c r="L53" i="67" s="1"/>
  <c r="C53" i="67" s="1"/>
  <c r="L429" i="62"/>
  <c r="C22" i="67"/>
  <c r="J118" i="67"/>
  <c r="K124" i="67"/>
  <c r="I111" i="67"/>
  <c r="H111" i="67"/>
  <c r="M428" i="62"/>
  <c r="M474" i="62" s="1"/>
  <c r="H34" i="63"/>
  <c r="H35" i="63" s="1"/>
  <c r="H29" i="63"/>
  <c r="D31" i="18"/>
  <c r="G12" i="63"/>
  <c r="M35" i="53"/>
  <c r="M36" i="53" s="1"/>
  <c r="M37" i="53" s="1"/>
  <c r="M38" i="53" s="1"/>
  <c r="L38" i="62"/>
  <c r="L41" i="62"/>
  <c r="C31" i="18"/>
  <c r="C23" i="67" l="1"/>
  <c r="M43" i="62"/>
  <c r="I12" i="63" s="1"/>
  <c r="I13" i="63" s="1"/>
  <c r="M44" i="62" s="1"/>
  <c r="M429" i="62"/>
  <c r="C111" i="67"/>
  <c r="M38" i="62"/>
  <c r="C38" i="62" s="1"/>
  <c r="M41" i="62"/>
  <c r="G13" i="63"/>
  <c r="K44" i="62" s="1"/>
  <c r="M39" i="53"/>
  <c r="M40" i="53"/>
  <c r="K44" i="18"/>
  <c r="L43" i="62"/>
  <c r="C474" i="62"/>
  <c r="L44" i="18"/>
  <c r="L118" i="67" l="1"/>
  <c r="K118" i="67"/>
  <c r="D44" i="18"/>
  <c r="H12" i="63"/>
  <c r="C43" i="62"/>
  <c r="E47" i="38"/>
  <c r="E50" i="38"/>
  <c r="E52" i="38"/>
  <c r="D52" i="38" s="1"/>
  <c r="E21" i="38"/>
  <c r="E24" i="38"/>
  <c r="E25" i="38"/>
  <c r="E27" i="38"/>
  <c r="E28" i="38"/>
  <c r="G36" i="38"/>
  <c r="C118" i="67" l="1"/>
  <c r="H13" i="63"/>
  <c r="L44" i="62" s="1"/>
  <c r="B12" i="63"/>
  <c r="G93" i="38"/>
  <c r="G117" i="38"/>
  <c r="G119" i="38"/>
  <c r="G122" i="38"/>
  <c r="G121" i="38"/>
  <c r="G114" i="38"/>
  <c r="G112" i="38"/>
  <c r="G109" i="38"/>
  <c r="G106" i="38"/>
  <c r="G102" i="38"/>
  <c r="G118" i="38"/>
  <c r="G116" i="38"/>
  <c r="G115" i="38"/>
  <c r="G113" i="38"/>
  <c r="G111" i="38"/>
  <c r="G108" i="38"/>
  <c r="G105" i="38"/>
  <c r="G101" i="38"/>
  <c r="G120" i="38"/>
  <c r="G110" i="38"/>
  <c r="G107" i="38"/>
  <c r="G104" i="38"/>
  <c r="G103" i="38"/>
  <c r="D47" i="38"/>
  <c r="G90" i="38"/>
  <c r="G94" i="38"/>
  <c r="G92" i="38"/>
  <c r="G91" i="38"/>
  <c r="G89" i="38"/>
  <c r="G88" i="38"/>
  <c r="G87" i="38"/>
  <c r="G86" i="38"/>
  <c r="G85" i="38"/>
  <c r="G84" i="38"/>
  <c r="G83" i="38"/>
  <c r="G82" i="38"/>
  <c r="G81" i="38"/>
  <c r="G80" i="38"/>
  <c r="G79" i="38"/>
  <c r="G95" i="38" l="1"/>
  <c r="J32" i="34"/>
  <c r="I32" i="34"/>
  <c r="K39" i="45" l="1"/>
  <c r="H7" i="18"/>
  <c r="H7" i="67" s="1"/>
  <c r="I7" i="18"/>
  <c r="I7" i="67" s="1"/>
  <c r="H25" i="18"/>
  <c r="I25" i="18"/>
  <c r="H27" i="18"/>
  <c r="H70" i="67" s="1"/>
  <c r="I27" i="18"/>
  <c r="I70" i="67" s="1"/>
  <c r="H33" i="18"/>
  <c r="H76" i="67" s="1"/>
  <c r="I33" i="18"/>
  <c r="I76" i="67" s="1"/>
  <c r="H6" i="18"/>
  <c r="I6" i="18"/>
  <c r="H37" i="34"/>
  <c r="I37" i="34"/>
  <c r="J37" i="34"/>
  <c r="H10" i="46"/>
  <c r="I10" i="46"/>
  <c r="I15" i="67" l="1"/>
  <c r="I117" i="67"/>
  <c r="I80" i="67"/>
  <c r="I56" i="67"/>
  <c r="H15" i="67"/>
  <c r="H117" i="67"/>
  <c r="H80" i="67"/>
  <c r="H56" i="67"/>
  <c r="I113" i="67"/>
  <c r="H113" i="67"/>
  <c r="H14" i="18"/>
  <c r="H96" i="67"/>
  <c r="H109" i="67"/>
  <c r="I108" i="67"/>
  <c r="I68" i="67"/>
  <c r="H108" i="67"/>
  <c r="H68" i="67"/>
  <c r="I14" i="18"/>
  <c r="I96" i="67"/>
  <c r="I109" i="67"/>
  <c r="G10" i="46"/>
  <c r="H19" i="13"/>
  <c r="H16" i="61" s="1"/>
  <c r="H32" i="61" s="1"/>
  <c r="H21" i="13"/>
  <c r="H34" i="67" s="1"/>
  <c r="G21" i="13"/>
  <c r="G34" i="67" s="1"/>
  <c r="G16" i="61"/>
  <c r="G32" i="61" s="1"/>
  <c r="I19" i="13"/>
  <c r="I16" i="61" s="1"/>
  <c r="I32" i="61" s="1"/>
  <c r="I21" i="13"/>
  <c r="I34" i="67" s="1"/>
  <c r="D33" i="18"/>
  <c r="D25" i="18"/>
  <c r="D27" i="18"/>
  <c r="D9" i="63"/>
  <c r="H43" i="18"/>
  <c r="I43" i="18"/>
  <c r="E9" i="63"/>
  <c r="I177" i="61"/>
  <c r="F9" i="63"/>
  <c r="H70" i="61"/>
  <c r="H72" i="61"/>
  <c r="H82" i="61"/>
  <c r="H92" i="61"/>
  <c r="H81" i="61"/>
  <c r="H91" i="61"/>
  <c r="H149" i="61"/>
  <c r="H74" i="61"/>
  <c r="H80" i="61"/>
  <c r="H148" i="61"/>
  <c r="H73" i="61"/>
  <c r="H85" i="61"/>
  <c r="G81" i="61"/>
  <c r="G91" i="61"/>
  <c r="G74" i="61"/>
  <c r="G80" i="61"/>
  <c r="G148" i="61"/>
  <c r="G72" i="61"/>
  <c r="G92" i="61"/>
  <c r="G73" i="61"/>
  <c r="G85" i="61"/>
  <c r="G82" i="61"/>
  <c r="I73" i="61"/>
  <c r="I85" i="61"/>
  <c r="I70" i="61"/>
  <c r="I72" i="61"/>
  <c r="I82" i="61"/>
  <c r="I92" i="61"/>
  <c r="I148" i="61"/>
  <c r="I81" i="61"/>
  <c r="I91" i="61"/>
  <c r="I149" i="61"/>
  <c r="I74" i="61"/>
  <c r="I80" i="61"/>
  <c r="J85" i="61"/>
  <c r="J70" i="61"/>
  <c r="C27" i="18"/>
  <c r="C33" i="18"/>
  <c r="C25" i="18"/>
  <c r="H9" i="46"/>
  <c r="I4" i="53"/>
  <c r="G9" i="46"/>
  <c r="H4" i="53"/>
  <c r="I9" i="46"/>
  <c r="J4" i="53"/>
  <c r="I39" i="45"/>
  <c r="J39" i="45"/>
  <c r="I45" i="13"/>
  <c r="I95" i="13"/>
  <c r="G95" i="13"/>
  <c r="G45" i="13"/>
  <c r="H45" i="13"/>
  <c r="H95" i="13"/>
  <c r="H11" i="34"/>
  <c r="G11" i="34"/>
  <c r="I11" i="34"/>
  <c r="H128" i="13"/>
  <c r="H19" i="18" s="1"/>
  <c r="H131" i="13"/>
  <c r="H22" i="18" s="1"/>
  <c r="H132" i="13"/>
  <c r="I128" i="13"/>
  <c r="I19" i="18" s="1"/>
  <c r="I130" i="13"/>
  <c r="H130" i="13"/>
  <c r="I126" i="13"/>
  <c r="I18" i="18" s="1"/>
  <c r="I125" i="13"/>
  <c r="H125" i="13"/>
  <c r="H126" i="13"/>
  <c r="H18" i="18" s="1"/>
  <c r="C21" i="38"/>
  <c r="I132" i="13"/>
  <c r="I23" i="18" s="1"/>
  <c r="C27" i="38"/>
  <c r="D27" i="38" s="1"/>
  <c r="I136" i="13"/>
  <c r="C43" i="38"/>
  <c r="D43" i="38" s="1"/>
  <c r="G136" i="13"/>
  <c r="G143" i="13" s="1"/>
  <c r="H136" i="13"/>
  <c r="I131" i="13"/>
  <c r="C34" i="67" l="1"/>
  <c r="H175" i="61"/>
  <c r="H179" i="61" s="1"/>
  <c r="G145" i="13"/>
  <c r="G144" i="13"/>
  <c r="D21" i="38"/>
  <c r="C113" i="67"/>
  <c r="I106" i="67"/>
  <c r="H103" i="67"/>
  <c r="C109" i="67"/>
  <c r="H102" i="67"/>
  <c r="H46" i="67"/>
  <c r="H105" i="67"/>
  <c r="I102" i="67"/>
  <c r="I46" i="67"/>
  <c r="I103" i="67"/>
  <c r="C108" i="67"/>
  <c r="H143" i="13"/>
  <c r="H144" i="13" s="1"/>
  <c r="I21" i="18"/>
  <c r="I143" i="13"/>
  <c r="I144" i="13" s="1"/>
  <c r="H31" i="34"/>
  <c r="H29" i="34"/>
  <c r="H30" i="34"/>
  <c r="I31" i="34"/>
  <c r="I29" i="34"/>
  <c r="I30" i="34"/>
  <c r="G30" i="34"/>
  <c r="G31" i="34"/>
  <c r="G29" i="34"/>
  <c r="E33" i="63"/>
  <c r="E31" i="63"/>
  <c r="E21" i="63"/>
  <c r="H86" i="46" s="1"/>
  <c r="E13" i="63"/>
  <c r="I44" i="62" s="1"/>
  <c r="F33" i="63"/>
  <c r="F31" i="63"/>
  <c r="F21" i="63"/>
  <c r="I86" i="46" s="1"/>
  <c r="F13" i="63"/>
  <c r="J44" i="62" s="1"/>
  <c r="G61" i="34"/>
  <c r="D33" i="63"/>
  <c r="D31" i="63"/>
  <c r="D21" i="63"/>
  <c r="G86" i="46" s="1"/>
  <c r="D13" i="63"/>
  <c r="H44" i="62" s="1"/>
  <c r="H31" i="62"/>
  <c r="H33" i="62" s="1"/>
  <c r="H23" i="18"/>
  <c r="C132" i="13"/>
  <c r="H17" i="18"/>
  <c r="C125" i="13"/>
  <c r="G82" i="46"/>
  <c r="C136" i="13"/>
  <c r="C26" i="38"/>
  <c r="D26" i="38" s="1"/>
  <c r="C131" i="13"/>
  <c r="C25" i="38"/>
  <c r="D25" i="38" s="1"/>
  <c r="C130" i="13"/>
  <c r="C22" i="38"/>
  <c r="D22" i="38" s="1"/>
  <c r="C126" i="13"/>
  <c r="C24" i="38"/>
  <c r="D24" i="38" s="1"/>
  <c r="C128" i="13"/>
  <c r="H9" i="18"/>
  <c r="H12" i="18" s="1"/>
  <c r="I9" i="18"/>
  <c r="I12" i="18" s="1"/>
  <c r="J181" i="61"/>
  <c r="I179" i="61"/>
  <c r="B9" i="63"/>
  <c r="I178" i="61"/>
  <c r="I31" i="62"/>
  <c r="I33" i="62" s="1"/>
  <c r="H61" i="34"/>
  <c r="H82" i="46"/>
  <c r="J31" i="62"/>
  <c r="J33" i="62" s="1"/>
  <c r="I61" i="34"/>
  <c r="I82" i="46"/>
  <c r="G153" i="61"/>
  <c r="G177" i="61"/>
  <c r="G179" i="61"/>
  <c r="G178" i="61"/>
  <c r="H153" i="61"/>
  <c r="I153" i="61"/>
  <c r="C31" i="38"/>
  <c r="D31" i="38" s="1"/>
  <c r="C32" i="38"/>
  <c r="D32" i="38" s="1"/>
  <c r="H32" i="18"/>
  <c r="H75" i="67" s="1"/>
  <c r="I32" i="18"/>
  <c r="I75" i="67" s="1"/>
  <c r="G9" i="18"/>
  <c r="D28" i="38"/>
  <c r="J9" i="53"/>
  <c r="I5" i="53"/>
  <c r="I6" i="53" s="1"/>
  <c r="J16" i="48"/>
  <c r="J32" i="48" s="1"/>
  <c r="F12" i="41"/>
  <c r="F28" i="41" s="1"/>
  <c r="H26" i="34"/>
  <c r="H5" i="53"/>
  <c r="H6" i="53" s="1"/>
  <c r="I16" i="48"/>
  <c r="I32" i="48" s="1"/>
  <c r="E12" i="41"/>
  <c r="E28" i="41" s="1"/>
  <c r="J5" i="53"/>
  <c r="J6" i="53" s="1"/>
  <c r="K16" i="48"/>
  <c r="K32" i="48" s="1"/>
  <c r="G12" i="41"/>
  <c r="G28" i="41" s="1"/>
  <c r="I26" i="34"/>
  <c r="J26" i="34"/>
  <c r="G28" i="18"/>
  <c r="G71" i="67" s="1"/>
  <c r="H28" i="18"/>
  <c r="H71" i="67" s="1"/>
  <c r="G16" i="34"/>
  <c r="G19" i="18"/>
  <c r="G21" i="18"/>
  <c r="G32" i="18"/>
  <c r="G22" i="18"/>
  <c r="G23" i="18"/>
  <c r="G17" i="18"/>
  <c r="R36" i="38"/>
  <c r="M36" i="38"/>
  <c r="P36" i="38"/>
  <c r="N36" i="38"/>
  <c r="K36" i="38"/>
  <c r="J36" i="38"/>
  <c r="E44" i="38"/>
  <c r="E45" i="38"/>
  <c r="H21" i="18"/>
  <c r="I28" i="18"/>
  <c r="I71" i="67" s="1"/>
  <c r="I16" i="34"/>
  <c r="I17" i="18"/>
  <c r="H16" i="34"/>
  <c r="J16" i="34"/>
  <c r="I22" i="18"/>
  <c r="G43" i="34" l="1"/>
  <c r="G12" i="18"/>
  <c r="C9" i="18"/>
  <c r="G35" i="18"/>
  <c r="G69" i="67" s="1"/>
  <c r="H177" i="61"/>
  <c r="H176" i="61"/>
  <c r="I176" i="61"/>
  <c r="I181" i="61" s="1"/>
  <c r="J184" i="61"/>
  <c r="J50" i="18" s="1"/>
  <c r="J182" i="61"/>
  <c r="H178" i="61"/>
  <c r="D10" i="63"/>
  <c r="D11" i="63" s="1"/>
  <c r="G36" i="18"/>
  <c r="G75" i="67"/>
  <c r="C32" i="18"/>
  <c r="I101" i="67"/>
  <c r="H104" i="67"/>
  <c r="G112" i="67"/>
  <c r="H112" i="67"/>
  <c r="I104" i="67"/>
  <c r="G101" i="67"/>
  <c r="G104" i="67"/>
  <c r="H110" i="67"/>
  <c r="H54" i="67"/>
  <c r="H101" i="67"/>
  <c r="I105" i="67"/>
  <c r="G106" i="67"/>
  <c r="G103" i="67"/>
  <c r="C103" i="67" s="1"/>
  <c r="G110" i="67"/>
  <c r="G54" i="67"/>
  <c r="I110" i="67"/>
  <c r="I54" i="67"/>
  <c r="G105" i="67"/>
  <c r="D18" i="18"/>
  <c r="G102" i="67"/>
  <c r="C102" i="67" s="1"/>
  <c r="G46" i="67"/>
  <c r="C46" i="67" s="1"/>
  <c r="I112" i="67"/>
  <c r="H106" i="67"/>
  <c r="D19" i="18"/>
  <c r="D61" i="34"/>
  <c r="B33" i="63"/>
  <c r="B31" i="63"/>
  <c r="B21" i="63"/>
  <c r="E86" i="46" s="1"/>
  <c r="B13" i="63"/>
  <c r="C31" i="62"/>
  <c r="D23" i="18"/>
  <c r="D28" i="18"/>
  <c r="D22" i="18"/>
  <c r="D21" i="18"/>
  <c r="D32" i="18"/>
  <c r="P93" i="38"/>
  <c r="P120" i="38"/>
  <c r="P118" i="38"/>
  <c r="P116" i="38"/>
  <c r="P121" i="38"/>
  <c r="P114" i="38"/>
  <c r="P112" i="38"/>
  <c r="P110" i="38"/>
  <c r="P108" i="38"/>
  <c r="P106" i="38"/>
  <c r="P104" i="38"/>
  <c r="P102" i="38"/>
  <c r="P119" i="38"/>
  <c r="P115" i="38"/>
  <c r="P111" i="38"/>
  <c r="P107" i="38"/>
  <c r="P103" i="38"/>
  <c r="P117" i="38"/>
  <c r="P122" i="38"/>
  <c r="P113" i="38"/>
  <c r="P109" i="38"/>
  <c r="P105" i="38"/>
  <c r="P101" i="38"/>
  <c r="R93" i="38"/>
  <c r="R120" i="38"/>
  <c r="R121" i="38"/>
  <c r="R112" i="38"/>
  <c r="R108" i="38"/>
  <c r="R104" i="38"/>
  <c r="R102" i="38"/>
  <c r="R119" i="38"/>
  <c r="R117" i="38"/>
  <c r="R122" i="38"/>
  <c r="R115" i="38"/>
  <c r="R113" i="38"/>
  <c r="R111" i="38"/>
  <c r="R109" i="38"/>
  <c r="R107" i="38"/>
  <c r="R105" i="38"/>
  <c r="R103" i="38"/>
  <c r="R101" i="38"/>
  <c r="R118" i="38"/>
  <c r="R116" i="38"/>
  <c r="R114" i="38"/>
  <c r="R110" i="38"/>
  <c r="R106" i="38"/>
  <c r="D17" i="18"/>
  <c r="G28" i="63"/>
  <c r="C44" i="62"/>
  <c r="E82" i="46"/>
  <c r="K29" i="53"/>
  <c r="J15" i="53"/>
  <c r="K15" i="53" s="1"/>
  <c r="G181" i="61"/>
  <c r="G184" i="61" s="1"/>
  <c r="G50" i="18" s="1"/>
  <c r="G106" i="61"/>
  <c r="G45" i="61"/>
  <c r="M93" i="38"/>
  <c r="M117" i="38"/>
  <c r="M116" i="38"/>
  <c r="M122" i="38"/>
  <c r="M121" i="38"/>
  <c r="M114" i="38"/>
  <c r="M113" i="38"/>
  <c r="M110" i="38"/>
  <c r="M107" i="38"/>
  <c r="M104" i="38"/>
  <c r="M120" i="38"/>
  <c r="M119" i="38"/>
  <c r="M109" i="38"/>
  <c r="M106" i="38"/>
  <c r="M103" i="38"/>
  <c r="M102" i="38"/>
  <c r="M118" i="38"/>
  <c r="M115" i="38"/>
  <c r="M112" i="38"/>
  <c r="M111" i="38"/>
  <c r="M108" i="38"/>
  <c r="M105" i="38"/>
  <c r="M101" i="38"/>
  <c r="K93" i="38"/>
  <c r="K119" i="38"/>
  <c r="K118" i="38"/>
  <c r="K122" i="38"/>
  <c r="K121" i="38"/>
  <c r="K115" i="38"/>
  <c r="K114" i="38"/>
  <c r="K113" i="38"/>
  <c r="K112" i="38"/>
  <c r="K111" i="38"/>
  <c r="K110" i="38"/>
  <c r="K109" i="38"/>
  <c r="K108" i="38"/>
  <c r="K107" i="38"/>
  <c r="K106" i="38"/>
  <c r="K105" i="38"/>
  <c r="K104" i="38"/>
  <c r="K103" i="38"/>
  <c r="K102" i="38"/>
  <c r="K101" i="38"/>
  <c r="K117" i="38"/>
  <c r="K116" i="38"/>
  <c r="K120" i="38"/>
  <c r="N93" i="38"/>
  <c r="N120" i="38"/>
  <c r="N119" i="38"/>
  <c r="N118" i="38"/>
  <c r="N117" i="38"/>
  <c r="N116" i="38"/>
  <c r="N122" i="38"/>
  <c r="N121" i="38"/>
  <c r="N115" i="38"/>
  <c r="N114" i="38"/>
  <c r="N113" i="38"/>
  <c r="N112" i="38"/>
  <c r="N111" i="38"/>
  <c r="N110" i="38"/>
  <c r="N109" i="38"/>
  <c r="N108" i="38"/>
  <c r="N107" i="38"/>
  <c r="N106" i="38"/>
  <c r="N105" i="38"/>
  <c r="N104" i="38"/>
  <c r="N103" i="38"/>
  <c r="N102" i="38"/>
  <c r="N101" i="38"/>
  <c r="J93" i="38"/>
  <c r="J120" i="38"/>
  <c r="J119" i="38"/>
  <c r="J118" i="38"/>
  <c r="J122" i="38"/>
  <c r="J121" i="38"/>
  <c r="J115" i="38"/>
  <c r="J114" i="38"/>
  <c r="J113" i="38"/>
  <c r="J112" i="38"/>
  <c r="J111" i="38"/>
  <c r="J110" i="38"/>
  <c r="J109" i="38"/>
  <c r="J108" i="38"/>
  <c r="J107" i="38"/>
  <c r="J106" i="38"/>
  <c r="J105" i="38"/>
  <c r="J104" i="38"/>
  <c r="J103" i="38"/>
  <c r="J102" i="38"/>
  <c r="J101" i="38"/>
  <c r="J117" i="38"/>
  <c r="J116" i="38"/>
  <c r="D45" i="38"/>
  <c r="C17" i="18"/>
  <c r="C28" i="18"/>
  <c r="C21" i="18"/>
  <c r="C22" i="18"/>
  <c r="C23" i="18"/>
  <c r="C19" i="18"/>
  <c r="C18" i="18"/>
  <c r="G146" i="13"/>
  <c r="G39" i="18" s="1"/>
  <c r="F13" i="45"/>
  <c r="C36" i="38"/>
  <c r="N90" i="38"/>
  <c r="N92" i="38"/>
  <c r="N94" i="38"/>
  <c r="N91" i="38"/>
  <c r="K91" i="38"/>
  <c r="K90" i="38"/>
  <c r="K92" i="38"/>
  <c r="K94" i="38"/>
  <c r="P91" i="38"/>
  <c r="P90" i="38"/>
  <c r="P92" i="38"/>
  <c r="P94" i="38"/>
  <c r="J90" i="38"/>
  <c r="J92" i="38"/>
  <c r="J94" i="38"/>
  <c r="J91" i="38"/>
  <c r="M91" i="38"/>
  <c r="M92" i="38"/>
  <c r="M94" i="38"/>
  <c r="M90" i="38"/>
  <c r="R90" i="38"/>
  <c r="R91" i="38"/>
  <c r="R92" i="38"/>
  <c r="R94" i="38"/>
  <c r="R89" i="38"/>
  <c r="N89" i="38"/>
  <c r="P89" i="38"/>
  <c r="K89" i="38"/>
  <c r="J89" i="38"/>
  <c r="M89" i="38"/>
  <c r="P88" i="38"/>
  <c r="P87" i="38"/>
  <c r="P86" i="38"/>
  <c r="P85" i="38"/>
  <c r="P84" i="38"/>
  <c r="P83" i="38"/>
  <c r="P82" i="38"/>
  <c r="P81" i="38"/>
  <c r="P80" i="38"/>
  <c r="P79" i="38"/>
  <c r="J88" i="38"/>
  <c r="J87" i="38"/>
  <c r="J86" i="38"/>
  <c r="J85" i="38"/>
  <c r="J84" i="38"/>
  <c r="J82" i="38"/>
  <c r="J79" i="38"/>
  <c r="J83" i="38"/>
  <c r="J81" i="38"/>
  <c r="J80" i="38"/>
  <c r="M88" i="38"/>
  <c r="M87" i="38"/>
  <c r="M86" i="38"/>
  <c r="M85" i="38"/>
  <c r="M84" i="38"/>
  <c r="M83" i="38"/>
  <c r="M82" i="38"/>
  <c r="M81" i="38"/>
  <c r="M80" i="38"/>
  <c r="M79" i="38"/>
  <c r="K88" i="38"/>
  <c r="K87" i="38"/>
  <c r="K86" i="38"/>
  <c r="K85" i="38"/>
  <c r="K84" i="38"/>
  <c r="K83" i="38"/>
  <c r="K82" i="38"/>
  <c r="K81" i="38"/>
  <c r="K80" i="38"/>
  <c r="K79" i="38"/>
  <c r="R88" i="38"/>
  <c r="R87" i="38"/>
  <c r="R86" i="38"/>
  <c r="R85" i="38"/>
  <c r="R84" i="38"/>
  <c r="R83" i="38"/>
  <c r="R82" i="38"/>
  <c r="R81" i="38"/>
  <c r="R80" i="38"/>
  <c r="R79" i="38"/>
  <c r="N88" i="38"/>
  <c r="N87" i="38"/>
  <c r="N86" i="38"/>
  <c r="N85" i="38"/>
  <c r="N84" i="38"/>
  <c r="N83" i="38"/>
  <c r="N81" i="38"/>
  <c r="N82" i="38"/>
  <c r="N80" i="38"/>
  <c r="N79" i="38"/>
  <c r="H36" i="38"/>
  <c r="E48" i="38"/>
  <c r="G199" i="61" l="1"/>
  <c r="H181" i="61"/>
  <c r="H184" i="61" s="1"/>
  <c r="I184" i="61"/>
  <c r="I50" i="18" s="1"/>
  <c r="I182" i="61"/>
  <c r="G182" i="61"/>
  <c r="D14" i="63"/>
  <c r="D15" i="63" s="1"/>
  <c r="H46" i="62" s="1"/>
  <c r="G83" i="46"/>
  <c r="D22" i="63"/>
  <c r="D23" i="63" s="1"/>
  <c r="G88" i="46" s="1"/>
  <c r="H35" i="62"/>
  <c r="G62" i="34"/>
  <c r="C105" i="67"/>
  <c r="C104" i="67"/>
  <c r="C54" i="67"/>
  <c r="C101" i="67"/>
  <c r="G115" i="67"/>
  <c r="J124" i="67"/>
  <c r="C110" i="67"/>
  <c r="C106" i="67"/>
  <c r="C112" i="67"/>
  <c r="G107" i="61"/>
  <c r="G34" i="63"/>
  <c r="G29" i="63"/>
  <c r="D24" i="18"/>
  <c r="C24" i="18"/>
  <c r="D28" i="63"/>
  <c r="D29" i="63" s="1"/>
  <c r="F28" i="63"/>
  <c r="F29" i="63" s="1"/>
  <c r="K35" i="53"/>
  <c r="K36" i="53" s="1"/>
  <c r="K37" i="53" s="1"/>
  <c r="K40" i="53" s="1"/>
  <c r="G63" i="34"/>
  <c r="G84" i="46"/>
  <c r="G46" i="61"/>
  <c r="G41" i="18"/>
  <c r="H93" i="38"/>
  <c r="H118" i="38"/>
  <c r="H117" i="38"/>
  <c r="H116" i="38"/>
  <c r="H120" i="38"/>
  <c r="H119" i="38"/>
  <c r="H122" i="38"/>
  <c r="H121" i="38"/>
  <c r="H115" i="38"/>
  <c r="H114" i="38"/>
  <c r="H113" i="38"/>
  <c r="H112" i="38"/>
  <c r="H111" i="38"/>
  <c r="H110" i="38"/>
  <c r="H109" i="38"/>
  <c r="H108" i="38"/>
  <c r="H107" i="38"/>
  <c r="H106" i="38"/>
  <c r="H105" i="38"/>
  <c r="H104" i="38"/>
  <c r="H103" i="38"/>
  <c r="H102" i="38"/>
  <c r="H101" i="38"/>
  <c r="I36" i="38"/>
  <c r="D48" i="38"/>
  <c r="F39" i="45"/>
  <c r="C51" i="38" s="1"/>
  <c r="D51" i="38" s="1"/>
  <c r="G39" i="45"/>
  <c r="H90" i="38"/>
  <c r="H92" i="38"/>
  <c r="H94" i="38"/>
  <c r="H91" i="38"/>
  <c r="P95" i="38"/>
  <c r="N95" i="38"/>
  <c r="J95" i="38"/>
  <c r="M95" i="38"/>
  <c r="R95" i="38"/>
  <c r="H89" i="38"/>
  <c r="K95" i="38"/>
  <c r="H88" i="38"/>
  <c r="H87" i="38"/>
  <c r="H86" i="38"/>
  <c r="H85" i="38"/>
  <c r="H84" i="38"/>
  <c r="H83" i="38"/>
  <c r="H82" i="38"/>
  <c r="H81" i="38"/>
  <c r="H80" i="38"/>
  <c r="H79" i="38"/>
  <c r="C181" i="61" l="1"/>
  <c r="E28" i="63"/>
  <c r="E29" i="63" s="1"/>
  <c r="H182" i="61"/>
  <c r="H50" i="18"/>
  <c r="H124" i="67" s="1"/>
  <c r="C184" i="61"/>
  <c r="C44" i="38"/>
  <c r="D44" i="38" s="1"/>
  <c r="H45" i="62"/>
  <c r="G87" i="46"/>
  <c r="G78" i="67"/>
  <c r="G37" i="18"/>
  <c r="G63" i="67"/>
  <c r="G38" i="18"/>
  <c r="G40" i="18" s="1"/>
  <c r="G147" i="13"/>
  <c r="G148" i="13" s="1"/>
  <c r="I124" i="67"/>
  <c r="G89" i="67"/>
  <c r="G48" i="67"/>
  <c r="G58" i="67"/>
  <c r="G85" i="67"/>
  <c r="G88" i="67"/>
  <c r="G82" i="67"/>
  <c r="G81" i="67"/>
  <c r="G62" i="67"/>
  <c r="G65" i="67"/>
  <c r="G61" i="67"/>
  <c r="G64" i="67"/>
  <c r="G66" i="67"/>
  <c r="G60" i="67"/>
  <c r="G124" i="67"/>
  <c r="G87" i="67"/>
  <c r="G35" i="63"/>
  <c r="K38" i="53"/>
  <c r="K39" i="53"/>
  <c r="D34" i="63"/>
  <c r="D35" i="63" s="1"/>
  <c r="F34" i="63"/>
  <c r="F35" i="63" s="1"/>
  <c r="L36" i="38"/>
  <c r="L85" i="38" s="1"/>
  <c r="I117" i="38"/>
  <c r="I116" i="38"/>
  <c r="I120" i="38"/>
  <c r="I119" i="38"/>
  <c r="I118" i="38"/>
  <c r="I93" i="38"/>
  <c r="I122" i="38"/>
  <c r="I121" i="38"/>
  <c r="I115" i="38"/>
  <c r="I111" i="38"/>
  <c r="I107" i="38"/>
  <c r="I103" i="38"/>
  <c r="I113" i="38"/>
  <c r="I109" i="38"/>
  <c r="I105" i="38"/>
  <c r="I101" i="38"/>
  <c r="I112" i="38"/>
  <c r="I114" i="38"/>
  <c r="I110" i="38"/>
  <c r="I106" i="38"/>
  <c r="I102" i="38"/>
  <c r="I108" i="38"/>
  <c r="I104" i="38"/>
  <c r="F10" i="18"/>
  <c r="K10" i="18"/>
  <c r="H39" i="45"/>
  <c r="D39" i="45" s="1"/>
  <c r="I92" i="38"/>
  <c r="I90" i="38"/>
  <c r="I91" i="38"/>
  <c r="I94" i="38"/>
  <c r="I89" i="38"/>
  <c r="H95" i="38"/>
  <c r="I88" i="38"/>
  <c r="I87" i="38"/>
  <c r="I86" i="38"/>
  <c r="I85" i="38"/>
  <c r="I84" i="38"/>
  <c r="I83" i="38"/>
  <c r="I82" i="38"/>
  <c r="I81" i="38"/>
  <c r="I80" i="38"/>
  <c r="I79" i="38"/>
  <c r="F36" i="38"/>
  <c r="B28" i="63" l="1"/>
  <c r="B29" i="63" s="1"/>
  <c r="D50" i="18"/>
  <c r="E34" i="63"/>
  <c r="E35" i="63" s="1"/>
  <c r="G201" i="61"/>
  <c r="G203" i="61" s="1"/>
  <c r="G46" i="18" s="1"/>
  <c r="C46" i="38"/>
  <c r="D46" i="38" s="1"/>
  <c r="C124" i="67"/>
  <c r="D36" i="63"/>
  <c r="D37" i="63" s="1"/>
  <c r="F119" i="38"/>
  <c r="F116" i="38"/>
  <c r="F120" i="38"/>
  <c r="F118" i="38"/>
  <c r="F117" i="38"/>
  <c r="L91" i="38"/>
  <c r="L118" i="38"/>
  <c r="L117" i="38"/>
  <c r="L116" i="38"/>
  <c r="L120" i="38"/>
  <c r="L119" i="38"/>
  <c r="L81" i="38"/>
  <c r="L93" i="38"/>
  <c r="L112" i="38"/>
  <c r="L108" i="38"/>
  <c r="L104" i="38"/>
  <c r="L114" i="38"/>
  <c r="L106" i="38"/>
  <c r="L102" i="38"/>
  <c r="L109" i="38"/>
  <c r="L105" i="38"/>
  <c r="L122" i="38"/>
  <c r="L121" i="38"/>
  <c r="L115" i="38"/>
  <c r="L111" i="38"/>
  <c r="L107" i="38"/>
  <c r="L103" i="38"/>
  <c r="L110" i="38"/>
  <c r="L101" i="38"/>
  <c r="L113" i="38"/>
  <c r="L82" i="38"/>
  <c r="L86" i="38"/>
  <c r="L89" i="38"/>
  <c r="L94" i="38"/>
  <c r="F93" i="38"/>
  <c r="F114" i="38"/>
  <c r="F110" i="38"/>
  <c r="F106" i="38"/>
  <c r="F102" i="38"/>
  <c r="F112" i="38"/>
  <c r="F108" i="38"/>
  <c r="F104" i="38"/>
  <c r="F115" i="38"/>
  <c r="F113" i="38"/>
  <c r="F109" i="38"/>
  <c r="F105" i="38"/>
  <c r="F101" i="38"/>
  <c r="F122" i="38"/>
  <c r="F107" i="38"/>
  <c r="F121" i="38"/>
  <c r="F111" i="38"/>
  <c r="F103" i="38"/>
  <c r="L79" i="38"/>
  <c r="L83" i="38"/>
  <c r="L87" i="38"/>
  <c r="L92" i="38"/>
  <c r="L80" i="38"/>
  <c r="L84" i="38"/>
  <c r="L88" i="38"/>
  <c r="L90" i="38"/>
  <c r="L10" i="18"/>
  <c r="C50" i="18"/>
  <c r="F90" i="38"/>
  <c r="F94" i="38"/>
  <c r="F91" i="38"/>
  <c r="F92" i="38"/>
  <c r="F89" i="38"/>
  <c r="I95" i="38"/>
  <c r="F37" i="38"/>
  <c r="F88" i="38"/>
  <c r="F87" i="38"/>
  <c r="F86" i="38"/>
  <c r="F85" i="38"/>
  <c r="F84" i="38"/>
  <c r="F83" i="38"/>
  <c r="F81" i="38"/>
  <c r="F80" i="38"/>
  <c r="F82" i="38"/>
  <c r="F79" i="38"/>
  <c r="E41" i="38"/>
  <c r="B34" i="63" l="1"/>
  <c r="B35" i="63" s="1"/>
  <c r="G120" i="67"/>
  <c r="D16" i="63"/>
  <c r="G47" i="61" s="1"/>
  <c r="G83" i="67"/>
  <c r="G37" i="38"/>
  <c r="E19" i="38"/>
  <c r="D19" i="38" s="1"/>
  <c r="L95" i="38"/>
  <c r="E20" i="38"/>
  <c r="D20" i="38" s="1"/>
  <c r="O36" i="38"/>
  <c r="D41" i="38"/>
  <c r="F95" i="38"/>
  <c r="D18" i="63" l="1"/>
  <c r="D19" i="63" s="1"/>
  <c r="G50" i="61" s="1"/>
  <c r="D17" i="63"/>
  <c r="G48" i="61" s="1"/>
  <c r="H37" i="38"/>
  <c r="O120" i="38"/>
  <c r="O119" i="38"/>
  <c r="O118" i="38"/>
  <c r="O117" i="38"/>
  <c r="O116" i="38"/>
  <c r="O93" i="38"/>
  <c r="O113" i="38"/>
  <c r="O109" i="38"/>
  <c r="O105" i="38"/>
  <c r="O101" i="38"/>
  <c r="O121" i="38"/>
  <c r="O102" i="38"/>
  <c r="O112" i="38"/>
  <c r="O108" i="38"/>
  <c r="O104" i="38"/>
  <c r="O115" i="38"/>
  <c r="O111" i="38"/>
  <c r="O107" i="38"/>
  <c r="O103" i="38"/>
  <c r="O114" i="38"/>
  <c r="O110" i="38"/>
  <c r="O122" i="38"/>
  <c r="O106" i="38"/>
  <c r="O92" i="38"/>
  <c r="O86" i="38"/>
  <c r="O82" i="38"/>
  <c r="O91" i="38"/>
  <c r="O83" i="38"/>
  <c r="O90" i="38"/>
  <c r="O85" i="38"/>
  <c r="O81" i="38"/>
  <c r="O94" i="38"/>
  <c r="O88" i="38"/>
  <c r="O84" i="38"/>
  <c r="O89" i="38"/>
  <c r="O87" i="38"/>
  <c r="O79" i="38"/>
  <c r="O80" i="38"/>
  <c r="E36" i="38"/>
  <c r="E125" i="38" s="1"/>
  <c r="I10" i="18"/>
  <c r="H10" i="18"/>
  <c r="F53" i="38"/>
  <c r="L53" i="38"/>
  <c r="L55" i="38" s="1"/>
  <c r="L67" i="38" s="1"/>
  <c r="O53" i="38"/>
  <c r="O55" i="38" s="1"/>
  <c r="O67" i="38" s="1"/>
  <c r="M53" i="38"/>
  <c r="M55" i="38" s="1"/>
  <c r="M67" i="38" s="1"/>
  <c r="N53" i="38"/>
  <c r="N55" i="38" s="1"/>
  <c r="N67" i="38" s="1"/>
  <c r="R53" i="38"/>
  <c r="R55" i="38" s="1"/>
  <c r="R67" i="38" s="1"/>
  <c r="I53" i="38"/>
  <c r="I55" i="38" s="1"/>
  <c r="I67" i="38" s="1"/>
  <c r="K53" i="38"/>
  <c r="K55" i="38" s="1"/>
  <c r="K67" i="38" s="1"/>
  <c r="J53" i="38"/>
  <c r="J55" i="38" s="1"/>
  <c r="J67" i="38" s="1"/>
  <c r="P53" i="38"/>
  <c r="P55" i="38" s="1"/>
  <c r="P67" i="38" s="1"/>
  <c r="H53" i="38"/>
  <c r="H55" i="38" s="1"/>
  <c r="H67" i="38" s="1"/>
  <c r="G49" i="61" l="1"/>
  <c r="F55" i="38"/>
  <c r="F96" i="38"/>
  <c r="F38" i="38"/>
  <c r="G38" i="38"/>
  <c r="G96" i="38"/>
  <c r="I37" i="38"/>
  <c r="H96" i="38"/>
  <c r="H38" i="38"/>
  <c r="O95" i="38"/>
  <c r="E116" i="38"/>
  <c r="E120" i="38"/>
  <c r="E119" i="38"/>
  <c r="E118" i="38"/>
  <c r="E117" i="38"/>
  <c r="E89" i="38"/>
  <c r="E103" i="38"/>
  <c r="E106" i="38"/>
  <c r="E105" i="38"/>
  <c r="E104" i="38"/>
  <c r="E108" i="38"/>
  <c r="E107" i="38"/>
  <c r="E111" i="38"/>
  <c r="E114" i="38"/>
  <c r="E121" i="38"/>
  <c r="E115" i="38"/>
  <c r="E109" i="38"/>
  <c r="E110" i="38"/>
  <c r="E112" i="38"/>
  <c r="E86" i="38"/>
  <c r="E85" i="38"/>
  <c r="E79" i="38"/>
  <c r="E91" i="38"/>
  <c r="E113" i="38"/>
  <c r="E101" i="38"/>
  <c r="E82" i="38"/>
  <c r="E88" i="38"/>
  <c r="D36" i="38"/>
  <c r="D37" i="38" s="1"/>
  <c r="E92" i="38"/>
  <c r="E90" i="38"/>
  <c r="E94" i="38"/>
  <c r="E93" i="38"/>
  <c r="E84" i="38"/>
  <c r="E87" i="38"/>
  <c r="E81" i="38"/>
  <c r="E83" i="38"/>
  <c r="E80" i="38"/>
  <c r="J10" i="18"/>
  <c r="F54" i="38"/>
  <c r="P54" i="38"/>
  <c r="R54" i="38"/>
  <c r="O54" i="38"/>
  <c r="J54" i="38"/>
  <c r="N54" i="38"/>
  <c r="L54" i="38"/>
  <c r="H54" i="38"/>
  <c r="I54" i="38"/>
  <c r="M54" i="38"/>
  <c r="K54" i="38"/>
  <c r="F58" i="38"/>
  <c r="G53" i="38"/>
  <c r="G55" i="38" s="1"/>
  <c r="G67" i="38" s="1"/>
  <c r="E102" i="38"/>
  <c r="F70" i="38" l="1"/>
  <c r="F72" i="38" s="1"/>
  <c r="F56" i="38"/>
  <c r="G56" i="38" s="1"/>
  <c r="H56" i="38" s="1"/>
  <c r="I56" i="38" s="1"/>
  <c r="J56" i="38" s="1"/>
  <c r="K56" i="38" s="1"/>
  <c r="L56" i="38" s="1"/>
  <c r="M56" i="38" s="1"/>
  <c r="N56" i="38" s="1"/>
  <c r="O56" i="38" s="1"/>
  <c r="P56" i="38" s="1"/>
  <c r="Q56" i="38" s="1"/>
  <c r="R56" i="38" s="1"/>
  <c r="J37" i="38"/>
  <c r="I96" i="38"/>
  <c r="I38" i="38"/>
  <c r="E95" i="38"/>
  <c r="G54" i="38"/>
  <c r="E53" i="38"/>
  <c r="G58" i="38"/>
  <c r="F68" i="38" l="1"/>
  <c r="E67" i="38"/>
  <c r="F59" i="38"/>
  <c r="F60" i="38" s="1"/>
  <c r="G59" i="38"/>
  <c r="G60" i="38" s="1"/>
  <c r="K37" i="38"/>
  <c r="J96" i="38"/>
  <c r="J38" i="38"/>
  <c r="E54" i="38"/>
  <c r="E129" i="38"/>
  <c r="H58" i="38"/>
  <c r="H59" i="38" s="1"/>
  <c r="H60" i="38" s="1"/>
  <c r="F71" i="38" l="1"/>
  <c r="F125" i="38" s="1"/>
  <c r="L37" i="38"/>
  <c r="K96" i="38"/>
  <c r="K38" i="38"/>
  <c r="I58" i="38"/>
  <c r="I59" i="38" s="1"/>
  <c r="I60" i="38" s="1"/>
  <c r="G66" i="38" l="1"/>
  <c r="F129" i="38"/>
  <c r="G127" i="38" s="1"/>
  <c r="M37" i="38"/>
  <c r="L96" i="38"/>
  <c r="L38" i="38"/>
  <c r="J58" i="38"/>
  <c r="J59" i="38" s="1"/>
  <c r="J60" i="38" s="1"/>
  <c r="G68" i="38" l="1"/>
  <c r="G69" i="38"/>
  <c r="N37" i="38"/>
  <c r="M96" i="38"/>
  <c r="M38" i="38"/>
  <c r="K58" i="38"/>
  <c r="K59" i="38" s="1"/>
  <c r="K60" i="38" s="1"/>
  <c r="G70" i="38" l="1"/>
  <c r="G72" i="38" s="1"/>
  <c r="G74" i="38" s="1"/>
  <c r="N96" i="38"/>
  <c r="N38" i="38"/>
  <c r="O37" i="38"/>
  <c r="Q37" i="38" s="1"/>
  <c r="L58" i="38"/>
  <c r="L59" i="38" s="1"/>
  <c r="L60" i="38" s="1"/>
  <c r="G71" i="38" l="1"/>
  <c r="G125" i="38" s="1"/>
  <c r="G129" i="38" s="1"/>
  <c r="H127" i="38" s="1"/>
  <c r="Q38" i="38"/>
  <c r="Q96" i="38"/>
  <c r="P37" i="38"/>
  <c r="O96" i="38"/>
  <c r="O38" i="38"/>
  <c r="M58" i="38"/>
  <c r="M59" i="38" s="1"/>
  <c r="M60" i="38" s="1"/>
  <c r="H66" i="38" l="1"/>
  <c r="H69" i="38" s="1"/>
  <c r="R37" i="38"/>
  <c r="P96" i="38"/>
  <c r="P38" i="38"/>
  <c r="N58" i="38"/>
  <c r="N59" i="38" s="1"/>
  <c r="N60" i="38" s="1"/>
  <c r="H68" i="38" l="1"/>
  <c r="H70" i="38" s="1"/>
  <c r="H71" i="38" s="1"/>
  <c r="R96" i="38"/>
  <c r="R38" i="38"/>
  <c r="O58" i="38"/>
  <c r="H72" i="38" l="1"/>
  <c r="H74" i="38" s="1"/>
  <c r="H125" i="38"/>
  <c r="I66" i="38"/>
  <c r="I69" i="38" s="1"/>
  <c r="O59" i="38"/>
  <c r="O60" i="38" s="1"/>
  <c r="P58" i="38"/>
  <c r="Q58" i="38" s="1"/>
  <c r="I68" i="38" l="1"/>
  <c r="I70" i="38" s="1"/>
  <c r="I71" i="38" s="1"/>
  <c r="R58" i="38"/>
  <c r="R59" i="38" s="1"/>
  <c r="R60" i="38" s="1"/>
  <c r="Q59" i="38"/>
  <c r="Q60" i="38" s="1"/>
  <c r="P59" i="38"/>
  <c r="P60" i="38" s="1"/>
  <c r="I72" i="38" l="1"/>
  <c r="I74" i="38" s="1"/>
  <c r="J66" i="38"/>
  <c r="L47" i="18"/>
  <c r="I47" i="18"/>
  <c r="J47" i="18"/>
  <c r="K47" i="18"/>
  <c r="G47" i="18"/>
  <c r="H47" i="18"/>
  <c r="I125" i="38" l="1"/>
  <c r="J69" i="38"/>
  <c r="J68" i="38"/>
  <c r="K121" i="67"/>
  <c r="H121" i="67"/>
  <c r="I121" i="67"/>
  <c r="J121" i="67"/>
  <c r="G84" i="67"/>
  <c r="G121" i="67"/>
  <c r="L121" i="67"/>
  <c r="D47" i="18"/>
  <c r="C47" i="18"/>
  <c r="J70" i="38" l="1"/>
  <c r="J71" i="38" s="1"/>
  <c r="C121" i="67"/>
  <c r="G10" i="18"/>
  <c r="C10" i="18" s="1"/>
  <c r="H43" i="34"/>
  <c r="E24" i="63" s="1"/>
  <c r="L43" i="34"/>
  <c r="I24" i="63" s="1"/>
  <c r="I43" i="34"/>
  <c r="F24" i="63" s="1"/>
  <c r="J43" i="34"/>
  <c r="G24" i="63" s="1"/>
  <c r="K43" i="34"/>
  <c r="H24" i="63" s="1"/>
  <c r="J72" i="38" l="1"/>
  <c r="J74" i="38" s="1"/>
  <c r="J125" i="38"/>
  <c r="K66" i="38"/>
  <c r="K64" i="34"/>
  <c r="H25" i="63"/>
  <c r="K65" i="34" s="1"/>
  <c r="J64" i="34"/>
  <c r="G25" i="63"/>
  <c r="J65" i="34" s="1"/>
  <c r="I64" i="34"/>
  <c r="F25" i="63"/>
  <c r="I65" i="34" s="1"/>
  <c r="L64" i="34"/>
  <c r="I25" i="63"/>
  <c r="L65" i="34" s="1"/>
  <c r="H64" i="34"/>
  <c r="E25" i="63"/>
  <c r="H65" i="34" s="1"/>
  <c r="C50" i="38"/>
  <c r="D24" i="63"/>
  <c r="C42" i="38"/>
  <c r="D42" i="38" s="1"/>
  <c r="K69" i="38" l="1"/>
  <c r="K68" i="38"/>
  <c r="G64" i="34"/>
  <c r="D25" i="63"/>
  <c r="G65" i="34" s="1"/>
  <c r="B24" i="63"/>
  <c r="B25" i="63" s="1"/>
  <c r="D26" i="63"/>
  <c r="D27" i="63" s="1"/>
  <c r="D38" i="63"/>
  <c r="D39" i="63" s="1"/>
  <c r="G49" i="18"/>
  <c r="H49" i="18"/>
  <c r="G53" i="18" l="1"/>
  <c r="G54" i="18" s="1"/>
  <c r="K70" i="38"/>
  <c r="H123" i="67"/>
  <c r="G123" i="67"/>
  <c r="G86" i="67"/>
  <c r="F14" i="45"/>
  <c r="D64" i="34"/>
  <c r="D65" i="34"/>
  <c r="H47" i="62"/>
  <c r="G51" i="61"/>
  <c r="G89" i="46"/>
  <c r="G68" i="34"/>
  <c r="G67" i="34"/>
  <c r="G66" i="34"/>
  <c r="D50" i="38"/>
  <c r="D53" i="38" s="1"/>
  <c r="C53" i="38"/>
  <c r="C55" i="38" s="1"/>
  <c r="I49" i="18"/>
  <c r="G57" i="18" l="1"/>
  <c r="G56" i="18"/>
  <c r="G55" i="18"/>
  <c r="K71" i="38"/>
  <c r="L66" i="38" s="1"/>
  <c r="K72" i="38"/>
  <c r="K74" i="38" s="1"/>
  <c r="E55" i="38"/>
  <c r="D55" i="38"/>
  <c r="I123" i="67"/>
  <c r="G127" i="67"/>
  <c r="G90" i="67"/>
  <c r="G49" i="67"/>
  <c r="C54" i="38"/>
  <c r="G69" i="34"/>
  <c r="G52" i="61"/>
  <c r="G90" i="46"/>
  <c r="H48" i="62"/>
  <c r="J49" i="18"/>
  <c r="G60" i="18" l="1"/>
  <c r="G91" i="18" s="1"/>
  <c r="G95" i="18" s="1"/>
  <c r="G116" i="18" s="1"/>
  <c r="K125" i="38"/>
  <c r="L69" i="38"/>
  <c r="L68" i="38"/>
  <c r="G129" i="67"/>
  <c r="G130" i="67" s="1"/>
  <c r="G50" i="67"/>
  <c r="J123" i="67"/>
  <c r="C43" i="34"/>
  <c r="K49" i="18"/>
  <c r="L49" i="18"/>
  <c r="G86" i="18" l="1"/>
  <c r="G87" i="18" s="1"/>
  <c r="G84" i="18"/>
  <c r="G61" i="18"/>
  <c r="G92" i="67" s="1"/>
  <c r="G16" i="67"/>
  <c r="G17" i="67" s="1"/>
  <c r="G91" i="67"/>
  <c r="G69" i="18"/>
  <c r="G115" i="18" a="1"/>
  <c r="G115" i="18" s="1"/>
  <c r="G103" i="18"/>
  <c r="G111" i="18" s="1"/>
  <c r="L70" i="38"/>
  <c r="K123" i="67"/>
  <c r="G131" i="67"/>
  <c r="L123" i="67"/>
  <c r="D49" i="18"/>
  <c r="C49" i="18"/>
  <c r="G118" i="18" l="1"/>
  <c r="G112" i="18"/>
  <c r="G113" i="18" s="1"/>
  <c r="L72" i="38"/>
  <c r="L74" i="38" s="1"/>
  <c r="L71" i="38"/>
  <c r="L125" i="38" s="1"/>
  <c r="C123" i="67"/>
  <c r="C44" i="18"/>
  <c r="F57" i="18" l="1"/>
  <c r="F56" i="18"/>
  <c r="M66" i="38"/>
  <c r="F90" i="67"/>
  <c r="F55" i="18"/>
  <c r="F60" i="18" l="1"/>
  <c r="F91" i="18" s="1"/>
  <c r="F95" i="18" s="1"/>
  <c r="F103" i="18" s="1"/>
  <c r="M69" i="38"/>
  <c r="M68" i="38"/>
  <c r="F18" i="67" l="1"/>
  <c r="G18" i="67" s="1"/>
  <c r="F91" i="67"/>
  <c r="F69" i="18"/>
  <c r="F73" i="18" s="1"/>
  <c r="F74" i="18" s="1"/>
  <c r="F78" i="18"/>
  <c r="F79" i="18" s="1"/>
  <c r="F75" i="18"/>
  <c r="F116" i="18"/>
  <c r="F86" i="18"/>
  <c r="F84" i="18"/>
  <c r="G119" i="18"/>
  <c r="F62" i="18"/>
  <c r="G62" i="18" s="1"/>
  <c r="F115" i="18" a="1"/>
  <c r="F115" i="18" s="1"/>
  <c r="F111" i="18"/>
  <c r="F118" i="18"/>
  <c r="M70" i="38"/>
  <c r="F94" i="67" l="1"/>
  <c r="F76" i="18"/>
  <c r="G68" i="18" s="1"/>
  <c r="G70" i="18" s="1"/>
  <c r="F71" i="18"/>
  <c r="F112" i="18"/>
  <c r="F113" i="18" s="1"/>
  <c r="G114" i="18"/>
  <c r="M72" i="38"/>
  <c r="M74" i="38" s="1"/>
  <c r="M71" i="38"/>
  <c r="G94" i="67"/>
  <c r="G19" i="67"/>
  <c r="G73" i="18" l="1"/>
  <c r="G74" i="18" s="1"/>
  <c r="M125" i="38"/>
  <c r="N66" i="38"/>
  <c r="G71" i="18"/>
  <c r="F324" i="35"/>
  <c r="G75" i="18" l="1"/>
  <c r="G78" i="18" s="1"/>
  <c r="G79" i="18" s="1"/>
  <c r="N68" i="38"/>
  <c r="N69" i="38"/>
  <c r="F265" i="35"/>
  <c r="G76" i="18" l="1"/>
  <c r="H68" i="18" s="1"/>
  <c r="H70" i="18" s="1"/>
  <c r="N70" i="38"/>
  <c r="N71" i="38" s="1"/>
  <c r="F239" i="35"/>
  <c r="F323" i="35"/>
  <c r="I265" i="35"/>
  <c r="I324" i="35"/>
  <c r="H265" i="35"/>
  <c r="H324" i="35"/>
  <c r="G265" i="35"/>
  <c r="G324" i="35"/>
  <c r="N72" i="38" l="1"/>
  <c r="N125" i="38" s="1"/>
  <c r="O66" i="38"/>
  <c r="J265" i="35"/>
  <c r="F331" i="35"/>
  <c r="F308" i="35" s="1"/>
  <c r="F240" i="35"/>
  <c r="I323" i="35"/>
  <c r="I239" i="35"/>
  <c r="G323" i="35"/>
  <c r="G239" i="35"/>
  <c r="J323" i="35"/>
  <c r="F327" i="35"/>
  <c r="J327" i="35" s="1"/>
  <c r="F310" i="35"/>
  <c r="H323" i="35"/>
  <c r="H239" i="35"/>
  <c r="J324" i="35"/>
  <c r="N74" i="38" l="1"/>
  <c r="O68" i="38"/>
  <c r="O69" i="38"/>
  <c r="F332" i="35"/>
  <c r="F242" i="35"/>
  <c r="F334" i="35" s="1"/>
  <c r="I331" i="35"/>
  <c r="I308" i="35" s="1"/>
  <c r="I240" i="35"/>
  <c r="H331" i="35"/>
  <c r="H308" i="35" s="1"/>
  <c r="H240" i="35"/>
  <c r="G331" i="35"/>
  <c r="G240" i="35"/>
  <c r="J239" i="35"/>
  <c r="G310" i="35"/>
  <c r="G327" i="35"/>
  <c r="H310" i="35"/>
  <c r="H327" i="35"/>
  <c r="I310" i="35"/>
  <c r="I327" i="35"/>
  <c r="O70" i="38" l="1"/>
  <c r="O72" i="38" s="1"/>
  <c r="O74"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71" i="38" l="1"/>
  <c r="O125" i="38" s="1"/>
  <c r="G314" i="35"/>
  <c r="G316" i="35" s="1"/>
  <c r="J332" i="35"/>
  <c r="G337" i="35"/>
  <c r="G339" i="35" s="1"/>
  <c r="F314" i="35"/>
  <c r="F316" i="35" s="1"/>
  <c r="H309" i="35"/>
  <c r="H314" i="35" s="1"/>
  <c r="H316" i="35" s="1"/>
  <c r="H337" i="35"/>
  <c r="H339" i="35" s="1"/>
  <c r="I309" i="35"/>
  <c r="I314" i="35" s="1"/>
  <c r="I316" i="35" s="1"/>
  <c r="I337" i="35"/>
  <c r="I339" i="35" s="1"/>
  <c r="J334" i="35"/>
  <c r="J311" i="35"/>
  <c r="P66" i="38" l="1"/>
  <c r="P69" i="38" s="1"/>
  <c r="J309" i="35"/>
  <c r="P68" i="38" l="1"/>
  <c r="P70" i="38" s="1"/>
  <c r="P71" i="38" l="1"/>
  <c r="Q66" i="38" s="1"/>
  <c r="P72" i="38"/>
  <c r="P74" i="38" s="1"/>
  <c r="H129" i="38"/>
  <c r="I127" i="38" s="1"/>
  <c r="I129" i="38" s="1"/>
  <c r="J127" i="38" s="1"/>
  <c r="J129" i="38" s="1"/>
  <c r="K127" i="38" s="1"/>
  <c r="K129" i="38" s="1"/>
  <c r="L127" i="38" s="1"/>
  <c r="L129" i="38" s="1"/>
  <c r="M127" i="38" s="1"/>
  <c r="M129" i="38" s="1"/>
  <c r="N127" i="38" s="1"/>
  <c r="N129" i="38" s="1"/>
  <c r="O127" i="38" s="1"/>
  <c r="O129" i="38" s="1"/>
  <c r="P125" i="38" l="1"/>
  <c r="Q69" i="38"/>
  <c r="Q68" i="38"/>
  <c r="P127" i="38"/>
  <c r="Q127" i="38"/>
  <c r="P129" i="38" l="1"/>
  <c r="R127" i="38" s="1"/>
  <c r="Q70" i="38"/>
  <c r="Q71" i="38" l="1"/>
  <c r="Q72" i="38"/>
  <c r="Q74" i="38" s="1"/>
  <c r="Q125" i="38" l="1"/>
  <c r="Q129" i="38" s="1"/>
  <c r="R66" i="38"/>
  <c r="R68" i="38" s="1"/>
  <c r="R69" i="38" l="1"/>
  <c r="E69" i="38" s="1"/>
  <c r="R70" i="38" l="1"/>
  <c r="R72" i="38" s="1"/>
  <c r="R74" i="38" s="1"/>
  <c r="R71" i="38" l="1"/>
  <c r="R125" i="38" s="1"/>
  <c r="R129" i="38" s="1"/>
  <c r="E70" i="38"/>
  <c r="H69" i="13" l="1"/>
  <c r="I85" i="13" l="1"/>
  <c r="H29" i="67"/>
  <c r="H85" i="13"/>
  <c r="I69" i="13"/>
  <c r="L69" i="13"/>
  <c r="L29" i="67" s="1"/>
  <c r="L30" i="67" s="1"/>
  <c r="K69" i="13"/>
  <c r="J69" i="13"/>
  <c r="H86" i="13"/>
  <c r="L85" i="13" l="1"/>
  <c r="K29" i="67"/>
  <c r="K30" i="67" s="1"/>
  <c r="K85" i="13"/>
  <c r="J29" i="67"/>
  <c r="J30" i="67" s="1"/>
  <c r="J85" i="13"/>
  <c r="I29" i="67"/>
  <c r="I30" i="67" s="1"/>
  <c r="H30" i="67"/>
  <c r="K70" i="13"/>
  <c r="L86" i="13" s="1"/>
  <c r="H70" i="13"/>
  <c r="I86" i="13" s="1"/>
  <c r="I70" i="13"/>
  <c r="J86" i="13" s="1"/>
  <c r="L70" i="13"/>
  <c r="J70" i="13"/>
  <c r="K86" i="13" s="1"/>
  <c r="H71" i="13"/>
  <c r="C30" i="67" l="1"/>
  <c r="C29" i="67"/>
  <c r="H74" i="13"/>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64" i="18" s="1"/>
  <c r="I120" i="13"/>
  <c r="L115" i="13"/>
  <c r="L120" i="13"/>
  <c r="K115" i="13"/>
  <c r="K120" i="13"/>
  <c r="H115" i="13"/>
  <c r="J115" i="13"/>
  <c r="J120" i="13"/>
  <c r="G73" i="13"/>
  <c r="G75" i="13" s="1"/>
  <c r="J73" i="13"/>
  <c r="J75" i="13" s="1"/>
  <c r="K73" i="13"/>
  <c r="K75" i="13" s="1"/>
  <c r="L73" i="13"/>
  <c r="L75" i="13" s="1"/>
  <c r="I73" i="13"/>
  <c r="I75" i="13" s="1"/>
  <c r="I119" i="13" l="1"/>
  <c r="I15" i="18" s="1"/>
  <c r="I93" i="67" s="1"/>
  <c r="H120" i="13"/>
  <c r="H118" i="13"/>
  <c r="I16" i="18"/>
  <c r="I59" i="67" s="1"/>
  <c r="J118" i="13"/>
  <c r="L118" i="13"/>
  <c r="K118" i="13"/>
  <c r="I75" i="61" l="1"/>
  <c r="K119" i="13"/>
  <c r="K15" i="18" s="1"/>
  <c r="K93" i="67" s="1"/>
  <c r="K64" i="18"/>
  <c r="J119" i="13"/>
  <c r="J15" i="18" s="1"/>
  <c r="J93" i="67" s="1"/>
  <c r="J64" i="18"/>
  <c r="L119" i="13"/>
  <c r="L15" i="18" s="1"/>
  <c r="L93" i="67" s="1"/>
  <c r="L64" i="18"/>
  <c r="H119" i="13"/>
  <c r="H15" i="18" s="1"/>
  <c r="H93" i="67" s="1"/>
  <c r="H64" i="18"/>
  <c r="I76" i="61"/>
  <c r="I121" i="13"/>
  <c r="I145" i="13" s="1"/>
  <c r="I98" i="67"/>
  <c r="I99" i="67"/>
  <c r="I35" i="18"/>
  <c r="I41" i="18" s="1"/>
  <c r="J16" i="18"/>
  <c r="J59" i="67" s="1"/>
  <c r="L16" i="18"/>
  <c r="L59" i="67" s="1"/>
  <c r="H16" i="18"/>
  <c r="H59" i="67" s="1"/>
  <c r="K16" i="18"/>
  <c r="K59" i="67" s="1"/>
  <c r="J75" i="61" l="1"/>
  <c r="I106" i="61"/>
  <c r="I107" i="61" s="1"/>
  <c r="L76" i="61"/>
  <c r="L75" i="61"/>
  <c r="H76" i="61"/>
  <c r="H75" i="61"/>
  <c r="K75" i="61"/>
  <c r="K76" i="61"/>
  <c r="J76" i="61"/>
  <c r="J106" i="61" s="1"/>
  <c r="D64" i="18"/>
  <c r="C64" i="18"/>
  <c r="H13" i="45"/>
  <c r="I36" i="18"/>
  <c r="I37" i="18" s="1"/>
  <c r="I78" i="67"/>
  <c r="I63" i="67"/>
  <c r="I38" i="18"/>
  <c r="I147" i="13"/>
  <c r="I148" i="13" s="1"/>
  <c r="I122" i="13"/>
  <c r="I45" i="61"/>
  <c r="I46" i="61" s="1"/>
  <c r="L98" i="67"/>
  <c r="J98" i="67"/>
  <c r="H98" i="67"/>
  <c r="H99" i="67"/>
  <c r="L99" i="67"/>
  <c r="I115" i="67"/>
  <c r="K99" i="67"/>
  <c r="J99" i="67"/>
  <c r="K98" i="67"/>
  <c r="I89" i="67"/>
  <c r="I48" i="67"/>
  <c r="I67" i="67"/>
  <c r="I85" i="67"/>
  <c r="I88" i="67"/>
  <c r="I82" i="67"/>
  <c r="I81" i="67"/>
  <c r="I61" i="67"/>
  <c r="I66" i="67"/>
  <c r="I62" i="67"/>
  <c r="I65" i="67"/>
  <c r="I60" i="67"/>
  <c r="I64" i="67"/>
  <c r="I87" i="67"/>
  <c r="I84" i="67"/>
  <c r="I86" i="67"/>
  <c r="I58" i="67"/>
  <c r="F10" i="63"/>
  <c r="J35" i="62" s="1"/>
  <c r="I146" i="13"/>
  <c r="I39" i="18" s="1"/>
  <c r="K121" i="13"/>
  <c r="L121" i="13"/>
  <c r="H121" i="13"/>
  <c r="D15" i="18"/>
  <c r="C15" i="18"/>
  <c r="H35" i="18"/>
  <c r="H41" i="18" s="1"/>
  <c r="L35" i="18"/>
  <c r="L41" i="18" s="1"/>
  <c r="K35" i="18"/>
  <c r="K41" i="18" s="1"/>
  <c r="J121" i="13"/>
  <c r="J35" i="18"/>
  <c r="J41" i="18" s="1"/>
  <c r="D16" i="18"/>
  <c r="C16" i="18"/>
  <c r="K106" i="61" l="1"/>
  <c r="K107" i="61" s="1"/>
  <c r="H106" i="61"/>
  <c r="H199" i="61" s="1"/>
  <c r="H201" i="61" s="1"/>
  <c r="H203" i="61" s="1"/>
  <c r="I199" i="61"/>
  <c r="I201" i="61" s="1"/>
  <c r="F16" i="63" s="1"/>
  <c r="I47" i="61" s="1"/>
  <c r="L106" i="61"/>
  <c r="L107" i="61" s="1"/>
  <c r="L78" i="67"/>
  <c r="H78" i="67"/>
  <c r="J78" i="67"/>
  <c r="K78" i="67"/>
  <c r="I40" i="18"/>
  <c r="K115" i="67"/>
  <c r="K63" i="67"/>
  <c r="K38" i="18"/>
  <c r="K147" i="13"/>
  <c r="L147" i="13"/>
  <c r="L38" i="18"/>
  <c r="J63" i="67"/>
  <c r="J38" i="18"/>
  <c r="J147" i="13"/>
  <c r="H63" i="67"/>
  <c r="H147" i="13"/>
  <c r="H38" i="18"/>
  <c r="L58" i="67"/>
  <c r="L63" i="67"/>
  <c r="F22" i="63"/>
  <c r="I87" i="46" s="1"/>
  <c r="F11" i="63"/>
  <c r="I84" i="46" s="1"/>
  <c r="F26" i="63"/>
  <c r="F27" i="63" s="1"/>
  <c r="I67" i="34" s="1"/>
  <c r="F36" i="63"/>
  <c r="F37" i="63" s="1"/>
  <c r="F14" i="63"/>
  <c r="F15" i="63" s="1"/>
  <c r="J46" i="62" s="1"/>
  <c r="H89" i="67"/>
  <c r="H48" i="67"/>
  <c r="H67" i="67"/>
  <c r="H85" i="67"/>
  <c r="H88" i="67"/>
  <c r="H82" i="67"/>
  <c r="H81" i="67"/>
  <c r="H62" i="67"/>
  <c r="H65" i="67"/>
  <c r="H61" i="67"/>
  <c r="H66" i="67"/>
  <c r="H60" i="67"/>
  <c r="H64" i="67"/>
  <c r="H87" i="67"/>
  <c r="H84" i="67"/>
  <c r="H86" i="67"/>
  <c r="C99" i="67"/>
  <c r="J115" i="67"/>
  <c r="J89" i="67"/>
  <c r="J48" i="67"/>
  <c r="J67" i="67"/>
  <c r="J85" i="67"/>
  <c r="J88" i="67"/>
  <c r="J82" i="67"/>
  <c r="J66" i="67"/>
  <c r="J65" i="67"/>
  <c r="J61" i="67"/>
  <c r="J60" i="67"/>
  <c r="J62" i="67"/>
  <c r="J64" i="67"/>
  <c r="J81" i="67"/>
  <c r="J87" i="67"/>
  <c r="J84" i="67"/>
  <c r="J86" i="67"/>
  <c r="K89" i="67"/>
  <c r="K48" i="67"/>
  <c r="K67" i="67"/>
  <c r="K85" i="67"/>
  <c r="K88" i="67"/>
  <c r="K82" i="67"/>
  <c r="K61" i="67"/>
  <c r="K65" i="67"/>
  <c r="K62" i="67"/>
  <c r="K66" i="67"/>
  <c r="K60" i="67"/>
  <c r="K64" i="67"/>
  <c r="K87" i="67"/>
  <c r="K81" i="67"/>
  <c r="K84" i="67"/>
  <c r="K86" i="67"/>
  <c r="H58" i="67"/>
  <c r="J58" i="67"/>
  <c r="L89" i="67"/>
  <c r="L48" i="67"/>
  <c r="L67" i="67"/>
  <c r="L85" i="67"/>
  <c r="L88" i="67"/>
  <c r="L65" i="67"/>
  <c r="L66" i="67"/>
  <c r="L61" i="67"/>
  <c r="L60" i="67"/>
  <c r="L62" i="67"/>
  <c r="L64" i="67"/>
  <c r="L82" i="67"/>
  <c r="L87" i="67"/>
  <c r="L81" i="67"/>
  <c r="L84" i="67"/>
  <c r="L86" i="67"/>
  <c r="K58" i="67"/>
  <c r="H115" i="67"/>
  <c r="C98" i="67"/>
  <c r="L115" i="67"/>
  <c r="I62" i="34"/>
  <c r="I83" i="46"/>
  <c r="L145" i="13"/>
  <c r="L36" i="18" s="1"/>
  <c r="L37" i="18" s="1"/>
  <c r="L122" i="13"/>
  <c r="H145" i="13"/>
  <c r="H122" i="13"/>
  <c r="J145" i="13"/>
  <c r="J122" i="13"/>
  <c r="K145" i="13"/>
  <c r="K36" i="18" s="1"/>
  <c r="K37" i="18" s="1"/>
  <c r="K122" i="13"/>
  <c r="J107" i="61"/>
  <c r="J199" i="61"/>
  <c r="C35" i="18"/>
  <c r="H107" i="61"/>
  <c r="D35" i="18"/>
  <c r="E51" i="18" s="1"/>
  <c r="K199" i="61" l="1"/>
  <c r="K201" i="61" s="1"/>
  <c r="K203" i="61" s="1"/>
  <c r="K46" i="18" s="1"/>
  <c r="K120" i="67" s="1"/>
  <c r="K127" i="67" s="1"/>
  <c r="K129" i="67" s="1"/>
  <c r="K130" i="67" s="1"/>
  <c r="F38" i="63"/>
  <c r="J47" i="62" s="1"/>
  <c r="F18" i="63"/>
  <c r="F19" i="63" s="1"/>
  <c r="I50" i="61" s="1"/>
  <c r="I203" i="61"/>
  <c r="I46" i="18" s="1"/>
  <c r="I83" i="67" s="1"/>
  <c r="F17" i="63"/>
  <c r="I48" i="61" s="1"/>
  <c r="L199" i="61"/>
  <c r="L201" i="61" s="1"/>
  <c r="L203" i="61" s="1"/>
  <c r="L46" i="18" s="1"/>
  <c r="J201" i="61"/>
  <c r="J203" i="61" s="1"/>
  <c r="E16" i="18"/>
  <c r="D41" i="18"/>
  <c r="C59" i="67"/>
  <c r="C41" i="18"/>
  <c r="E10" i="63"/>
  <c r="H83" i="46" s="1"/>
  <c r="H36" i="18"/>
  <c r="H37" i="18" s="1"/>
  <c r="G10" i="63"/>
  <c r="G14" i="63" s="1"/>
  <c r="J36" i="18"/>
  <c r="J37" i="18" s="1"/>
  <c r="F23" i="63"/>
  <c r="I88" i="46" s="1"/>
  <c r="J148" i="13"/>
  <c r="L148" i="13"/>
  <c r="C58" i="67"/>
  <c r="C76" i="67"/>
  <c r="C74" i="67"/>
  <c r="C69" i="67"/>
  <c r="C73" i="67"/>
  <c r="C71" i="67"/>
  <c r="C77" i="67"/>
  <c r="C75" i="67"/>
  <c r="C72" i="67"/>
  <c r="C70" i="67"/>
  <c r="K148" i="13"/>
  <c r="H148" i="13"/>
  <c r="I63" i="34"/>
  <c r="I66" i="34"/>
  <c r="J45" i="62"/>
  <c r="I13" i="45"/>
  <c r="H46" i="18"/>
  <c r="C115" i="67"/>
  <c r="C48" i="67"/>
  <c r="C78" i="67"/>
  <c r="C63" i="67"/>
  <c r="C85" i="67"/>
  <c r="C88" i="67"/>
  <c r="C89" i="67"/>
  <c r="C82" i="67"/>
  <c r="C68" i="67"/>
  <c r="C65" i="67"/>
  <c r="C60" i="67"/>
  <c r="C61" i="67"/>
  <c r="C62" i="67"/>
  <c r="C64" i="67"/>
  <c r="C66" i="67"/>
  <c r="C67" i="67"/>
  <c r="C87" i="67"/>
  <c r="C84" i="67"/>
  <c r="C86" i="67"/>
  <c r="C81"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2"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K53" i="18" l="1"/>
  <c r="K54" i="18" s="1"/>
  <c r="K49" i="67" s="1"/>
  <c r="K50" i="67" s="1"/>
  <c r="K83" i="67"/>
  <c r="H16" i="63"/>
  <c r="K47" i="61" s="1"/>
  <c r="J14" i="45"/>
  <c r="I49" i="61"/>
  <c r="I51" i="61"/>
  <c r="I68" i="34"/>
  <c r="I89" i="46"/>
  <c r="F39" i="63"/>
  <c r="I90" i="46" s="1"/>
  <c r="I120" i="67"/>
  <c r="I127" i="67" s="1"/>
  <c r="I129" i="67" s="1"/>
  <c r="I130" i="67" s="1"/>
  <c r="I53" i="18"/>
  <c r="I54" i="18" s="1"/>
  <c r="I90" i="67" s="1"/>
  <c r="H14" i="45"/>
  <c r="L53" i="18"/>
  <c r="L54" i="18" s="1"/>
  <c r="H53" i="18"/>
  <c r="H54" i="18" s="1"/>
  <c r="G16" i="63"/>
  <c r="G18" i="63" s="1"/>
  <c r="G19" i="63" s="1"/>
  <c r="J50" i="61" s="1"/>
  <c r="I16" i="63"/>
  <c r="L47" i="61" s="1"/>
  <c r="C201" i="61"/>
  <c r="I35" i="62"/>
  <c r="J46" i="18"/>
  <c r="C203" i="61"/>
  <c r="K14" i="45"/>
  <c r="L120" i="67"/>
  <c r="L127" i="67" s="1"/>
  <c r="L129" i="67" s="1"/>
  <c r="L131" i="67" s="1"/>
  <c r="L83" i="67"/>
  <c r="K35" i="62"/>
  <c r="E41" i="18"/>
  <c r="E14" i="63"/>
  <c r="E15" i="63" s="1"/>
  <c r="I46"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H17" i="63"/>
  <c r="K48" i="61" s="1"/>
  <c r="H120" i="67"/>
  <c r="H83" i="67"/>
  <c r="K131" i="67"/>
  <c r="D13" i="45"/>
  <c r="C45" i="61"/>
  <c r="H36" i="63"/>
  <c r="H37" i="63" s="1"/>
  <c r="K62" i="34"/>
  <c r="H22" i="63"/>
  <c r="K83" i="46"/>
  <c r="H26" i="63"/>
  <c r="L35" i="62"/>
  <c r="H11" i="63"/>
  <c r="H14" i="63"/>
  <c r="B10" i="63"/>
  <c r="H18" i="63"/>
  <c r="H19" i="63" s="1"/>
  <c r="K50" i="61" s="1"/>
  <c r="H38" i="63"/>
  <c r="M35" i="62"/>
  <c r="I14" i="63"/>
  <c r="L62" i="34"/>
  <c r="I36" i="63"/>
  <c r="I37" i="63" s="1"/>
  <c r="I11" i="63"/>
  <c r="I26" i="63"/>
  <c r="L83" i="46"/>
  <c r="I22" i="63"/>
  <c r="G14" i="45"/>
  <c r="E17" i="63"/>
  <c r="H48" i="61" s="1"/>
  <c r="H47" i="61"/>
  <c r="G15" i="63"/>
  <c r="K46" i="62" s="1"/>
  <c r="K45" i="62"/>
  <c r="E38" i="63"/>
  <c r="K55" i="18" l="1"/>
  <c r="K90" i="67"/>
  <c r="K57" i="18"/>
  <c r="K56" i="18"/>
  <c r="I69" i="34"/>
  <c r="I49" i="67"/>
  <c r="I50" i="67" s="1"/>
  <c r="I55" i="18"/>
  <c r="I56" i="18"/>
  <c r="I57" i="18"/>
  <c r="I52" i="61"/>
  <c r="J48" i="62"/>
  <c r="I131" i="67"/>
  <c r="J83" i="67"/>
  <c r="J53" i="18"/>
  <c r="J54" i="18" s="1"/>
  <c r="L56" i="18"/>
  <c r="L57" i="18"/>
  <c r="H57" i="18"/>
  <c r="H56" i="18"/>
  <c r="L55" i="18"/>
  <c r="H55" i="18"/>
  <c r="I18" i="63"/>
  <c r="I19" i="63" s="1"/>
  <c r="L50" i="61" s="1"/>
  <c r="I38" i="63"/>
  <c r="I39" i="63" s="1"/>
  <c r="M48" i="62" s="1"/>
  <c r="I17" i="63"/>
  <c r="L48" i="61" s="1"/>
  <c r="B16" i="63"/>
  <c r="B38" i="63" s="1"/>
  <c r="G17" i="63"/>
  <c r="J48" i="61" s="1"/>
  <c r="J47" i="61"/>
  <c r="C47" i="61" s="1"/>
  <c r="G38" i="63"/>
  <c r="G39" i="63" s="1"/>
  <c r="J52" i="61" s="1"/>
  <c r="J120" i="67"/>
  <c r="J127" i="67" s="1"/>
  <c r="J129" i="67" s="1"/>
  <c r="J130" i="67" s="1"/>
  <c r="C46" i="18"/>
  <c r="C83" i="67" s="1"/>
  <c r="I14" i="45"/>
  <c r="D14" i="45" s="1"/>
  <c r="D46" i="18"/>
  <c r="E46" i="18" s="1"/>
  <c r="L130" i="67"/>
  <c r="L90" i="67"/>
  <c r="L49" i="67"/>
  <c r="L50" i="67" s="1"/>
  <c r="I45" i="62"/>
  <c r="J84" i="46"/>
  <c r="J66" i="34"/>
  <c r="G23" i="63"/>
  <c r="J88" i="46" s="1"/>
  <c r="H66" i="34"/>
  <c r="H49" i="61"/>
  <c r="H84" i="46"/>
  <c r="H87" i="46"/>
  <c r="J49" i="61"/>
  <c r="C35" i="62"/>
  <c r="K49" i="61"/>
  <c r="H90" i="67"/>
  <c r="H49" i="67"/>
  <c r="H127" i="67"/>
  <c r="I27" i="63"/>
  <c r="L67" i="34" s="1"/>
  <c r="L66" i="34"/>
  <c r="M45" i="62"/>
  <c r="I15" i="63"/>
  <c r="M46" i="62" s="1"/>
  <c r="L84" i="46"/>
  <c r="L63" i="34"/>
  <c r="K84" i="46"/>
  <c r="K63" i="34"/>
  <c r="K87" i="46"/>
  <c r="H23" i="63"/>
  <c r="K88" i="46" s="1"/>
  <c r="H15" i="63"/>
  <c r="L46" i="62" s="1"/>
  <c r="L45" i="62"/>
  <c r="L87" i="46"/>
  <c r="I23" i="63"/>
  <c r="L88" i="46" s="1"/>
  <c r="B11" i="63"/>
  <c r="B22" i="63"/>
  <c r="E83" i="46"/>
  <c r="B36" i="63"/>
  <c r="B37" i="63" s="1"/>
  <c r="B14" i="63"/>
  <c r="B15" i="63" s="1"/>
  <c r="B26" i="63"/>
  <c r="D62" i="34"/>
  <c r="K89" i="46"/>
  <c r="L47" i="62"/>
  <c r="H39" i="63"/>
  <c r="K68" i="34"/>
  <c r="K51" i="61"/>
  <c r="H27" i="63"/>
  <c r="K67" i="34" s="1"/>
  <c r="K66" i="34"/>
  <c r="E39" i="63"/>
  <c r="H89" i="46"/>
  <c r="H51" i="61"/>
  <c r="H68" i="34"/>
  <c r="I47" i="62"/>
  <c r="K60" i="18" l="1"/>
  <c r="K91" i="18" s="1"/>
  <c r="K95" i="18" s="1"/>
  <c r="K116" i="18" s="1"/>
  <c r="I60" i="18"/>
  <c r="I91" i="18" s="1"/>
  <c r="I95" i="18" s="1"/>
  <c r="L49" i="61"/>
  <c r="C49" i="61" s="1"/>
  <c r="C53" i="18"/>
  <c r="D53" i="18"/>
  <c r="E53" i="18" s="1"/>
  <c r="L60" i="18"/>
  <c r="L84" i="18" s="1"/>
  <c r="H60" i="18"/>
  <c r="H91" i="18" s="1"/>
  <c r="H95" i="18" s="1"/>
  <c r="H116" i="18" s="1"/>
  <c r="J56" i="18"/>
  <c r="D56" i="18" s="1"/>
  <c r="J57" i="18"/>
  <c r="B17" i="63"/>
  <c r="C48" i="61" s="1"/>
  <c r="L89" i="46"/>
  <c r="L90" i="46"/>
  <c r="L68" i="34"/>
  <c r="L69" i="34"/>
  <c r="L52" i="61"/>
  <c r="J55" i="18"/>
  <c r="L51" i="61"/>
  <c r="B18" i="63"/>
  <c r="B19" i="63" s="1"/>
  <c r="C50" i="61" s="1"/>
  <c r="M47" i="62"/>
  <c r="J69" i="34"/>
  <c r="K48" i="62"/>
  <c r="J89" i="46"/>
  <c r="J68" i="34"/>
  <c r="J90" i="46"/>
  <c r="C54" i="18"/>
  <c r="C90" i="67" s="1"/>
  <c r="K47" i="62"/>
  <c r="J49" i="67"/>
  <c r="J50" i="67" s="1"/>
  <c r="C120" i="67"/>
  <c r="J131" i="67"/>
  <c r="J90" i="67"/>
  <c r="D54" i="18"/>
  <c r="E54" i="18" s="1"/>
  <c r="J51" i="61"/>
  <c r="C45" i="62"/>
  <c r="C46" i="62"/>
  <c r="H50" i="67"/>
  <c r="C127" i="67"/>
  <c r="C129" i="67" s="1"/>
  <c r="H129" i="67"/>
  <c r="H130" i="67" s="1"/>
  <c r="E84" i="46"/>
  <c r="D63" i="34"/>
  <c r="K69" i="34"/>
  <c r="L48" i="62"/>
  <c r="K52" i="61"/>
  <c r="K90" i="46"/>
  <c r="D66" i="34"/>
  <c r="B27" i="63"/>
  <c r="D67" i="34" s="1"/>
  <c r="B23" i="63"/>
  <c r="E88" i="46" s="1"/>
  <c r="E87" i="46"/>
  <c r="B39" i="63"/>
  <c r="C51" i="61"/>
  <c r="D68" i="34"/>
  <c r="E89" i="46"/>
  <c r="H90" i="46"/>
  <c r="H69" i="34"/>
  <c r="H52" i="61"/>
  <c r="I48" i="62"/>
  <c r="K61" i="18" l="1"/>
  <c r="K92" i="67" s="1"/>
  <c r="K91" i="67"/>
  <c r="K86" i="18"/>
  <c r="K16" i="67"/>
  <c r="K17" i="67" s="1"/>
  <c r="K115" i="18" a="1"/>
  <c r="K115" i="18" s="1"/>
  <c r="K84" i="18"/>
  <c r="K103" i="18"/>
  <c r="K118" i="18" s="1"/>
  <c r="K69" i="18"/>
  <c r="I16" i="67"/>
  <c r="I17" i="67" s="1"/>
  <c r="I84" i="18"/>
  <c r="I91" i="67"/>
  <c r="I86" i="18"/>
  <c r="I69" i="18"/>
  <c r="I61" i="18"/>
  <c r="I92" i="67" s="1"/>
  <c r="H115" i="18" a="1"/>
  <c r="H115" i="18" s="1"/>
  <c r="H61" i="18"/>
  <c r="H92" i="67" s="1"/>
  <c r="H84" i="18"/>
  <c r="L86" i="18"/>
  <c r="L69" i="18"/>
  <c r="L91" i="18"/>
  <c r="L95" i="18" s="1"/>
  <c r="L119" i="18" s="1"/>
  <c r="L61" i="18"/>
  <c r="L92" i="67" s="1"/>
  <c r="L91" i="67"/>
  <c r="L16" i="67"/>
  <c r="L17" i="67" s="1"/>
  <c r="H16" i="67"/>
  <c r="H17" i="67" s="1"/>
  <c r="I119" i="18"/>
  <c r="H18" i="67"/>
  <c r="H94" i="67" s="1"/>
  <c r="H91" i="67"/>
  <c r="H62" i="18"/>
  <c r="I62" i="18" s="1"/>
  <c r="H86" i="18"/>
  <c r="H87" i="18" s="1"/>
  <c r="H69" i="18"/>
  <c r="H71" i="18" s="1"/>
  <c r="H103" i="18"/>
  <c r="H118" i="18" s="1"/>
  <c r="H119" i="18"/>
  <c r="C56" i="18"/>
  <c r="J60" i="18"/>
  <c r="J91" i="18" s="1"/>
  <c r="J95" i="18" s="1"/>
  <c r="C57" i="18"/>
  <c r="D57" i="18"/>
  <c r="I116" i="18"/>
  <c r="I115" i="18" a="1"/>
  <c r="I115" i="18" s="1"/>
  <c r="I103" i="18"/>
  <c r="C47" i="62"/>
  <c r="C60" i="18"/>
  <c r="C91" i="67" s="1"/>
  <c r="C49" i="67"/>
  <c r="C50" i="67"/>
  <c r="H131" i="67"/>
  <c r="C48" i="62"/>
  <c r="E90" i="46"/>
  <c r="C52" i="61"/>
  <c r="D69" i="34"/>
  <c r="I87" i="18" l="1"/>
  <c r="K111" i="18"/>
  <c r="K112" i="18" s="1"/>
  <c r="K113" i="18" s="1"/>
  <c r="L103" i="18"/>
  <c r="L118" i="18" s="1"/>
  <c r="L116" i="18"/>
  <c r="H73" i="18"/>
  <c r="H74" i="18" s="1"/>
  <c r="L115" i="18" a="1"/>
  <c r="L115" i="18" s="1"/>
  <c r="H19" i="67"/>
  <c r="I18" i="67"/>
  <c r="I94" i="67" s="1"/>
  <c r="J61" i="18"/>
  <c r="J92" i="67" s="1"/>
  <c r="D60" i="18"/>
  <c r="E60" i="18" s="1"/>
  <c r="H111" i="18"/>
  <c r="H114" i="18" s="1"/>
  <c r="J62" i="18"/>
  <c r="K62" i="18" s="1"/>
  <c r="L62" i="18" s="1"/>
  <c r="J16" i="67"/>
  <c r="J17" i="67" s="1"/>
  <c r="J84" i="18"/>
  <c r="J91" i="67"/>
  <c r="J69" i="18"/>
  <c r="J86" i="18"/>
  <c r="I111" i="18"/>
  <c r="I112" i="18" s="1"/>
  <c r="I113" i="18" s="1"/>
  <c r="I118" i="18"/>
  <c r="J119" i="18"/>
  <c r="J115" i="18" a="1"/>
  <c r="J115" i="18" s="1"/>
  <c r="J103" i="18"/>
  <c r="K119" i="18"/>
  <c r="J116" i="18"/>
  <c r="J87" i="18" l="1"/>
  <c r="K87" i="18" s="1"/>
  <c r="L87" i="18" s="1"/>
  <c r="L111" i="18"/>
  <c r="L112" i="18" s="1"/>
  <c r="L113" i="18" s="1"/>
  <c r="H75" i="18"/>
  <c r="H76" i="18" s="1"/>
  <c r="I68" i="18" s="1"/>
  <c r="I70" i="18" s="1"/>
  <c r="I73" i="18" s="1"/>
  <c r="I74" i="18" s="1"/>
  <c r="J18" i="67"/>
  <c r="J19" i="67" s="1"/>
  <c r="I19" i="67"/>
  <c r="H112" i="18"/>
  <c r="H113" i="18" s="1"/>
  <c r="I114" i="18"/>
  <c r="J111" i="18"/>
  <c r="J118" i="18"/>
  <c r="J94" i="67" l="1"/>
  <c r="K18" i="67"/>
  <c r="K94" i="67" s="1"/>
  <c r="H78" i="18"/>
  <c r="H79" i="18" s="1"/>
  <c r="I71" i="18"/>
  <c r="J114" i="18"/>
  <c r="J112" i="18"/>
  <c r="J113" i="18" s="1"/>
  <c r="K114" i="18"/>
  <c r="I75" i="18"/>
  <c r="I78" i="18" s="1"/>
  <c r="K19" i="67" l="1"/>
  <c r="L18" i="67"/>
  <c r="L94" i="67" s="1"/>
  <c r="I79" i="18"/>
  <c r="I76" i="18"/>
  <c r="J68" i="18" s="1"/>
  <c r="L19" i="67" l="1"/>
  <c r="J70" i="18"/>
  <c r="J73" i="18" l="1"/>
  <c r="J74" i="18" s="1"/>
  <c r="J71" i="18"/>
  <c r="J75" i="18" l="1"/>
  <c r="J76" i="18" l="1"/>
  <c r="K68" i="18" s="1"/>
  <c r="J78" i="18"/>
  <c r="J79" i="18" s="1"/>
  <c r="K70" i="18" l="1"/>
  <c r="K73" i="18" l="1"/>
  <c r="K74" i="18" s="1"/>
  <c r="K71" i="18"/>
  <c r="K75" i="18" l="1"/>
  <c r="K78" i="18" s="1"/>
  <c r="K79" i="18" s="1"/>
  <c r="K76" i="18" l="1"/>
  <c r="L68" i="18" s="1"/>
  <c r="L70" i="18" s="1"/>
  <c r="L73" i="18" s="1"/>
  <c r="L74" i="18" s="1"/>
  <c r="L71" i="18" l="1"/>
  <c r="L75" i="18"/>
  <c r="L78" i="18" s="1"/>
  <c r="L79" i="18" s="1"/>
  <c r="L76"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tc={1F282CAE-A3FF-4257-9931-DD281178725A}</author>
  </authors>
  <commentList>
    <comment ref="B73" authorId="0" shapeId="0" xr:uid="{00000000-0006-0000-0500-000001000000}">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Legislature).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education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00000000-0006-0000-0500-000002000000}">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0" shapeId="0" xr:uid="{00000000-0006-0000-0500-000003000000}">
      <text>
        <r>
          <rPr>
            <b/>
            <sz val="9"/>
            <color indexed="81"/>
            <rFont val="Tahoma"/>
            <family val="2"/>
          </rPr>
          <t>Michael Dang:</t>
        </r>
        <r>
          <rPr>
            <sz val="9"/>
            <color indexed="81"/>
            <rFont val="Tahoma"/>
            <family val="2"/>
          </rPr>
          <t xml:space="preserve">
Greater accuracy will reduce over/under payments and payment adjustments.</t>
        </r>
      </text>
    </comment>
    <comment ref="G76" authorId="0" shapeId="0" xr:uid="{00000000-0006-0000-0500-00000400000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00000000-0006-0000-0500-00000500000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00000000-0006-0000-0500-00000600000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00000000-0006-0000-0500-00000700000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00000000-0006-0000-0500-00000800000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00000000-0006-0000-0500-00000900000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00000000-0006-0000-0500-00000A000000}">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00000000-0006-0000-0500-00000B00000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B97" authorId="1" shapeId="0" xr:uid="{00000000-0006-0000-0500-00000C000000}">
      <text>
        <t>[Threaded comment]
Your version of Excel allows you to read this threaded comment; however, any edits to it will get removed if the file is opened in a newer version of Excel. Learn more: https://go.microsoft.com/fwlink/?linkid=870924
Comment:
    The Inflation adjuster is designed to account for any increases in PCFP Revenue. Please be sure to enter the cost of inflation in this cell. You may wish to test inflation rates of 0 to 3%.  Be sure you can still operate with a surplus even with a 0% inflator/escalator.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U44" authorId="0" shapeId="0" xr:uid="{00000000-0006-0000-0700-00000100000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tc={8B28DE3F-0513-4202-B787-159B600CA677}</author>
    <author>tc={31D788BA-A50C-47FC-8E94-21A195E0BD60}</author>
    <author>tc={CE950E8C-C673-4EA1-816B-0806360F654E}</author>
  </authors>
  <commentList>
    <comment ref="C60"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4" authorId="2" shapeId="0" xr:uid="{00000000-0006-0000-0800-000003000000}">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5" authorId="3" shapeId="0" xr:uid="{00000000-0006-0000-0800-00000400000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B436" authorId="4" shapeId="0" xr:uid="{00000000-0006-0000-0800-000005000000}">
      <text>
        <t>[Threaded comment]
Your version of Excel allows you to read this threaded comment; however, any edits to it will get removed if the file is opened in a newer version of Excel. Learn more: https://go.microsoft.com/fwlink/?linkid=870924
Comment:
    Not included in Total Benefits above as these benefit costs are absorbed by the substitute placement firm.
This level may be set to zero, though, assuming a typical substitute placement firms is not participating in PERS.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F23" authorId="0" shapeId="0" xr:uid="{00000000-0006-0000-0900-000001000000}">
      <text>
        <r>
          <rPr>
            <b/>
            <sz val="9"/>
            <color indexed="81"/>
            <rFont val="Tahoma"/>
            <family val="2"/>
          </rPr>
          <t>Michael Dang:</t>
        </r>
        <r>
          <rPr>
            <sz val="9"/>
            <color indexed="81"/>
            <rFont val="Tahoma"/>
            <family val="2"/>
          </rPr>
          <t xml:space="preserve">
Overwrite this with the actual lease rate likely for a new occupancy and partial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199" authorId="0" shapeId="0" xr:uid="{00000000-0006-0000-0A00-000001000000}">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26" authorId="0" shapeId="0" xr:uid="{00000000-0006-0000-0F00-000001000000}">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00000000-0006-0000-1500-000001000000}">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00000000-0006-0000-1700-000001000000}">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<sst xmlns="http://schemas.openxmlformats.org/spreadsheetml/2006/main" count="2534" uniqueCount="1423">
  <si>
    <t>Mike Dang, 702.486.8879</t>
  </si>
  <si>
    <t>TOC</t>
  </si>
  <si>
    <t>Staff tab</t>
  </si>
  <si>
    <t>Demographics</t>
  </si>
  <si>
    <t>Application Cover Sheet</t>
  </si>
  <si>
    <t>Mike Dang</t>
  </si>
  <si>
    <t>702.486.8879</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</si>
  <si>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</si>
  <si>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</si>
  <si>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</si>
  <si>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</si>
  <si>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</si>
  <si>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</si>
  <si>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</si>
  <si>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</si>
  <si>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</si>
  <si>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</si>
  <si>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</si>
  <si>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</si>
  <si>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</si>
  <si>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</si>
  <si>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</si>
  <si>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</si>
  <si>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</si>
  <si>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</si>
  <si>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</si>
  <si>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</si>
  <si>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</si>
  <si>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</si>
  <si>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</si>
  <si>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</si>
  <si>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</si>
  <si>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</si>
  <si>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</si>
  <si>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</si>
  <si>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</si>
  <si>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</si>
  <si>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</si>
  <si>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</si>
  <si>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</si>
  <si>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</si>
  <si>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</si>
  <si>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</si>
  <si>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</si>
  <si>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</si>
  <si>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</si>
  <si>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</si>
  <si>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</si>
  <si>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</si>
  <si>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</si>
  <si>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</si>
  <si>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</si>
  <si>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</si>
  <si>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</si>
  <si>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</si>
  <si>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</si>
  <si>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</si>
  <si>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</si>
  <si>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</si>
  <si>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</si>
  <si>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</si>
  <si>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</si>
  <si>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</si>
  <si>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</si>
  <si>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</si>
  <si>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</si>
  <si>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</si>
  <si>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</si>
  <si>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</si>
  <si>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</si>
  <si>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</si>
  <si>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</si>
  <si>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</si>
  <si>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</si>
  <si>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</si>
  <si>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</si>
  <si>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</si>
  <si>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</si>
  <si>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</si>
  <si>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</si>
  <si>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</si>
  <si>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</si>
  <si>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</si>
  <si>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</si>
  <si>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</si>
  <si>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</si>
  <si>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</si>
  <si>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</si>
  <si>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</si>
  <si>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</si>
  <si>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</si>
  <si>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</si>
  <si>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</si>
  <si>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</si>
  <si>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</si>
  <si>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</si>
  <si>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</si>
  <si>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</si>
  <si>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</si>
  <si>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</si>
  <si>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</si>
  <si>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</si>
  <si>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</si>
  <si>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</si>
  <si>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</si>
  <si>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</si>
  <si>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</si>
  <si>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</si>
  <si>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</si>
  <si>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</si>
  <si>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</si>
  <si>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</si>
  <si>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</si>
  <si>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</si>
  <si>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</si>
  <si>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</si>
  <si>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</si>
  <si>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</si>
  <si>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</si>
  <si>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</si>
  <si>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</si>
  <si>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</si>
  <si>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</si>
  <si>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</si>
  <si>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</si>
  <si>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</si>
  <si>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</si>
  <si>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</si>
  <si>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</si>
  <si>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</si>
  <si>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</si>
  <si>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</si>
  <si>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</si>
  <si>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</si>
  <si>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</si>
  <si>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</si>
  <si>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</si>
  <si>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</si>
  <si>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</si>
  <si>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</si>
  <si>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</si>
  <si>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</si>
  <si>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</si>
  <si>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</si>
  <si>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</si>
  <si>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</si>
  <si>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</si>
  <si>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</si>
  <si>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</si>
  <si>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</si>
  <si>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</si>
  <si>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</si>
  <si>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</si>
  <si>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</si>
  <si>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</si>
  <si>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</si>
  <si>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</si>
  <si>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</si>
  <si>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</si>
  <si>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</si>
  <si>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</si>
  <si>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</si>
  <si>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</si>
  <si>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</si>
  <si>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</si>
  <si>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</si>
  <si>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</si>
  <si>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</si>
  <si>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</si>
  <si>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</si>
  <si>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</si>
  <si>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</si>
  <si>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</si>
  <si>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</si>
  <si>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</si>
  <si>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</si>
  <si>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</si>
  <si>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</si>
  <si>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</si>
  <si>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</si>
  <si>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</si>
  <si>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</si>
  <si>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</si>
  <si>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</si>
  <si>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</si>
  <si>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</si>
  <si>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</si>
  <si>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</si>
  <si>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</si>
  <si>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</si>
  <si>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</si>
  <si>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</si>
  <si>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</si>
  <si>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</si>
  <si>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</si>
  <si>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</si>
  <si>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</si>
  <si>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</si>
  <si>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</si>
  <si>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</si>
  <si>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</si>
  <si>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</si>
  <si>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</si>
  <si>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</si>
  <si>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</si>
  <si>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</si>
  <si>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</si>
  <si>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</si>
  <si>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</si>
  <si>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</si>
  <si>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</si>
  <si>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</si>
  <si>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</si>
  <si>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</si>
  <si>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</si>
  <si>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</si>
  <si>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</si>
  <si>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</si>
  <si>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</si>
  <si>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</si>
  <si>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</si>
  <si>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</si>
  <si>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</si>
  <si>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</si>
  <si>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</si>
  <si>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</si>
  <si>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</si>
  <si>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</si>
  <si>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</si>
  <si>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</si>
  <si>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</si>
  <si>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</si>
  <si>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</si>
  <si>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</si>
  <si>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</si>
  <si>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</si>
  <si>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</si>
  <si>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</si>
  <si>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Choices/Alternates</t>
  </si>
  <si>
    <t>Feeder/Source Schools</t>
  </si>
  <si>
    <t>Grade
Level(s)</t>
  </si>
  <si>
    <t xml:space="preserve">
Enrollment</t>
  </si>
  <si>
    <t>School Year 1 (Fall Start) Teaching Starts</t>
  </si>
  <si>
    <t>SY Ending</t>
  </si>
  <si>
    <t>Totals</t>
  </si>
  <si>
    <t>ENROLLMENT (All Populations)</t>
  </si>
  <si>
    <t>Student / Classroom, calculated</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</si>
  <si>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</si>
  <si>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</si>
  <si>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</si>
  <si>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</si>
  <si>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</si>
  <si>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</si>
  <si>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</si>
  <si>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</si>
  <si>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</si>
  <si>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</si>
  <si>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</si>
  <si>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</si>
  <si>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</si>
  <si>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</si>
  <si>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</si>
  <si>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</si>
  <si>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</si>
  <si>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</si>
  <si>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</si>
  <si>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</si>
  <si>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</si>
  <si>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</si>
  <si>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</si>
  <si>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</si>
  <si>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</si>
  <si>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</si>
  <si>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</si>
  <si>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</si>
  <si>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</si>
  <si>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</si>
  <si>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</si>
  <si>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</si>
  <si>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STATE FUNDING PORTION</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</si>
  <si>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</si>
  <si>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</si>
  <si>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</si>
  <si>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</si>
  <si>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</si>
  <si>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</si>
  <si>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</si>
  <si>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</si>
  <si>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</si>
  <si>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</si>
  <si>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</si>
  <si>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</si>
  <si>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</si>
  <si>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</si>
  <si>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Title IIA (Fixed amt for all students)</t>
  </si>
  <si>
    <t>Title III ELL</t>
  </si>
  <si>
    <t>Per ELL student</t>
  </si>
  <si>
    <t>Title IV (Do not use)</t>
  </si>
  <si>
    <t>Do not use</t>
  </si>
  <si>
    <t>IDEA (total)</t>
  </si>
  <si>
    <t>Per SPED student</t>
  </si>
  <si>
    <t>Breakfast Program -- Federal Reimbursement</t>
  </si>
  <si>
    <t>Breakfast Program</t>
  </si>
  <si>
    <t>Per student per day</t>
  </si>
  <si>
    <t>Lunch Program</t>
  </si>
  <si>
    <t>Per student</t>
  </si>
  <si>
    <t>County where school is located</t>
  </si>
  <si>
    <t>Enrollment Detail</t>
  </si>
  <si>
    <t>STATE &amp; LOCAL (PCFP) FUNDING</t>
  </si>
  <si>
    <t>State PCFP Adj' Base Revenue</t>
  </si>
  <si>
    <t>State SPED Funding</t>
  </si>
  <si>
    <t>Local SPED Funding</t>
  </si>
  <si>
    <t>Inflation adjusted Total Revenue</t>
  </si>
  <si>
    <t>PCFP Sponsorship Fee (on Base)</t>
  </si>
  <si>
    <t xml:space="preserve">   PCFP Revenue Net of Sponsor Fee</t>
  </si>
  <si>
    <t xml:space="preserve">   PCFP Revenue Net of Sponsor Fee pp</t>
  </si>
  <si>
    <t>FEDERAL &amp; OTHER FUNDING PORTION</t>
  </si>
  <si>
    <t xml:space="preserve">Federal Lunch Program </t>
  </si>
  <si>
    <t>Food Services Revenue</t>
  </si>
  <si>
    <t>Transportation Funding</t>
  </si>
  <si>
    <t xml:space="preserve">  Per Pupil (Federal Funding Portion)</t>
  </si>
  <si>
    <t>Total PCFP Revenue PP</t>
  </si>
  <si>
    <t>Check (Revenue, Summary tab)</t>
  </si>
  <si>
    <t>Difference - Check (Revenue, Summary tab)</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</si>
  <si>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</si>
  <si>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</si>
  <si>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</si>
  <si>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</si>
  <si>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</si>
  <si>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</si>
  <si>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</si>
  <si>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</si>
  <si>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</si>
  <si>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</si>
  <si>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</si>
  <si>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</si>
  <si>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</si>
  <si>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</si>
  <si>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</si>
  <si>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</si>
  <si>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</si>
  <si>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</si>
  <si>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</si>
  <si>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</si>
  <si>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</si>
  <si>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</si>
  <si>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</si>
  <si>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</si>
  <si>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</si>
  <si>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</si>
  <si>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</si>
  <si>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</si>
  <si>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</si>
  <si>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</si>
  <si>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Sponsorship Fee</t>
  </si>
  <si>
    <t>Qtr End</t>
  </si>
  <si>
    <t>SY1 Ending</t>
  </si>
  <si>
    <t>Projected</t>
  </si>
  <si>
    <t>Variance</t>
  </si>
  <si>
    <t>Mo</t>
  </si>
  <si>
    <t>BOM</t>
  </si>
  <si>
    <t>Days</t>
  </si>
  <si>
    <t>REVENUES</t>
  </si>
  <si>
    <t>PCFP Revenue</t>
  </si>
  <si>
    <t>CS Sponsorship Fee @ 0.0125</t>
  </si>
  <si>
    <t>State Weighted Funding</t>
  </si>
  <si>
    <t>Charter Start up funds</t>
  </si>
  <si>
    <t>Other start-up grant funds</t>
  </si>
  <si>
    <t>Student Fees</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</si>
  <si>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</si>
  <si>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</si>
  <si>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</si>
  <si>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</si>
  <si>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</si>
  <si>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</si>
  <si>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</si>
  <si>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</si>
  <si>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</si>
  <si>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</si>
  <si>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</si>
  <si>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</si>
  <si>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</si>
  <si>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</si>
  <si>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</si>
  <si>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</si>
  <si>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</si>
  <si>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</si>
  <si>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</si>
  <si>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</si>
  <si>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</si>
  <si>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</si>
  <si>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</si>
  <si>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</si>
  <si>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</si>
  <si>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</si>
  <si>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</si>
  <si>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</si>
  <si>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</si>
  <si>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</si>
  <si>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</si>
  <si>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</si>
  <si>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</si>
  <si>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</si>
  <si>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</si>
  <si>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</si>
  <si>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</si>
  <si>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</si>
  <si>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</si>
  <si>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</si>
  <si>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</si>
  <si>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</si>
  <si>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</si>
  <si>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</si>
  <si>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</si>
  <si>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</si>
  <si>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</si>
  <si>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</si>
  <si>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</si>
  <si>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</si>
  <si>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</si>
  <si>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</si>
  <si>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</si>
  <si>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</si>
  <si>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</si>
  <si>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</si>
  <si>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STAFF FTE COUNT (FT &amp; PT w/Benefits)</t>
  </si>
  <si>
    <t>Staff Summary</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</si>
  <si>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</si>
  <si>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</si>
  <si>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</si>
  <si>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</si>
  <si>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</si>
  <si>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</si>
  <si>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</si>
  <si>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</si>
  <si>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</si>
  <si>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</si>
  <si>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</si>
  <si>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</si>
  <si>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</si>
  <si>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</si>
  <si>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</si>
  <si>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</si>
  <si>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</si>
  <si>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</si>
  <si>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</si>
  <si>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</si>
  <si>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</si>
  <si>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</si>
  <si>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</si>
  <si>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</si>
  <si>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</si>
  <si>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</si>
  <si>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</si>
  <si>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</si>
  <si>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</si>
  <si>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</si>
  <si>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</si>
  <si>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</si>
  <si>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</si>
  <si>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</si>
  <si>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</si>
  <si>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</si>
  <si>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</si>
  <si>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</si>
  <si>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</si>
  <si>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</si>
  <si>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</si>
  <si>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</si>
  <si>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</si>
  <si>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</si>
  <si>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</si>
  <si>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</si>
  <si>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</si>
  <si>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</si>
  <si>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</si>
  <si>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Saturday schools per year</t>
  </si>
  <si>
    <t>Contractors required for Saturday School</t>
  </si>
  <si>
    <t>Price per contractor</t>
  </si>
  <si>
    <t>Base Salary</t>
  </si>
  <si>
    <t>Fall of School Year 1 =</t>
  </si>
  <si>
    <t xml:space="preserve">FTE Count &amp; Hiring Timing </t>
  </si>
  <si>
    <t>Administrators (Full-time &amp; Part-Time w/benefits)</t>
  </si>
  <si>
    <t>year</t>
  </si>
  <si>
    <t xml:space="preserve">Total Administrators </t>
  </si>
  <si>
    <t>Office Staff (Full-time &amp; Part-Time w/benefits)</t>
  </si>
  <si>
    <t>Total Administrators and Office Staff</t>
  </si>
  <si>
    <t>Special Education (SPED) Teachers (Full-time &amp; Part-Time w/benefits)</t>
  </si>
  <si>
    <t xml:space="preserve">     SPED Students</t>
  </si>
  <si>
    <t xml:space="preserve">     SPED Students/Teacher Ratio</t>
  </si>
  <si>
    <t>English Language Learner (ELL) Teachers (Full-time &amp; Part-Time w/benefits)</t>
  </si>
  <si>
    <t>Total ELL Teachers</t>
  </si>
  <si>
    <t xml:space="preserve">Total Special Education/ELL Teachers/Guidance Counselors </t>
  </si>
  <si>
    <t>Total Faculty before Teachers</t>
  </si>
  <si>
    <t>Teacher</t>
  </si>
  <si>
    <t>SYE</t>
  </si>
  <si>
    <t>FTE Count</t>
  </si>
  <si>
    <t>na</t>
  </si>
  <si>
    <t>General</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</si>
  <si>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</si>
  <si>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</si>
  <si>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</si>
  <si>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</si>
  <si>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</si>
  <si>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</si>
  <si>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</si>
  <si>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</si>
  <si>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</si>
  <si>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</si>
  <si>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</si>
  <si>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</si>
  <si>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</si>
  <si>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</si>
  <si>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</si>
  <si>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</si>
  <si>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</si>
  <si>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</si>
  <si>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</si>
  <si>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</si>
  <si>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</si>
  <si>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</si>
  <si>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</si>
  <si>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</si>
  <si>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</si>
  <si>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</si>
  <si>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</si>
  <si>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</si>
  <si>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</si>
  <si>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</si>
  <si>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</si>
  <si>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</si>
  <si>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LEASE OPTION</t>
  </si>
  <si>
    <t>Lease area (conditioned space)(sq ft)</t>
  </si>
  <si>
    <t>Lease rate/sq ft/Month (Contract--Before waivers/deferrals; w/o escalator)</t>
  </si>
  <si>
    <t>Lease rate/sq ft/Year (Contract--Before waivers/deferrals;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</si>
  <si>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</si>
  <si>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</si>
  <si>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</si>
  <si>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</si>
  <si>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</si>
  <si>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</si>
  <si>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</si>
  <si>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</si>
  <si>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</si>
  <si>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</si>
  <si>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</si>
  <si>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</si>
  <si>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</si>
  <si>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</si>
  <si>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</si>
  <si>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</si>
  <si>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</si>
  <si>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</si>
  <si>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</si>
  <si>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</si>
  <si>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</si>
  <si>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</si>
  <si>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</si>
  <si>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</si>
  <si>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</si>
  <si>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</si>
  <si>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</si>
  <si>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</si>
  <si>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</si>
  <si>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</si>
  <si>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</si>
  <si>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</si>
  <si>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</si>
  <si>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</si>
  <si>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</si>
  <si>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</si>
  <si>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</si>
  <si>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</si>
  <si>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</si>
  <si>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</si>
  <si>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</si>
  <si>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</si>
  <si>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</si>
  <si>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</si>
  <si>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</si>
  <si>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</si>
  <si>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</si>
  <si>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</si>
  <si>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</si>
  <si>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</si>
  <si>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</si>
  <si>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</si>
  <si>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</si>
  <si>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</si>
  <si>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</si>
  <si>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</si>
  <si>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</si>
  <si>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</si>
  <si>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</si>
  <si>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</si>
  <si>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</si>
  <si>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</si>
  <si>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</si>
  <si>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</si>
  <si>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</si>
  <si>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</si>
  <si>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Fall, Winter</t>
  </si>
  <si>
    <t>Be sure year 1 information below matches with your Year 1 Cashflow Worksheet totals</t>
  </si>
  <si>
    <t>Student / Classroom</t>
  </si>
  <si>
    <t xml:space="preserve">  Estimated # students to newly enroll</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</si>
  <si>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</si>
  <si>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</si>
  <si>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</si>
  <si>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</si>
  <si>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</si>
  <si>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</si>
  <si>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</si>
  <si>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</si>
  <si>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</si>
  <si>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Assumptions</t>
  </si>
  <si>
    <t>(Manual entry)</t>
  </si>
  <si>
    <t>Professional development</t>
  </si>
  <si>
    <t>Per FTE</t>
  </si>
  <si>
    <t>Staff recruitment</t>
  </si>
  <si>
    <t>Per Year</t>
    <phoneticPr fontId="7" type="noConversion"/>
  </si>
  <si>
    <t>Special Ed/Psychology Consultant</t>
  </si>
  <si>
    <t>Annual Expense</t>
  </si>
  <si>
    <t>Textbooks - initial costs</t>
  </si>
  <si>
    <t>Textbooks - repurchase of new books</t>
  </si>
  <si>
    <t>Number of years use</t>
  </si>
  <si>
    <t>Library books per new student</t>
  </si>
  <si>
    <t>Per New Student</t>
  </si>
  <si>
    <t>Food services</t>
  </si>
  <si>
    <t>Music program</t>
  </si>
  <si>
    <t>Per Student</t>
  </si>
  <si>
    <t>% of PCFP &amp; Other Grant funds</t>
  </si>
  <si>
    <t>Licensing fees</t>
  </si>
  <si>
    <t>Office Supplies (non direct student; not equip)</t>
  </si>
  <si>
    <t>Supplies for students (not equip)</t>
  </si>
  <si>
    <t>Assessment costs</t>
  </si>
  <si>
    <t>Yearbook</t>
  </si>
  <si>
    <t>School store</t>
  </si>
  <si>
    <t>Contracted SPED</t>
  </si>
  <si>
    <t>Per Instructional FTE</t>
  </si>
  <si>
    <t>General office supplies (enter here or above/student; not equip)</t>
  </si>
  <si>
    <t>Per month</t>
  </si>
  <si>
    <t>School uniforms - new students</t>
  </si>
  <si>
    <t>Per new student</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</si>
  <si>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</si>
  <si>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</si>
  <si>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</si>
  <si>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</si>
  <si>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</si>
  <si>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</si>
  <si>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</si>
  <si>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</si>
  <si>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</si>
  <si>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</si>
  <si>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</si>
  <si>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</si>
  <si>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</si>
  <si>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</si>
  <si>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</si>
  <si>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</si>
  <si>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</si>
  <si>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</si>
  <si>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</si>
  <si>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</si>
  <si>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Input "yes" or "no"</t>
  </si>
  <si>
    <t>Annual audit</t>
  </si>
  <si>
    <t>Brochures, Information</t>
  </si>
  <si>
    <t>Community meeting, hosting</t>
  </si>
  <si>
    <t>Deposits (non facility--if not shown elsewhere)</t>
  </si>
  <si>
    <t>HR: Hiring: Head of School</t>
  </si>
  <si>
    <t>Legal fees (Incubation Year)</t>
  </si>
  <si>
    <t>Legal fees (Post incubation)</t>
  </si>
  <si>
    <t>School leader acquisition/development costs in incubation</t>
  </si>
  <si>
    <t>Total Contract/Other Services</t>
  </si>
  <si>
    <t>School Pays?</t>
  </si>
  <si>
    <t>Breakfast</t>
  </si>
  <si>
    <t>Snacks</t>
  </si>
  <si>
    <t>Saturday food program</t>
  </si>
  <si>
    <t>Total Food Costs</t>
  </si>
  <si>
    <t>TRANSPORTATION REVENUES/FUNDING</t>
  </si>
  <si>
    <t>Transportation Revenues/Funding (if applicable)</t>
  </si>
  <si>
    <t>TRANSPORTATION COSTS</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</si>
  <si>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</si>
  <si>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</si>
  <si>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</si>
  <si>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</si>
  <si>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</si>
  <si>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</si>
  <si>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</si>
  <si>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</si>
  <si>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</si>
  <si>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</si>
  <si>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</si>
  <si>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</si>
  <si>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</si>
  <si>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buses required</t>
  </si>
  <si>
    <t>Cost of additional bus(es)</t>
  </si>
  <si>
    <t>Fuel costs</t>
  </si>
  <si>
    <t>Maintenance costs</t>
  </si>
  <si>
    <t>TOTAL TRANSPORTATION COSTS</t>
  </si>
  <si>
    <t>Per estimated rider-pupil cost</t>
  </si>
  <si>
    <t>NET TRANSPORTATION CASHFLOW</t>
  </si>
  <si>
    <t>Athletic Costs detail (subtotal posted above) (not in print range)</t>
  </si>
  <si>
    <t>TOTAL ATHLETIC COSTS</t>
  </si>
  <si>
    <t>Inflation (compounded/year)</t>
  </si>
  <si>
    <t>TOTAL GENERAL OPERATING EXPENSES</t>
  </si>
  <si>
    <t xml:space="preserve">   TOT GEN OPERATING EXPENSES w/o Trans</t>
  </si>
  <si>
    <t>Student enrollment</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</si>
  <si>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</si>
  <si>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</si>
  <si>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</si>
  <si>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</si>
  <si>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</si>
  <si>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</si>
  <si>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</si>
  <si>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</si>
  <si>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</si>
  <si>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</si>
  <si>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</si>
  <si>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</si>
  <si>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</si>
  <si>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</si>
  <si>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</si>
  <si>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</si>
  <si>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</si>
  <si>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</si>
  <si>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</si>
  <si>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</si>
  <si>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</si>
  <si>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</si>
  <si>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</si>
  <si>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</si>
  <si>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</si>
  <si>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</si>
  <si>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</si>
  <si>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</si>
  <si>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</si>
  <si>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</si>
  <si>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</si>
  <si>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</si>
  <si>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</si>
  <si>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</si>
  <si>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</si>
  <si>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 xml:space="preserve">Pre-Opening </t>
  </si>
  <si>
    <t>(You may overwrite the formulas below)</t>
  </si>
  <si>
    <t>Insurance types</t>
  </si>
  <si>
    <t>Minimum</t>
  </si>
  <si>
    <t>Annual</t>
  </si>
  <si>
    <t>(Select appropriate coverages)</t>
  </si>
  <si>
    <t>Coverage</t>
  </si>
  <si>
    <t>Cost</t>
  </si>
  <si>
    <t>6 yr+0</t>
  </si>
  <si>
    <t>NAC 388A.190</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</si>
  <si>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</si>
  <si>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</si>
  <si>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</si>
  <si>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</si>
  <si>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</si>
  <si>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</si>
  <si>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</si>
  <si>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</si>
  <si>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</si>
  <si>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</si>
  <si>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</si>
  <si>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</si>
  <si>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</si>
  <si>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Unemployment Insurance (see Staff tab)</t>
  </si>
  <si>
    <t>Worker's Compensation (see Staff tab)</t>
  </si>
  <si>
    <t>Total Insurance Expense b4 Inflation</t>
  </si>
  <si>
    <t>Inflation (Compounds)</t>
  </si>
  <si>
    <t>Marketing &amp; Recruitment Expenses</t>
  </si>
  <si>
    <t>STUDENT RECRUITMENT AND MARKETING</t>
  </si>
  <si>
    <t>Marketing/Recruitment Method</t>
  </si>
  <si>
    <t>Total Cost</t>
  </si>
  <si>
    <t>EMO, CMO, BOSP Budget Worksheet</t>
  </si>
  <si>
    <t>School Year 1 (Fall Start)</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</si>
  <si>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</si>
  <si>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</si>
  <si>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</si>
  <si>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</si>
  <si>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</si>
  <si>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</si>
  <si>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</si>
  <si>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</si>
  <si>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</si>
  <si>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</si>
  <si>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</si>
  <si>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</si>
  <si>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</si>
  <si>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</si>
  <si>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</si>
  <si>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</si>
  <si>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</si>
  <si>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</si>
  <si>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EMO or CMO</t>
  </si>
  <si>
    <t>BOSP</t>
  </si>
  <si>
    <t>Do they Perform</t>
  </si>
  <si>
    <t>Or a Cost</t>
  </si>
  <si>
    <t>Perform</t>
  </si>
  <si>
    <t>in fee?</t>
  </si>
  <si>
    <t>the Service?</t>
  </si>
  <si>
    <t>Pass Thru?</t>
  </si>
  <si>
    <t>Service?</t>
  </si>
  <si>
    <t>Y/N</t>
  </si>
  <si>
    <t>"Back office" functions (Accounting, A/P, A/R, Payroll, Inventory, financial, compliance, reporting)</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</si>
  <si>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</si>
  <si>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</si>
  <si>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</si>
  <si>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</si>
  <si>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</si>
  <si>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</si>
  <si>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</si>
  <si>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</si>
  <si>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</si>
  <si>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</si>
  <si>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</si>
  <si>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</si>
  <si>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</si>
  <si>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</si>
  <si>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</si>
  <si>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</si>
  <si>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</si>
  <si>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</si>
  <si>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</si>
  <si>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</si>
  <si>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</si>
  <si>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</si>
  <si>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</si>
  <si>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</si>
  <si>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</si>
  <si>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</si>
  <si>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</si>
  <si>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</si>
  <si>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</si>
  <si>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Total EMO-CMO-ESP Planned Expenses</t>
  </si>
  <si>
    <t>Special Populations &amp; Demographics</t>
  </si>
  <si>
    <t>For reference:</t>
  </si>
  <si>
    <t>NDE Enrollment Data</t>
  </si>
  <si>
    <t>Academic &amp; Demographic Needs Assessment (ADNA)</t>
  </si>
  <si>
    <t>PCFP Rates</t>
  </si>
  <si>
    <t>In person</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</si>
  <si>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</si>
  <si>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</si>
  <si>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</si>
  <si>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</si>
  <si>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</si>
  <si>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</si>
  <si>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</si>
  <si>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</si>
  <si>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</si>
  <si>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</si>
  <si>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</si>
  <si>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</si>
  <si>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</si>
  <si>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</si>
  <si>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</si>
  <si>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</si>
  <si>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</si>
  <si>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</si>
  <si>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</si>
  <si>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</si>
  <si>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</si>
  <si>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</si>
  <si>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</si>
  <si>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</si>
  <si>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</si>
  <si>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</si>
  <si>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</si>
  <si>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</si>
  <si>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</si>
  <si>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</si>
  <si>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</si>
  <si>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</si>
  <si>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</si>
  <si>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</si>
  <si>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</si>
  <si>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</si>
  <si>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</si>
  <si>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</si>
  <si>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</si>
  <si>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</si>
  <si>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</si>
  <si>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</si>
  <si>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</si>
  <si>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</si>
  <si>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</si>
  <si>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</si>
  <si>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</si>
  <si>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</si>
  <si>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</si>
  <si>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</si>
  <si>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</si>
  <si>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</si>
  <si>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</si>
  <si>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</si>
  <si>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</si>
  <si>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</si>
  <si>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</si>
  <si>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</si>
  <si>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</si>
  <si>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</si>
  <si>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</si>
  <si>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</si>
  <si>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</si>
  <si>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</si>
  <si>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</si>
  <si>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</si>
  <si>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</si>
  <si>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</si>
  <si>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</si>
  <si>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</si>
  <si>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</si>
  <si>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</si>
  <si>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</si>
  <si>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</si>
  <si>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</si>
  <si>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</si>
  <si>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</si>
  <si>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</si>
  <si>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</si>
  <si>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</si>
  <si>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</si>
  <si>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</si>
  <si>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</si>
  <si>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</si>
  <si>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</si>
  <si>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</si>
  <si>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</si>
  <si>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</si>
  <si>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</si>
  <si>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</si>
  <si>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</si>
  <si>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</si>
  <si>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</si>
  <si>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</si>
  <si>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</si>
  <si>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</si>
  <si>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</si>
  <si>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</si>
  <si>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</si>
  <si>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</si>
  <si>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</si>
  <si>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</si>
  <si>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</si>
  <si>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</si>
  <si>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</si>
  <si>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</si>
  <si>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</si>
  <si>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</si>
  <si>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</si>
  <si>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</si>
  <si>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</si>
  <si>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</si>
  <si>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</si>
  <si>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</si>
  <si>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</si>
  <si>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</si>
  <si>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</si>
  <si>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</si>
  <si>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</si>
  <si>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</si>
  <si>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</si>
  <si>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</si>
  <si>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</si>
  <si>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</si>
  <si>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</si>
  <si>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</si>
  <si>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</si>
  <si>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</si>
  <si>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</si>
  <si>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</si>
  <si>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</si>
  <si>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</si>
  <si>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</si>
  <si>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</si>
  <si>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</si>
  <si>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</si>
  <si>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</si>
  <si>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</si>
  <si>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</si>
  <si>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</si>
  <si>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</si>
  <si>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</si>
  <si>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</si>
  <si>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</si>
  <si>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</si>
  <si>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</si>
  <si>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</si>
  <si>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</si>
  <si>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</si>
  <si>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</si>
  <si>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</si>
  <si>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</si>
  <si>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</si>
  <si>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</si>
  <si>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</si>
  <si>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</si>
  <si>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</si>
  <si>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</si>
  <si>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</si>
  <si>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</si>
  <si>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</si>
  <si>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</si>
  <si>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</si>
  <si>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</si>
  <si>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</si>
  <si>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</si>
  <si>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</si>
  <si>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</si>
  <si>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</si>
  <si>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</si>
  <si>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</si>
  <si>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</si>
  <si>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</si>
  <si>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</si>
  <si>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</si>
  <si>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</si>
  <si>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</si>
  <si>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</si>
  <si>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</si>
  <si>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</si>
  <si>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</si>
  <si>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</si>
  <si>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</si>
  <si>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</si>
  <si>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</si>
  <si>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</si>
  <si>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</si>
  <si>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</si>
  <si>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</si>
  <si>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</si>
  <si>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</si>
  <si>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</si>
  <si>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</si>
  <si>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</si>
  <si>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</si>
  <si>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</si>
  <si>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</si>
  <si>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</si>
  <si>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</si>
  <si>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</si>
  <si>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</si>
  <si>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</si>
  <si>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</si>
  <si>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</si>
  <si>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</si>
  <si>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</si>
  <si>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</si>
  <si>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</si>
  <si>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</si>
  <si>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</si>
  <si>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</si>
  <si>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</si>
  <si>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</si>
  <si>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</si>
  <si>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</si>
  <si>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</si>
  <si>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</si>
  <si>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</si>
  <si>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</si>
  <si>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</si>
  <si>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</si>
  <si>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</si>
  <si>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</si>
  <si>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</si>
  <si>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</si>
  <si>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</si>
  <si>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</si>
  <si>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</si>
  <si>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</si>
  <si>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</si>
  <si>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</si>
  <si>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</si>
  <si>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</si>
  <si>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</si>
  <si>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</si>
  <si>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</si>
  <si>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</si>
  <si>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</si>
  <si>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</si>
  <si>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</si>
  <si>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</si>
  <si>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</si>
  <si>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</si>
  <si>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</si>
  <si>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</si>
  <si>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</si>
  <si>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</si>
  <si>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</si>
  <si>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</si>
  <si>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</si>
  <si>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</si>
  <si>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</si>
  <si>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</si>
  <si>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</si>
  <si>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</si>
  <si>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</si>
  <si>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</si>
  <si>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</si>
  <si>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</si>
  <si>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</si>
  <si>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</si>
  <si>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</si>
  <si>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</si>
  <si>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</si>
  <si>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</si>
  <si>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</si>
  <si>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</si>
  <si>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</si>
  <si>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</si>
  <si>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</si>
  <si>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</si>
  <si>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</si>
  <si>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</si>
  <si>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</si>
  <si>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</si>
  <si>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</si>
  <si>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</si>
  <si>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</si>
  <si>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</si>
  <si>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</si>
  <si>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</si>
  <si>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</si>
  <si>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</si>
  <si>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</si>
  <si>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</si>
  <si>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</si>
  <si>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</si>
  <si>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</si>
  <si>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</si>
  <si>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</si>
  <si>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</si>
  <si>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</si>
  <si>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</si>
  <si>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</si>
  <si>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</si>
  <si>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</si>
  <si>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</si>
  <si>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</si>
  <si>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</si>
  <si>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</si>
  <si>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</si>
  <si>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</si>
  <si>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</si>
  <si>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</si>
  <si>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</si>
  <si>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</si>
  <si>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</si>
  <si>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</si>
  <si>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</si>
  <si>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</si>
  <si>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</si>
  <si>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</si>
  <si>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</si>
  <si>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</si>
  <si>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</si>
  <si>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</si>
  <si>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</si>
  <si>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</si>
  <si>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</si>
  <si>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</si>
  <si>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</si>
  <si>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</si>
  <si>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</si>
  <si>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</si>
  <si>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 xml:space="preserve"> (Computed separately by NDE.  Likely funded after year 1 or after year 2)</t>
  </si>
  <si>
    <t>Inflation adjustor (on state Base only)</t>
  </si>
  <si>
    <t>(Proportion of planned enrollment)</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</si>
  <si>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</si>
  <si>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</si>
  <si>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</si>
  <si>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</si>
  <si>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</si>
  <si>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For costs in excess of those covered by an approved Transportation Program Application</t>
  </si>
  <si>
    <t>Change in Net Position</t>
  </si>
  <si>
    <t>Total Margin</t>
  </si>
  <si>
    <t>Debt to Assets Ratio</t>
  </si>
  <si>
    <t>Cash Flow</t>
  </si>
  <si>
    <t>Debt(Lease) Service Coverage Ratio</t>
  </si>
  <si>
    <t>Depreciation (&amp; Amortization)</t>
  </si>
  <si>
    <r>
      <t xml:space="preserve">UDCOH </t>
    </r>
    <r>
      <rPr>
        <b/>
        <i/>
        <sz val="11"/>
        <color rgb="FF000000"/>
        <rFont val="Times New Roman"/>
        <family val="1"/>
      </rPr>
      <t>(Cash Sufficiency)</t>
    </r>
  </si>
  <si>
    <t>Surplus</t>
  </si>
  <si>
    <t>Retention to cash</t>
  </si>
  <si>
    <t>Borrowings</t>
  </si>
  <si>
    <t>Other (non fund raising) contributions</t>
  </si>
  <si>
    <t>Cash, Restricted</t>
  </si>
  <si>
    <t>Cash, Unrestricted</t>
  </si>
  <si>
    <t>CONTRACT/OTHER SERVICES (NOT OTHERWISE INCLUDED IN APP)(NOTE EMO, CMO, BOSP TAB)</t>
  </si>
  <si>
    <t>SELF-PERFORMED (SCHOOL STAFF)</t>
  </si>
  <si>
    <t>Accounting services (Excludes contract svs, annual audit)</t>
  </si>
  <si>
    <t>Accounting services (Contract, Annual Independent Audit)</t>
  </si>
  <si>
    <t>Accounts Receivable</t>
  </si>
  <si>
    <t>Final adjusted base PPR, SB 503 EN (2023 session for SYE 24, SYE 25)</t>
  </si>
  <si>
    <t>Additional weighted PPR, SB 503 EN  (2023 session for SYE 24, SYE 25)</t>
  </si>
  <si>
    <t>Facilities/PCFP Revenue</t>
  </si>
  <si>
    <t>% Enrollment from new housing w/in 4 miles:</t>
  </si>
  <si>
    <t xml:space="preserve">% Enrollment from unique cohorts:  </t>
  </si>
  <si>
    <t xml:space="preserve">% Enrollment from New/Leaving Industries: </t>
  </si>
  <si>
    <t xml:space="preserve">% Enrollment from 2nd homeowners: </t>
  </si>
  <si>
    <t xml:space="preserve">Factors which may impact enrollment </t>
  </si>
  <si>
    <t>Students / Employees</t>
  </si>
  <si>
    <t xml:space="preserve">   Students / ELL Teachers</t>
  </si>
  <si>
    <t xml:space="preserve">   SPED Students / SPED Teachers</t>
  </si>
  <si>
    <t xml:space="preserve">   SPED Students</t>
  </si>
  <si>
    <t xml:space="preserve">   ELL Students</t>
  </si>
  <si>
    <t xml:space="preserve">   Student/Classroom (w/o Teacher(s))</t>
  </si>
  <si>
    <t>GASB 75, fka 45</t>
  </si>
  <si>
    <t>Total GASB 75, fka 45</t>
  </si>
  <si>
    <t>Instructional Support, Supplies, etc.</t>
  </si>
  <si>
    <t>Total Instructional Support, Supplies, etc.</t>
  </si>
  <si>
    <t>Advertising</t>
  </si>
  <si>
    <t>Recruiting: Students</t>
  </si>
  <si>
    <t>Recruiting: Teachers &amp; staff</t>
  </si>
  <si>
    <t>Inflator on PCFP (only)</t>
  </si>
  <si>
    <t>Inflator on all expenses</t>
  </si>
  <si>
    <t>Expense Inflation Adjustment</t>
  </si>
  <si>
    <t xml:space="preserve">PCFP Revenue inflation to PCFP </t>
  </si>
  <si>
    <t>Category fka "At Risk Pupils" (AR)(Determined later by NDE)</t>
  </si>
  <si>
    <t>Lease rate/sq ft/month (Net rent after waivers, abatements, deferrals, w/o escalator)(If applicable)</t>
  </si>
  <si>
    <t>Lease rate/sq ft/year (After waivers..., w/o escalator)</t>
  </si>
  <si>
    <t>/AR Student</t>
  </si>
  <si>
    <t>Title IIA (For AR students only)</t>
  </si>
  <si>
    <t>Title IIA (AR only)</t>
  </si>
  <si>
    <t>Title IIA (AR &amp; Non AR)</t>
  </si>
  <si>
    <t>$400/AR student</t>
  </si>
  <si>
    <t>$4/student AND $66/AR student</t>
  </si>
  <si>
    <t>(fka AR)</t>
  </si>
  <si>
    <t>(no 100% AR?)</t>
  </si>
  <si>
    <t>AR (% of students)</t>
  </si>
  <si>
    <t xml:space="preserve">   AR (# of students)</t>
  </si>
  <si>
    <t>Reserves--Special Education (&gt;=$25,000)</t>
  </si>
  <si>
    <t>Reserves--General</t>
  </si>
  <si>
    <t>Substitute Teachers (includes benefits)</t>
  </si>
  <si>
    <t xml:space="preserve">     Count of Substitute Teachers (FTE equivalent)</t>
  </si>
  <si>
    <t xml:space="preserve">Substitute Teachers </t>
  </si>
  <si>
    <t xml:space="preserve">    Substitute Teachers </t>
  </si>
  <si>
    <t xml:space="preserve">     Estimated Average Salary &amp; Benefits per Teacher</t>
  </si>
  <si>
    <t xml:space="preserve">     Estimated Base salary (Weighted Average (WA))</t>
  </si>
  <si>
    <t xml:space="preserve">     Estimated Average Benefits (Weighted)</t>
  </si>
  <si>
    <t xml:space="preserve">FTE - Substitute Teachers </t>
  </si>
  <si>
    <t xml:space="preserve">  Check (% of Total Salaries including Inflation)</t>
  </si>
  <si>
    <t>CASH FLOW FROM OPERATIONS</t>
  </si>
  <si>
    <t>CASH FLOW FROM FINANCING</t>
  </si>
  <si>
    <t>Proposed Name of School:</t>
  </si>
  <si>
    <t>Location 1 (Address or Cross Streets)</t>
  </si>
  <si>
    <t>Location 2  (Address or Cross Streets)</t>
  </si>
  <si>
    <t>Year 1 Beginning:</t>
  </si>
  <si>
    <t>Name</t>
  </si>
  <si>
    <t>Paid Preparer?</t>
  </si>
  <si>
    <t>Proposed Role With School</t>
  </si>
  <si>
    <t>Financial Plan Workbook Preparation Team</t>
  </si>
  <si>
    <t>Member of CTF?</t>
  </si>
  <si>
    <t>Yes</t>
  </si>
  <si>
    <t>Board Member Approval:</t>
  </si>
  <si>
    <t>Comments, Notes, Sources, etc.</t>
  </si>
  <si>
    <t>Contingency</t>
  </si>
  <si>
    <t>Potential Site 2</t>
  </si>
  <si>
    <t>Number of Students per Classroom (enter goal)</t>
  </si>
  <si>
    <t>Number of classrooms calculated</t>
  </si>
  <si>
    <t>Number of classrooms (enter goal)</t>
  </si>
  <si>
    <t>Enrollment @ Target 100% Enrollment (stabilization)</t>
  </si>
  <si>
    <t>Lunch program (not covered by Title I)</t>
  </si>
  <si>
    <t>Food Program (per student)</t>
  </si>
  <si>
    <t>Note: State Weighted and SpEd funding are paid based on prior year verified special population enrollments.  Schools do not receive these funds in Y1.</t>
  </si>
  <si>
    <t>12 mo Total</t>
  </si>
  <si>
    <t>Enrol &amp;Rev</t>
  </si>
  <si>
    <t>`</t>
  </si>
  <si>
    <t>Gen Optg</t>
  </si>
  <si>
    <t>Salary</t>
  </si>
  <si>
    <t>Other Staff (Full-time &amp; Part-Time w/benefits)</t>
  </si>
  <si>
    <t>Total Other Staff</t>
  </si>
  <si>
    <t>General Education Teachers (Full-time &amp; Part-Time w/benefits)</t>
  </si>
  <si>
    <t>Dept./Subj.</t>
  </si>
  <si>
    <t>Total General Education Teachers (Count)</t>
  </si>
  <si>
    <t xml:space="preserve">Potential location(s) under consideration: </t>
  </si>
  <si>
    <t>If Lease, specify most recent use:</t>
  </si>
  <si>
    <t>Instructional supplies - Teachers</t>
  </si>
  <si>
    <t>EMO / CMO Fee</t>
  </si>
  <si>
    <t>Management fees (other than EMO, CMO, BOSP)</t>
  </si>
  <si>
    <t>Per returning student</t>
  </si>
  <si>
    <t>School uniforms - returning students</t>
  </si>
  <si>
    <t>General building décor</t>
  </si>
  <si>
    <t xml:space="preserve">Nonprofit Incorporation-Federal </t>
  </si>
  <si>
    <t xml:space="preserve">Nonprofit Incorporation-State </t>
  </si>
  <si>
    <t>Application Costs incl. consultants</t>
  </si>
  <si>
    <t>HR: Hiring</t>
  </si>
  <si>
    <t>Staff Recruitment</t>
  </si>
  <si>
    <t>Percentage of students expected to participate in transportation program</t>
  </si>
  <si>
    <t>Planned Enrollment</t>
  </si>
  <si>
    <t>Planned students using transportation</t>
  </si>
  <si>
    <t>FTE Total</t>
  </si>
  <si>
    <t>(Enter manually Y0 Manually)</t>
  </si>
  <si>
    <t xml:space="preserve">TOTAL FFE &amp; T COSTS </t>
  </si>
  <si>
    <t>Services to charter school</t>
  </si>
  <si>
    <t>Intervention Software</t>
  </si>
  <si>
    <t>Student Information Systems</t>
  </si>
  <si>
    <t>Computer- based Assessments</t>
  </si>
  <si>
    <t>Other Student Software</t>
  </si>
  <si>
    <t xml:space="preserve">Faculty furniture </t>
  </si>
  <si>
    <t xml:space="preserve">Student furniture </t>
  </si>
  <si>
    <t>Estimated timeframe</t>
  </si>
  <si>
    <t>enter "yes" or "no"</t>
  </si>
  <si>
    <t>Instructional days per year</t>
  </si>
  <si>
    <t>(enter "yes" or "no"</t>
  </si>
  <si>
    <t>Other (Check applicable requirements and consult with your insurance agent regarding the coverages your school, faculty, leadership and board may need or want.)</t>
  </si>
  <si>
    <t>%</t>
  </si>
  <si>
    <t>Textbooks</t>
  </si>
  <si>
    <t>Input "Purchase" or "Lease"</t>
  </si>
  <si>
    <t>Charter School Program (CSP) Grant (w/ltr)</t>
  </si>
  <si>
    <t>Other start-up grant funds, incl' SEA Grants (w/ltr)</t>
  </si>
  <si>
    <t>School level fundraising (w/supporting documentation)</t>
  </si>
  <si>
    <t>Investment Income (w/supporting documentation)</t>
  </si>
  <si>
    <t>Foundation/Corporate Philanthropy (w/ltr)</t>
  </si>
  <si>
    <r>
      <t>Start-up funds</t>
    </r>
    <r>
      <rPr>
        <sz val="11"/>
        <color rgb="FF000000"/>
        <rFont val="Times New Roman"/>
        <family val="1"/>
      </rPr>
      <t xml:space="preserve"> (Federal Replication &amp; Expansion already awarded to operator-w/ltr)</t>
    </r>
  </si>
  <si>
    <t>Fundraising /Donations (w/ltr)</t>
  </si>
  <si>
    <t>INTRODUCTION TO THE FINANCIAL PLAN WORKBOOK</t>
  </si>
  <si>
    <t>UNDERSTANDING THE WORKBOOK</t>
  </si>
  <si>
    <r>
      <t>·</t>
    </r>
    <r>
      <rPr>
        <sz val="7"/>
        <color theme="1"/>
        <rFont val="Times New Roman"/>
        <family val="1"/>
      </rPr>
      <t xml:space="preserve">        </t>
    </r>
    <r>
      <rPr>
        <sz val="11"/>
        <color theme="1"/>
        <rFont val="Aptos"/>
        <family val="2"/>
      </rPr>
      <t>BLUE tab fills indicate protected sheets.</t>
    </r>
  </si>
  <si>
    <r>
      <t>·</t>
    </r>
    <r>
      <rPr>
        <sz val="7"/>
        <color theme="1"/>
        <rFont val="Times New Roman"/>
        <family val="1"/>
      </rPr>
      <t xml:space="preserve">        </t>
    </r>
    <r>
      <rPr>
        <sz val="11"/>
        <color theme="1"/>
        <rFont val="Aptos"/>
        <family val="2"/>
      </rPr>
      <t>YELLOW cell and tab fills indicate that applicant inputs are accepted and/or required. Applicants should input data ONLY in yellow cells.</t>
    </r>
  </si>
  <si>
    <r>
      <t>·</t>
    </r>
    <r>
      <rPr>
        <sz val="7"/>
        <color theme="1"/>
        <rFont val="Times New Roman"/>
        <family val="1"/>
      </rPr>
      <t xml:space="preserve">        </t>
    </r>
    <r>
      <rPr>
        <sz val="11"/>
        <color theme="1"/>
        <rFont val="Aptos"/>
        <family val="2"/>
      </rPr>
      <t>Applicants MUST complete ALL sheets with yellow tab fills. Applicants should NOT edit sheets with blue tab fills.</t>
    </r>
  </si>
  <si>
    <r>
      <t>·</t>
    </r>
    <r>
      <rPr>
        <sz val="7"/>
        <color theme="1"/>
        <rFont val="Times New Roman"/>
        <family val="1"/>
      </rPr>
      <t xml:space="preserve">        </t>
    </r>
    <r>
      <rPr>
        <sz val="11"/>
        <color theme="1"/>
        <rFont val="Aptos"/>
        <family val="2"/>
      </rPr>
      <t>DO NOT delete any worksheet, add additional worksheets, or re-order the worksheet tabs.</t>
    </r>
  </si>
  <si>
    <r>
      <t>·</t>
    </r>
    <r>
      <rPr>
        <sz val="7"/>
        <color theme="1"/>
        <rFont val="Times New Roman"/>
        <family val="1"/>
      </rPr>
      <t xml:space="preserve">        </t>
    </r>
    <r>
      <rPr>
        <sz val="11"/>
        <color theme="1"/>
        <rFont val="Aptos"/>
        <family val="2"/>
      </rPr>
      <t>Note that inputs on various sheets will be used to calculate or complete other sections of the workbook.</t>
    </r>
  </si>
  <si>
    <r>
      <t>·</t>
    </r>
    <r>
      <rPr>
        <sz val="7"/>
        <color theme="1"/>
        <rFont val="Times New Roman"/>
        <family val="1"/>
      </rPr>
      <t xml:space="preserve">        </t>
    </r>
    <r>
      <rPr>
        <sz val="11"/>
        <color theme="1"/>
        <rFont val="Aptos"/>
        <family val="2"/>
      </rPr>
      <t>The majority of applicant input sheets include a column for “Comments, Notes, Sources, etc.” High-quality applications tend to use these cells to explain the basis for the amount entered. This might include, for example:</t>
    </r>
  </si>
  <si>
    <r>
      <t>·</t>
    </r>
    <r>
      <rPr>
        <sz val="7"/>
        <color theme="1"/>
        <rFont val="Times New Roman"/>
        <family val="1"/>
      </rPr>
      <t xml:space="preserve">        </t>
    </r>
    <r>
      <rPr>
        <sz val="11"/>
        <color theme="1"/>
        <rFont val="Aptos"/>
        <family val="2"/>
      </rPr>
      <t>Please remember that the figures entered in this workbook should align with your application, and specifically your Budget Narrative.</t>
    </r>
  </si>
  <si>
    <t>INSTRUCTIONS</t>
  </si>
  <si>
    <t>You are here.</t>
  </si>
  <si>
    <t>COVER &amp; LOC</t>
  </si>
  <si>
    <t>SUMMARY</t>
  </si>
  <si>
    <t>Enter information in yellow cells only.</t>
  </si>
  <si>
    <t>ENROL &amp; REV</t>
  </si>
  <si>
    <t>CF Y1 Mo</t>
  </si>
  <si>
    <t>Enter information in yellow cells only. This worksheet requires schools to demonstrate their understanding of revenue and expense distribution across the school year. Only PCFP funding and payments to the SPCSA are automatically populated.</t>
  </si>
  <si>
    <r>
      <t xml:space="preserve">        ·</t>
    </r>
    <r>
      <rPr>
        <sz val="7"/>
        <color theme="1"/>
        <rFont val="Times New Roman"/>
        <family val="1"/>
      </rPr>
      <t xml:space="preserve">        </t>
    </r>
    <r>
      <rPr>
        <sz val="11"/>
        <color theme="1"/>
        <rFont val="Aptos"/>
        <family val="2"/>
      </rPr>
      <t>Price per piece (textbook, Chromebook, etc.)</t>
    </r>
  </si>
  <si>
    <r>
      <t xml:space="preserve">        ·</t>
    </r>
    <r>
      <rPr>
        <sz val="7"/>
        <color theme="1"/>
        <rFont val="Times New Roman"/>
        <family val="1"/>
      </rPr>
      <t xml:space="preserve">        </t>
    </r>
    <r>
      <rPr>
        <sz val="11"/>
        <color theme="1"/>
        <rFont val="Aptos"/>
        <family val="2"/>
      </rPr>
      <t>Sources informing your assumptions such as vendor quotes, actual expenditures from an existing school, or online pricing information.</t>
    </r>
  </si>
  <si>
    <r>
      <t>·</t>
    </r>
    <r>
      <rPr>
        <sz val="7"/>
        <color theme="1"/>
        <rFont val="Times New Roman"/>
        <family val="1"/>
      </rPr>
      <t xml:space="preserve">        </t>
    </r>
    <r>
      <rPr>
        <sz val="11"/>
        <color theme="1"/>
        <rFont val="Aptos"/>
        <family val="2"/>
      </rPr>
      <t>Charter Start-Up Funds</t>
    </r>
  </si>
  <si>
    <r>
      <t>·</t>
    </r>
    <r>
      <rPr>
        <sz val="7"/>
        <color theme="1"/>
        <rFont val="Times New Roman"/>
        <family val="1"/>
      </rPr>
      <t xml:space="preserve">        </t>
    </r>
    <r>
      <rPr>
        <sz val="11"/>
        <color theme="1"/>
        <rFont val="Aptos"/>
        <family val="2"/>
      </rPr>
      <t>Other Start-Up Grant Funds</t>
    </r>
  </si>
  <si>
    <r>
      <t>·</t>
    </r>
    <r>
      <rPr>
        <sz val="7"/>
        <color theme="1"/>
        <rFont val="Times New Roman"/>
        <family val="1"/>
      </rPr>
      <t xml:space="preserve">        </t>
    </r>
    <r>
      <rPr>
        <sz val="11"/>
        <color theme="1"/>
        <rFont val="Aptos"/>
        <family val="2"/>
      </rPr>
      <t>Investment Income</t>
    </r>
  </si>
  <si>
    <r>
      <t>·</t>
    </r>
    <r>
      <rPr>
        <sz val="7"/>
        <color theme="1"/>
        <rFont val="Times New Roman"/>
        <family val="1"/>
      </rPr>
      <t xml:space="preserve">        </t>
    </r>
    <r>
      <rPr>
        <sz val="11"/>
        <color theme="1"/>
        <rFont val="Aptos"/>
        <family val="2"/>
      </rPr>
      <t>Private Fundraising (major donor)</t>
    </r>
  </si>
  <si>
    <r>
      <t>·</t>
    </r>
    <r>
      <rPr>
        <sz val="7"/>
        <color theme="1"/>
        <rFont val="Times New Roman"/>
        <family val="1"/>
      </rPr>
      <t xml:space="preserve">        </t>
    </r>
    <r>
      <rPr>
        <sz val="11"/>
        <color theme="1"/>
        <rFont val="Aptos"/>
        <family val="2"/>
      </rPr>
      <t>For all other rows, you must manually insert specific amounts in the appropriate months.</t>
    </r>
  </si>
  <si>
    <r>
      <t>·</t>
    </r>
    <r>
      <rPr>
        <sz val="7"/>
        <color theme="1"/>
        <rFont val="Times New Roman"/>
        <family val="1"/>
      </rPr>
      <t xml:space="preserve">        </t>
    </r>
    <r>
      <rPr>
        <sz val="11"/>
        <color theme="1"/>
        <rFont val="Aptos"/>
        <family val="2"/>
      </rPr>
      <t>Use column U to explain why you have allocated resources as shown.</t>
    </r>
  </si>
  <si>
    <t>STAFF</t>
  </si>
  <si>
    <t>Enter information in yellow cells only. The hiring plan reflected in this sheet MUST match the Staffing Plan table in the narrative and the organizational charts. This tab must contain ALL school employees. DO NOT include contracted service providers, consultants, etc. in this section.</t>
  </si>
  <si>
    <r>
      <t>·</t>
    </r>
    <r>
      <rPr>
        <sz val="7"/>
        <color theme="1"/>
        <rFont val="Times New Roman"/>
        <family val="1"/>
      </rPr>
      <t xml:space="preserve">        </t>
    </r>
    <r>
      <rPr>
        <sz val="11"/>
        <color theme="1"/>
        <rFont val="Aptos"/>
        <family val="2"/>
      </rPr>
      <t>Use the same titles/role names that you use in your application and will use in the school.</t>
    </r>
  </si>
  <si>
    <r>
      <t>·</t>
    </r>
    <r>
      <rPr>
        <sz val="7"/>
        <color theme="1"/>
        <rFont val="Times New Roman"/>
        <family val="1"/>
      </rPr>
      <t xml:space="preserve">        </t>
    </r>
    <r>
      <rPr>
        <sz val="11"/>
        <color theme="1"/>
        <rFont val="Aptos"/>
        <family val="2"/>
      </rPr>
      <t>Administrators are the leadership of the school. Examples include your principal, deans, director of finance, etc.</t>
    </r>
  </si>
  <si>
    <r>
      <t>·</t>
    </r>
    <r>
      <rPr>
        <sz val="7"/>
        <color theme="1"/>
        <rFont val="Times New Roman"/>
        <family val="1"/>
      </rPr>
      <t xml:space="preserve">        </t>
    </r>
    <r>
      <rPr>
        <sz val="11"/>
        <color theme="1"/>
        <rFont val="Aptos"/>
        <family val="2"/>
      </rPr>
      <t>Office staff includes non-teaching staff who work in the main office, finance or operations, etc.</t>
    </r>
  </si>
  <si>
    <r>
      <t>·</t>
    </r>
    <r>
      <rPr>
        <sz val="7"/>
        <color theme="1"/>
        <rFont val="Times New Roman"/>
        <family val="1"/>
      </rPr>
      <t xml:space="preserve">        </t>
    </r>
    <r>
      <rPr>
        <sz val="11"/>
        <color theme="1"/>
        <rFont val="Aptos"/>
        <family val="2"/>
      </rPr>
      <t>SpEd Teachers should include teaching staff that will provide services directly to students on a daily basis, regardless of title, including paraprofessionals. If you will have a SpEd supervisory position that is a non-teaching role, such as a SpEd director, that role should appear under “administrators.”</t>
    </r>
  </si>
  <si>
    <r>
      <t>·</t>
    </r>
    <r>
      <rPr>
        <sz val="7"/>
        <color theme="1"/>
        <rFont val="Times New Roman"/>
        <family val="1"/>
      </rPr>
      <t xml:space="preserve">        </t>
    </r>
    <r>
      <rPr>
        <sz val="11"/>
        <color theme="1"/>
        <rFont val="Aptos"/>
        <family val="2"/>
      </rPr>
      <t>ELL Teachers should include teaching staff that will provide services directly to students on a daily basis, regardless of title, including paraprofessionals. If you will have an ELL supervisory position that is a non-teaching role, such as a director of ELL, that role should appear under “administrators.”</t>
    </r>
  </si>
  <si>
    <r>
      <t>·</t>
    </r>
    <r>
      <rPr>
        <sz val="7"/>
        <color theme="1"/>
        <rFont val="Times New Roman"/>
        <family val="1"/>
      </rPr>
      <t xml:space="preserve">        </t>
    </r>
    <r>
      <rPr>
        <sz val="11"/>
        <color theme="1"/>
        <rFont val="Aptos"/>
        <family val="2"/>
      </rPr>
      <t>Other Staff should include non-teaching staff of all types, including nurses, counselors, social workers, custodial staff, security personnel, food service or transportation staff, etc. DO NOT include contracted service providers or other non-employees here.</t>
    </r>
  </si>
  <si>
    <r>
      <t>·</t>
    </r>
    <r>
      <rPr>
        <sz val="7"/>
        <color theme="1"/>
        <rFont val="Times New Roman"/>
        <family val="1"/>
      </rPr>
      <t xml:space="preserve">        </t>
    </r>
    <r>
      <rPr>
        <sz val="11"/>
        <color theme="1"/>
        <rFont val="Aptos"/>
        <family val="2"/>
      </rPr>
      <t>General Education Teachers:</t>
    </r>
  </si>
  <si>
    <r>
      <t>·</t>
    </r>
    <r>
      <rPr>
        <sz val="7"/>
        <color theme="1"/>
        <rFont val="Times New Roman"/>
        <family val="1"/>
      </rPr>
      <t xml:space="preserve">        </t>
    </r>
    <r>
      <rPr>
        <sz val="11"/>
        <color theme="1"/>
        <rFont val="Aptos"/>
        <family val="2"/>
      </rPr>
      <t>Column B: Please specify classroom level for K-8 teachers (e.g. Kindergarten teacher, 1</t>
    </r>
    <r>
      <rPr>
        <vertAlign val="superscript"/>
        <sz val="11"/>
        <color theme="1"/>
        <rFont val="Aptos"/>
        <family val="2"/>
      </rPr>
      <t>st</t>
    </r>
    <r>
      <rPr>
        <sz val="11"/>
        <color theme="1"/>
        <rFont val="Aptos"/>
        <family val="2"/>
      </rPr>
      <t xml:space="preserve"> grade teacher, etc.). For elementary special subjects teachers, use ES Teacher-[SUBJECT]. For departmentalized staff use MS Teacher-[SUBJECT] or HS Teacher-[SUBJECT].</t>
    </r>
  </si>
  <si>
    <r>
      <t>·</t>
    </r>
    <r>
      <rPr>
        <sz val="7"/>
        <color theme="1"/>
        <rFont val="Times New Roman"/>
        <family val="1"/>
      </rPr>
      <t xml:space="preserve">        </t>
    </r>
    <r>
      <rPr>
        <sz val="11"/>
        <color theme="1"/>
        <rFont val="Aptos"/>
        <family val="2"/>
      </rPr>
      <t>Column F: indicate whether this role teaches all core subjects (general) as is typical in elementary schools. For departmentalized teachers, indicate the department or subject area (ELA, math, science, social studies, foreign language, CTE, PE, etc.)</t>
    </r>
  </si>
  <si>
    <t>Transparent Nevada</t>
  </si>
  <si>
    <t>You may wish to reference published NV state salary information:</t>
  </si>
  <si>
    <t>FACILITIES:</t>
  </si>
  <si>
    <t>GEN OPTG</t>
  </si>
  <si>
    <r>
      <t>·</t>
    </r>
    <r>
      <rPr>
        <sz val="7"/>
        <color theme="1"/>
        <rFont val="Times New Roman"/>
        <family val="1"/>
      </rPr>
      <t xml:space="preserve">        </t>
    </r>
    <r>
      <rPr>
        <sz val="11"/>
        <color theme="1"/>
        <rFont val="Aptos"/>
        <family val="2"/>
      </rPr>
      <t>Transportation and Food Services are not funded for charter schools.</t>
    </r>
  </si>
  <si>
    <t>INSURANCE</t>
  </si>
  <si>
    <t>Enter information in yellow cells only. Note that you are responsible for identifying coverage your school needs outside of the minimums required by law. These numbers should align with those provided in the attachments to the application.</t>
  </si>
  <si>
    <r>
      <t>·</t>
    </r>
    <r>
      <rPr>
        <sz val="7"/>
        <color theme="1"/>
        <rFont val="Times New Roman"/>
        <family val="1"/>
      </rPr>
      <t xml:space="preserve">        </t>
    </r>
    <r>
      <rPr>
        <sz val="11"/>
        <color theme="1"/>
        <rFont val="Aptos"/>
        <family val="2"/>
      </rPr>
      <t>Please note that you must complete Column F manually, as Y0 expenditures on FFE&amp;T spending are required before public revenues become available to the school.</t>
    </r>
  </si>
  <si>
    <r>
      <t>·</t>
    </r>
    <r>
      <rPr>
        <sz val="7"/>
        <color theme="1"/>
        <rFont val="Times New Roman"/>
        <family val="1"/>
      </rPr>
      <t xml:space="preserve">        </t>
    </r>
    <r>
      <rPr>
        <sz val="11"/>
        <color theme="1"/>
        <rFont val="Aptos"/>
        <family val="2"/>
      </rPr>
      <t>Rows 27-31: Using column N, please provide detailed notes for each type of program, explaining what products are included and their individual costs.</t>
    </r>
  </si>
  <si>
    <r>
      <t>·</t>
    </r>
    <r>
      <rPr>
        <sz val="7"/>
        <color theme="1"/>
        <rFont val="Times New Roman"/>
        <family val="1"/>
      </rPr>
      <t xml:space="preserve">        </t>
    </r>
    <r>
      <rPr>
        <sz val="11"/>
        <color theme="1"/>
        <rFont val="Aptos"/>
        <family val="2"/>
      </rPr>
      <t>If any rows are left blank, please explain in the Notes/sources section (column N).</t>
    </r>
  </si>
  <si>
    <t>MARKETING</t>
  </si>
  <si>
    <t>EMO-CMO-BOSP</t>
  </si>
  <si>
    <t>Enter Information in yellow cells only. Most of this sheet will be auto-populated using the data you have entered in other worksheets.</t>
  </si>
  <si>
    <t>STATISTICS</t>
  </si>
  <si>
    <t>No data entry required. This worksheet will auto-complete based on your responses in other sheets.</t>
  </si>
  <si>
    <t>Distance from school (miles)</t>
  </si>
  <si>
    <t>Total Special Education Teachers</t>
  </si>
  <si>
    <t>SF/pupil (50-55 sf PP common w/charter schools)(20 sf PP common for classroom only space)</t>
  </si>
  <si>
    <t>You may override these formulas with more accurate estimates</t>
  </si>
  <si>
    <t>Otherwise, include all transportation program costs and note in narrative how much will be applied for and for which items.  (May require completion of Transportation Application)</t>
  </si>
  <si>
    <t xml:space="preserve">General Operating &amp; Trans' Expenses </t>
  </si>
  <si>
    <t>Included</t>
  </si>
  <si>
    <r>
      <t>·</t>
    </r>
    <r>
      <rPr>
        <sz val="7"/>
        <color theme="1"/>
        <rFont val="Times New Roman"/>
        <family val="1"/>
      </rPr>
      <t xml:space="preserve">        </t>
    </r>
    <r>
      <rPr>
        <sz val="11"/>
        <color theme="1"/>
        <rFont val="Aptos"/>
        <family val="2"/>
      </rPr>
      <t xml:space="preserve">Within each worksheet, applicants may not need to input values in EVERY yellow cell. </t>
    </r>
  </si>
  <si>
    <r>
      <t xml:space="preserve">        ·</t>
    </r>
    <r>
      <rPr>
        <sz val="7"/>
        <color theme="1"/>
        <rFont val="Times New Roman"/>
        <family val="1"/>
      </rPr>
      <t xml:space="preserve">        </t>
    </r>
    <r>
      <rPr>
        <sz val="11"/>
        <color theme="1"/>
        <rFont val="Aptos"/>
        <family val="2"/>
      </rPr>
      <t>Component parts of a broad row item.</t>
    </r>
  </si>
  <si>
    <r>
      <t>·</t>
    </r>
    <r>
      <rPr>
        <sz val="7"/>
        <color theme="1"/>
        <rFont val="Times New Roman"/>
        <family val="1"/>
      </rPr>
      <t xml:space="preserve">        </t>
    </r>
    <r>
      <rPr>
        <sz val="11"/>
        <color theme="1"/>
        <rFont val="Aptos"/>
        <family val="2"/>
      </rPr>
      <t>Student Fees (as allowed by other public schools)</t>
    </r>
  </si>
  <si>
    <r>
      <t>·</t>
    </r>
    <r>
      <rPr>
        <sz val="7"/>
        <color theme="1"/>
        <rFont val="Times New Roman"/>
        <family val="1"/>
      </rPr>
      <t xml:space="preserve">        </t>
    </r>
    <r>
      <rPr>
        <sz val="11"/>
        <color theme="1"/>
        <rFont val="Aptos"/>
        <family val="2"/>
      </rPr>
      <t>With regard to other sources of revenue (listed below), please note that these  may ONLY be included if the applicant presents a SIGNED letter of commitment from the funding source in the attachments to the Narrative application.</t>
    </r>
  </si>
  <si>
    <r>
      <t>·</t>
    </r>
    <r>
      <rPr>
        <sz val="7"/>
        <color theme="1"/>
        <rFont val="Times New Roman"/>
        <family val="1"/>
      </rPr>
      <t xml:space="preserve">        </t>
    </r>
    <r>
      <rPr>
        <sz val="11"/>
        <color theme="1"/>
        <rFont val="Aptos"/>
        <family val="2"/>
      </rPr>
      <t>Private Fundraising (foundations, corporate)</t>
    </r>
  </si>
  <si>
    <t>Enter information in yellow cells only. Complete EITHER the purchase section OR the lease section. Be sure to add notes/sources to support the projections in this worksheet. These numbers should match the information provided in the application narrative and attachments.</t>
  </si>
  <si>
    <r>
      <t>·</t>
    </r>
    <r>
      <rPr>
        <sz val="7"/>
        <color theme="1"/>
        <rFont val="Times New Roman"/>
        <family val="1"/>
      </rPr>
      <t xml:space="preserve">        </t>
    </r>
    <r>
      <rPr>
        <sz val="11"/>
        <color theme="1"/>
        <rFont val="Aptos"/>
        <family val="2"/>
      </rPr>
      <t>Please provide detailed notes or sources in Column R.</t>
    </r>
  </si>
  <si>
    <t>Enter information in yellow cells only. Starting in Row 35, enter each program item/element (printed collateral materials, door-knocking, etc.) in column B. In column C, enter the timeframe for purchase/completion. In column P, provide detail about what is included (for instance, for purchases such as printed collateral materials, specify each type of item to be ordered, the quantity, and price; for activities such as door-knocking, describe the supplies needed as well as any stipends or payments to participants, etc.) in each row item.</t>
  </si>
  <si>
    <r>
      <t>·</t>
    </r>
    <r>
      <rPr>
        <sz val="7"/>
        <color theme="1"/>
        <rFont val="Times New Roman"/>
        <family val="1"/>
      </rPr>
      <t xml:space="preserve">        </t>
    </r>
    <r>
      <rPr>
        <sz val="11"/>
        <color theme="1"/>
        <rFont val="Aptos"/>
        <family val="2"/>
      </rPr>
      <t xml:space="preserve">The Pupil Centered Funding Plan (PCFP) funding per student can be found at https://www.leg.state.nv.us/App/NELIS/REL/82nd2023/Bill/10613/Text. If the school will be a single-district or multi-district  virtual school with a Distance Education program, then under the PCFP, one PPR rate will apply--regardless of County/District.  </t>
    </r>
  </si>
  <si>
    <r>
      <t xml:space="preserve">This New School Application Financial Plan Workbook (FPW) is designed to show the financial implications of your school plan and budget assumptions across a six-year school contract. The FPW is designed to be both simple to use and comprehensive in the information it collects to help applicants think through fiscal impacts of assumptions. 
</t>
    </r>
    <r>
      <rPr>
        <b/>
        <sz val="11"/>
        <color theme="1"/>
        <rFont val="Calibri"/>
        <family val="2"/>
        <scheme val="minor"/>
      </rPr>
      <t xml:space="preserve">Please familiarize yourself with the following general instructions prior to data entry. </t>
    </r>
  </si>
  <si>
    <r>
      <t>·</t>
    </r>
    <r>
      <rPr>
        <sz val="7"/>
        <color theme="1"/>
        <rFont val="Times New Roman"/>
        <family val="1"/>
      </rPr>
      <t xml:space="preserve">        </t>
    </r>
    <r>
      <rPr>
        <sz val="11"/>
        <color theme="1"/>
        <rFont val="Aptos"/>
        <family val="2"/>
      </rPr>
      <t>A member of the proposed school’s board must review and approve the FPW.</t>
    </r>
    <r>
      <rPr>
        <sz val="11"/>
        <color theme="1"/>
        <rFont val="Symbol"/>
        <family val="1"/>
        <charset val="2"/>
      </rPr>
      <t xml:space="preserve"> </t>
    </r>
    <r>
      <rPr>
        <sz val="11"/>
        <color theme="1"/>
        <rFont val="Calibri"/>
        <family val="2"/>
        <scheme val="minor"/>
      </rPr>
      <t>Board members are expected to be prepared to discuss the FPW at the interview.</t>
    </r>
  </si>
  <si>
    <t>Enter information in yellow cells only. Note that you MUST identify the primary preparers of the FPW, even if they are not on the CTF, including any contributing vendors, whether paid or unpaid. Additionally, at least one proposed board member must review and approve the completed FPW by inputting their name(s) in cell 9G. Board members are expected to be able to discuss the FPW during the interview.</t>
  </si>
  <si>
    <t>Enter information in yellow cells only. You MUST complete this tab if you are planning to contract with a back office service provider (such as EdTec), AND/OR if you will have a contractual relationship with an EMO or CMO. Note that information entered in this worksheet must match the narrative and the service provider's contract as presented in the attachments.</t>
  </si>
  <si>
    <t xml:space="preserve">At Risk Pupils (AR) </t>
  </si>
  <si>
    <t>Game Changers Sports Academy</t>
  </si>
  <si>
    <t>Principal</t>
  </si>
  <si>
    <t>Vice Principal</t>
  </si>
  <si>
    <t>Office Manager/Registrar</t>
  </si>
  <si>
    <t>Receptionist</t>
  </si>
  <si>
    <t>Special Education Director 1</t>
  </si>
  <si>
    <t>Special Education Coordinator 2</t>
  </si>
  <si>
    <t>Special Education Coordinator 3</t>
  </si>
  <si>
    <t>ELL Teacher/Reading Specialist</t>
  </si>
  <si>
    <t>Guidance Counselor</t>
  </si>
  <si>
    <t>Social Worker</t>
  </si>
  <si>
    <t>Guidance Counselor 2</t>
  </si>
  <si>
    <t>Middle School Math</t>
  </si>
  <si>
    <t>Middle School Science</t>
  </si>
  <si>
    <t>Middle School Social Studies</t>
  </si>
  <si>
    <t>Middle School ELA/Reading</t>
  </si>
  <si>
    <t>HS English Teacher</t>
  </si>
  <si>
    <t>HS Math Teacher</t>
  </si>
  <si>
    <t>HS Science Teacher</t>
  </si>
  <si>
    <t>HS Social Studies</t>
  </si>
  <si>
    <t>PE Teacher</t>
  </si>
  <si>
    <t>Spanish Teacher</t>
  </si>
  <si>
    <t>Art Teacher</t>
  </si>
  <si>
    <t>Lease</t>
  </si>
  <si>
    <t>None - New Build</t>
  </si>
  <si>
    <t>Inland Marine</t>
  </si>
  <si>
    <t>Property</t>
  </si>
  <si>
    <t>Equipment Breakdown</t>
  </si>
  <si>
    <t>Commercial Crime</t>
  </si>
  <si>
    <t>Workers Compensation</t>
  </si>
  <si>
    <t>Cyber Security</t>
  </si>
  <si>
    <t>Student Accident</t>
  </si>
  <si>
    <t>2400 N. Rancho Drive</t>
  </si>
  <si>
    <t>Las Vegas, NV 89130</t>
  </si>
  <si>
    <t>Dolly Alexander</t>
  </si>
  <si>
    <t>Volunteer</t>
  </si>
  <si>
    <t>Jeanette Schneider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</si>
</sst>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1"/>
      <color rgb="FF000000"/>
      <name val="Times New Roman"/>
      <family val="1"/>
    </font>
    <font>
      <b/>
      <sz val="12"/>
      <color theme="1"/>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sz val="12"/>
      <color theme="0" tint="-0.34998626667073579"/>
      <name val="Times New Roman"/>
      <family val="1"/>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u/>
      <sz val="18"/>
      <name val="Arial"/>
      <family val="2"/>
    </font>
    <font>
      <b/>
      <u/>
      <sz val="18"/>
      <color theme="10"/>
      <name val="Calibri"/>
      <family val="2"/>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
      <b/>
      <i/>
      <sz val="11"/>
      <color rgb="FF000000"/>
      <name val="Times New Roman"/>
      <family val="1"/>
    </font>
    <font>
      <b/>
      <sz val="12"/>
      <color indexed="9"/>
      <name val="Times New Roman"/>
      <family val="1"/>
    </font>
    <font>
      <sz val="8"/>
      <color theme="1"/>
      <name val="Times New Roman"/>
      <family val="1"/>
    </font>
    <font>
      <b/>
      <sz val="12"/>
      <color theme="0"/>
      <name val="Times New Roman"/>
      <family val="1"/>
    </font>
    <font>
      <sz val="11"/>
      <color theme="0"/>
      <name val="Times New Roman"/>
      <family val="1"/>
    </font>
    <font>
      <b/>
      <sz val="11"/>
      <color theme="0"/>
      <name val="Times New Roman"/>
      <family val="1"/>
    </font>
    <font>
      <b/>
      <sz val="14"/>
      <color theme="0"/>
      <name val="Times New Roman"/>
      <family val="1"/>
    </font>
    <font>
      <b/>
      <sz val="10"/>
      <color theme="0"/>
      <name val="Times New Roman"/>
      <family val="1"/>
    </font>
    <font>
      <sz val="10"/>
      <color theme="0"/>
      <name val="Times New Roman"/>
      <family val="1"/>
    </font>
    <font>
      <sz val="11"/>
      <color theme="1"/>
      <name val="Aptos"/>
      <family val="2"/>
    </font>
    <font>
      <b/>
      <sz val="16"/>
      <color theme="0"/>
      <name val="Aptos"/>
      <family val="2"/>
    </font>
    <font>
      <b/>
      <sz val="14"/>
      <color theme="0"/>
      <name val="Calibri"/>
      <family val="2"/>
      <scheme val="minor"/>
    </font>
    <font>
      <sz val="11"/>
      <color theme="1"/>
      <name val="Symbol"/>
      <family val="1"/>
      <charset val="2"/>
    </font>
    <font>
      <sz val="7"/>
      <color theme="1"/>
      <name val="Times New Roman"/>
      <family val="1"/>
    </font>
    <font>
      <u/>
      <sz val="11"/>
      <color theme="10"/>
      <name val="Calibri"/>
      <family val="2"/>
    </font>
    <font>
      <vertAlign val="superscript"/>
      <sz val="11"/>
      <color theme="1"/>
      <name val="Aptos"/>
      <family val="2"/>
    </font>
  </fonts>
  <fills count="8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8"/>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3" tint="-0.499984740745262"/>
        <bgColor indexed="64"/>
      </patternFill>
    </fill>
  </fills>
  <borders count="147">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
      <left/>
      <right/>
      <top/>
      <bottom style="medium">
        <color indexed="64"/>
      </bottom>
      <diagonal/>
    </border>
    <border>
      <left style="thin">
        <color indexed="64"/>
      </left>
      <right style="thin">
        <color indexed="64"/>
      </right>
      <top/>
      <bottom/>
      <diagonal/>
    </border>
    <border>
      <left/>
      <right style="hair">
        <color indexed="22"/>
      </right>
      <top style="thin">
        <color indexed="64"/>
      </top>
      <bottom style="thin">
        <color indexed="64"/>
      </bottom>
      <diagonal/>
    </border>
    <border>
      <left/>
      <right style="hair">
        <color indexed="22"/>
      </right>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17" applyNumberFormat="0" applyAlignment="0" applyProtection="0"/>
    <xf numFmtId="0" fontId="26" fillId="10" borderId="18" applyNumberFormat="0" applyAlignment="0" applyProtection="0"/>
    <xf numFmtId="0" fontId="27" fillId="10" borderId="17" applyNumberFormat="0" applyAlignment="0" applyProtection="0"/>
    <xf numFmtId="0" fontId="28" fillId="0" borderId="19" applyNumberFormat="0" applyFill="0" applyAlignment="0" applyProtection="0"/>
    <xf numFmtId="0" fontId="11" fillId="0" borderId="22"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2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24"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1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3"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2"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32" fillId="0" borderId="24" applyNumberFormat="0" applyFon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1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5" fillId="9" borderId="17" applyNumberFormat="0" applyAlignment="0" applyProtection="0"/>
    <xf numFmtId="0" fontId="28" fillId="0" borderId="19" applyNumberFormat="0" applyFill="0" applyAlignment="0" applyProtection="0"/>
    <xf numFmtId="0" fontId="24" fillId="8" borderId="0" applyNumberFormat="0" applyBorder="0" applyAlignment="0" applyProtection="0"/>
    <xf numFmtId="0" fontId="8" fillId="0" borderId="0"/>
    <xf numFmtId="0" fontId="8" fillId="12" borderId="21" applyNumberFormat="0" applyFont="0" applyAlignment="0" applyProtection="0"/>
    <xf numFmtId="0" fontId="26" fillId="10" borderId="1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1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2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14"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2" applyNumberFormat="0" applyFill="0" applyAlignment="0" applyProtection="0"/>
    <xf numFmtId="0" fontId="20" fillId="0" borderId="15"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25" applyNumberFormat="0" applyFill="0" applyAlignment="0" applyProtection="0"/>
    <xf numFmtId="0" fontId="46" fillId="0" borderId="25" applyNumberFormat="0" applyFill="0" applyAlignment="0" applyProtection="0"/>
    <xf numFmtId="0" fontId="19" fillId="0" borderId="14" applyNumberFormat="0" applyFill="0" applyAlignment="0" applyProtection="0"/>
    <xf numFmtId="0" fontId="46" fillId="0" borderId="25"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20" fillId="0" borderId="1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8" fillId="0" borderId="27" applyNumberFormat="0" applyFill="0" applyAlignment="0" applyProtection="0"/>
    <xf numFmtId="0" fontId="21" fillId="0" borderId="16"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28" fillId="0" borderId="19"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10" borderId="18" applyNumberFormat="0" applyAlignment="0" applyProtection="0"/>
    <xf numFmtId="0" fontId="26" fillId="50" borderId="1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0" applyNumberFormat="0" applyProtection="0">
      <alignment vertical="center"/>
    </xf>
    <xf numFmtId="4" fontId="60" fillId="43" borderId="30" applyNumberFormat="0" applyProtection="0">
      <alignment vertical="center"/>
    </xf>
    <xf numFmtId="4" fontId="51" fillId="43" borderId="30" applyNumberFormat="0" applyProtection="0">
      <alignment horizontal="left" vertical="center" indent="1"/>
    </xf>
    <xf numFmtId="0" fontId="51" fillId="43" borderId="30" applyNumberFormat="0" applyProtection="0">
      <alignment horizontal="left" vertical="top" indent="1"/>
    </xf>
    <xf numFmtId="4" fontId="51" fillId="51" borderId="0" applyNumberFormat="0" applyProtection="0">
      <alignment horizontal="left" vertical="center" indent="1"/>
    </xf>
    <xf numFmtId="4" fontId="45" fillId="38" borderId="30" applyNumberFormat="0" applyProtection="0">
      <alignment horizontal="right" vertical="center"/>
    </xf>
    <xf numFmtId="4" fontId="45" fillId="39" borderId="30" applyNumberFormat="0" applyProtection="0">
      <alignment horizontal="right" vertical="center"/>
    </xf>
    <xf numFmtId="4" fontId="45" fillId="48" borderId="30" applyNumberFormat="0" applyProtection="0">
      <alignment horizontal="right" vertical="center"/>
    </xf>
    <xf numFmtId="4" fontId="45" fillId="45" borderId="30" applyNumberFormat="0" applyProtection="0">
      <alignment horizontal="right" vertical="center"/>
    </xf>
    <xf numFmtId="4" fontId="45" fillId="52" borderId="30" applyNumberFormat="0" applyProtection="0">
      <alignment horizontal="right" vertical="center"/>
    </xf>
    <xf numFmtId="4" fontId="45" fillId="44" borderId="30" applyNumberFormat="0" applyProtection="0">
      <alignment horizontal="right" vertical="center"/>
    </xf>
    <xf numFmtId="4" fontId="45" fillId="53" borderId="30" applyNumberFormat="0" applyProtection="0">
      <alignment horizontal="right" vertical="center"/>
    </xf>
    <xf numFmtId="4" fontId="45" fillId="54" borderId="30" applyNumberFormat="0" applyProtection="0">
      <alignment horizontal="right" vertical="center"/>
    </xf>
    <xf numFmtId="4" fontId="45" fillId="55" borderId="30" applyNumberFormat="0" applyProtection="0">
      <alignment horizontal="right" vertical="center"/>
    </xf>
    <xf numFmtId="4" fontId="51" fillId="56" borderId="31"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0"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0" applyNumberFormat="0" applyProtection="0">
      <alignment horizontal="left" vertical="center" indent="1"/>
    </xf>
    <xf numFmtId="0" fontId="2" fillId="47" borderId="30" applyNumberFormat="0" applyProtection="0">
      <alignment horizontal="left" vertical="top" indent="1"/>
    </xf>
    <xf numFmtId="0" fontId="2" fillId="51" borderId="30" applyNumberFormat="0" applyProtection="0">
      <alignment horizontal="left" vertical="center" indent="1"/>
    </xf>
    <xf numFmtId="0" fontId="2" fillId="51" borderId="30" applyNumberFormat="0" applyProtection="0">
      <alignment horizontal="left" vertical="top" indent="1"/>
    </xf>
    <xf numFmtId="0" fontId="2" fillId="37" borderId="30" applyNumberFormat="0" applyProtection="0">
      <alignment horizontal="left" vertical="center" indent="1"/>
    </xf>
    <xf numFmtId="0" fontId="2" fillId="37" borderId="30" applyNumberFormat="0" applyProtection="0">
      <alignment horizontal="left" vertical="top" indent="1"/>
    </xf>
    <xf numFmtId="0" fontId="2" fillId="57" borderId="30" applyNumberFormat="0" applyProtection="0">
      <alignment horizontal="left" vertical="center" indent="1"/>
    </xf>
    <xf numFmtId="0" fontId="2" fillId="57" borderId="30" applyNumberFormat="0" applyProtection="0">
      <alignment horizontal="left" vertical="top" indent="1"/>
    </xf>
    <xf numFmtId="0" fontId="2" fillId="50" borderId="23" applyNumberFormat="0">
      <protection locked="0"/>
    </xf>
    <xf numFmtId="4" fontId="45" fillId="40" borderId="30" applyNumberFormat="0" applyProtection="0">
      <alignment vertical="center"/>
    </xf>
    <xf numFmtId="4" fontId="62" fillId="40" borderId="30" applyNumberFormat="0" applyProtection="0">
      <alignment vertical="center"/>
    </xf>
    <xf numFmtId="4" fontId="45" fillId="40" borderId="30" applyNumberFormat="0" applyProtection="0">
      <alignment horizontal="left" vertical="center" indent="1"/>
    </xf>
    <xf numFmtId="0" fontId="45" fillId="40" borderId="30" applyNumberFormat="0" applyProtection="0">
      <alignment horizontal="left" vertical="top" indent="1"/>
    </xf>
    <xf numFmtId="4" fontId="45" fillId="57" borderId="30" applyNumberFormat="0" applyProtection="0">
      <alignment horizontal="right" vertical="center"/>
    </xf>
    <xf numFmtId="4" fontId="62" fillId="57" borderId="30" applyNumberFormat="0" applyProtection="0">
      <alignment horizontal="right" vertical="center"/>
    </xf>
    <xf numFmtId="4" fontId="45" fillId="51" borderId="30" applyNumberFormat="0" applyProtection="0">
      <alignment horizontal="left" vertical="center" indent="1"/>
    </xf>
    <xf numFmtId="0" fontId="45" fillId="51" borderId="30" applyNumberFormat="0" applyProtection="0">
      <alignment horizontal="left" vertical="top" indent="1"/>
    </xf>
    <xf numFmtId="4" fontId="63" fillId="58" borderId="0" applyNumberFormat="0" applyProtection="0">
      <alignment horizontal="left" vertical="center" indent="1"/>
    </xf>
    <xf numFmtId="4" fontId="41" fillId="57" borderId="30"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25" applyNumberFormat="0" applyFill="0" applyAlignment="0" applyProtection="0"/>
    <xf numFmtId="0" fontId="47" fillId="0" borderId="26" applyNumberFormat="0" applyFill="0" applyAlignment="0" applyProtection="0"/>
    <xf numFmtId="0" fontId="42" fillId="0" borderId="27"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0" applyNumberFormat="0" applyAlignment="0" applyProtection="0"/>
    <xf numFmtId="0" fontId="29" fillId="0" borderId="0" applyNumberFormat="0" applyFill="0" applyBorder="0" applyAlignment="0" applyProtection="0"/>
    <xf numFmtId="0" fontId="8" fillId="12" borderId="21"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17" applyNumberFormat="0" applyAlignment="0" applyProtection="0"/>
    <xf numFmtId="0" fontId="73" fillId="10" borderId="18" applyNumberFormat="0" applyAlignment="0" applyProtection="0"/>
    <xf numFmtId="0" fontId="74" fillId="10" borderId="17" applyNumberFormat="0" applyAlignment="0" applyProtection="0"/>
    <xf numFmtId="0" fontId="75" fillId="0" borderId="19" applyNumberFormat="0" applyFill="0" applyAlignment="0" applyProtection="0"/>
    <xf numFmtId="0" fontId="76" fillId="11" borderId="20" applyNumberFormat="0" applyAlignment="0" applyProtection="0"/>
    <xf numFmtId="0" fontId="77" fillId="0" borderId="0" applyNumberFormat="0" applyFill="0" applyBorder="0" applyAlignment="0" applyProtection="0"/>
    <xf numFmtId="0" fontId="65" fillId="12" borderId="21" applyNumberFormat="0" applyFont="0" applyAlignment="0" applyProtection="0"/>
    <xf numFmtId="0" fontId="78" fillId="0" borderId="0" applyNumberFormat="0" applyFill="0" applyBorder="0" applyAlignment="0" applyProtection="0"/>
    <xf numFmtId="0" fontId="79" fillId="0" borderId="22"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2"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6" fillId="0" borderId="0"/>
  </cellStyleXfs>
  <cellXfs count="1867">
    <xf numFmtId="0" fontId="0" fillId="0" borderId="0" xfId="0"/>
    <xf numFmtId="0" fontId="11" fillId="0" borderId="0" xfId="0" applyFont="1"/>
    <xf numFmtId="0" fontId="0" fillId="0" borderId="0" xfId="0"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72" fontId="91" fillId="0" borderId="0" xfId="0" applyNumberFormat="1" applyFont="1" applyAlignment="1">
      <alignment horizontal="center" vertical="top"/>
    </xf>
    <xf numFmtId="174" fontId="91" fillId="0" borderId="0" xfId="0" applyNumberFormat="1" applyFont="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0" fontId="91" fillId="3" borderId="1" xfId="0" applyFont="1" applyFill="1" applyBorder="1"/>
    <xf numFmtId="0" fontId="91" fillId="3" borderId="41" xfId="0" applyFont="1" applyFill="1" applyBorder="1"/>
    <xf numFmtId="164" fontId="91" fillId="3" borderId="41" xfId="0" applyNumberFormat="1" applyFont="1" applyFill="1" applyBorder="1" applyAlignment="1">
      <alignment horizontal="center" vertical="top"/>
    </xf>
    <xf numFmtId="0" fontId="91" fillId="0" borderId="41"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2" fillId="0" borderId="0" xfId="8" applyFont="1" applyAlignment="1">
      <alignment horizontal="center"/>
    </xf>
    <xf numFmtId="44" fontId="94" fillId="0" borderId="0" xfId="6" applyFont="1" applyBorder="1" applyProtection="1"/>
    <xf numFmtId="0" fontId="91" fillId="0" borderId="0" xfId="0" quotePrefix="1" applyFont="1"/>
    <xf numFmtId="10" fontId="91" fillId="0" borderId="7"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164" fontId="91" fillId="0" borderId="0" xfId="0" applyNumberFormat="1" applyFont="1" applyAlignment="1">
      <alignment horizontal="center"/>
    </xf>
    <xf numFmtId="1" fontId="92" fillId="0" borderId="0" xfId="0" applyNumberFormat="1" applyFont="1" applyAlignment="1">
      <alignment horizontal="center"/>
    </xf>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0" fillId="0" borderId="0" xfId="0" applyFont="1"/>
    <xf numFmtId="0" fontId="16" fillId="5" borderId="0" xfId="0" applyFont="1" applyFill="1"/>
    <xf numFmtId="0" fontId="106" fillId="3" borderId="0" xfId="0" applyFont="1" applyFill="1"/>
    <xf numFmtId="172" fontId="91" fillId="3" borderId="0" xfId="13330" applyNumberFormat="1" applyFont="1" applyFill="1" applyBorder="1" applyAlignment="1">
      <alignment horizontal="center" vertical="top"/>
    </xf>
    <xf numFmtId="0" fontId="91" fillId="0" borderId="51" xfId="0" applyFont="1" applyBorder="1"/>
    <xf numFmtId="172" fontId="92" fillId="3" borderId="51" xfId="0" applyNumberFormat="1" applyFont="1" applyFill="1" applyBorder="1" applyAlignment="1">
      <alignment horizontal="center"/>
    </xf>
    <xf numFmtId="0" fontId="92" fillId="0" borderId="51" xfId="0" applyFont="1" applyBorder="1"/>
    <xf numFmtId="1" fontId="92" fillId="0" borderId="51" xfId="0" applyNumberFormat="1" applyFont="1" applyBorder="1" applyAlignment="1">
      <alignment horizontal="center"/>
    </xf>
    <xf numFmtId="0" fontId="111"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1"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49" xfId="11" applyNumberFormat="1" applyFont="1" applyBorder="1" applyAlignment="1" applyProtection="1">
      <alignment horizontal="center"/>
      <protection locked="0"/>
    </xf>
    <xf numFmtId="172" fontId="96" fillId="4" borderId="49" xfId="11" applyNumberFormat="1" applyFont="1" applyBorder="1" applyAlignment="1" applyProtection="1">
      <alignment horizontal="center" vertical="top"/>
      <protection locked="0"/>
    </xf>
    <xf numFmtId="182" fontId="96" fillId="4" borderId="49" xfId="11" applyNumberFormat="1" applyFont="1" applyBorder="1" applyAlignment="1" applyProtection="1">
      <alignment horizontal="center" vertical="top"/>
      <protection locked="0"/>
    </xf>
    <xf numFmtId="0" fontId="96" fillId="4" borderId="49" xfId="11" applyFont="1" applyBorder="1" applyAlignment="1" applyProtection="1">
      <protection locked="0"/>
    </xf>
    <xf numFmtId="1" fontId="96" fillId="4" borderId="49"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49"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46" xfId="0" applyNumberFormat="1" applyFont="1" applyBorder="1" applyAlignment="1">
      <alignment horizontal="center"/>
    </xf>
    <xf numFmtId="172" fontId="89" fillId="0" borderId="59" xfId="0" applyNumberFormat="1" applyFont="1" applyBorder="1" applyAlignment="1">
      <alignment horizontal="center"/>
    </xf>
    <xf numFmtId="0" fontId="92" fillId="0" borderId="51" xfId="0" applyFont="1" applyBorder="1" applyAlignment="1">
      <alignment horizontal="center"/>
    </xf>
    <xf numFmtId="0" fontId="105" fillId="3" borderId="0" xfId="0" applyFont="1" applyFill="1"/>
    <xf numFmtId="172" fontId="89" fillId="0" borderId="46" xfId="0" applyNumberFormat="1" applyFont="1" applyBorder="1" applyAlignment="1">
      <alignment horizontal="left"/>
    </xf>
    <xf numFmtId="172" fontId="89" fillId="0" borderId="59" xfId="0" applyNumberFormat="1" applyFont="1" applyBorder="1" applyAlignment="1">
      <alignment horizontal="left"/>
    </xf>
    <xf numFmtId="172" fontId="91" fillId="0" borderId="0" xfId="0" applyNumberFormat="1" applyFont="1" applyAlignment="1">
      <alignment horizontal="left"/>
    </xf>
    <xf numFmtId="0" fontId="92" fillId="3" borderId="51"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1" xfId="0" applyFont="1" applyBorder="1"/>
    <xf numFmtId="174" fontId="92" fillId="0" borderId="51" xfId="0" applyNumberFormat="1" applyFont="1" applyBorder="1" applyAlignment="1">
      <alignment horizontal="right"/>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0" xfId="11" applyFont="1" applyBorder="1" applyAlignment="1" applyProtection="1">
      <protection locked="0"/>
    </xf>
    <xf numFmtId="1" fontId="96" fillId="4" borderId="60" xfId="11" applyNumberFormat="1" applyFont="1" applyBorder="1" applyAlignment="1" applyProtection="1">
      <alignment horizontal="center"/>
      <protection locked="0"/>
    </xf>
    <xf numFmtId="182" fontId="96" fillId="4" borderId="60" xfId="11" applyNumberFormat="1" applyFont="1" applyBorder="1" applyAlignment="1" applyProtection="1">
      <alignment horizontal="center"/>
      <protection locked="0"/>
    </xf>
    <xf numFmtId="0" fontId="96" fillId="4" borderId="48" xfId="11" applyFont="1" applyBorder="1" applyAlignment="1" applyProtection="1">
      <protection locked="0"/>
    </xf>
    <xf numFmtId="1" fontId="96" fillId="2" borderId="48" xfId="0" applyNumberFormat="1" applyFont="1" applyFill="1" applyBorder="1" applyAlignment="1" applyProtection="1">
      <alignment horizontal="center"/>
      <protection locked="0"/>
    </xf>
    <xf numFmtId="182" fontId="96" fillId="4" borderId="48" xfId="11" applyNumberFormat="1" applyFont="1" applyBorder="1" applyAlignment="1" applyProtection="1">
      <alignment horizontal="center"/>
      <protection locked="0"/>
    </xf>
    <xf numFmtId="1" fontId="96" fillId="4" borderId="49" xfId="11" applyNumberFormat="1" applyFont="1" applyBorder="1" applyAlignment="1" applyProtection="1">
      <alignment horizontal="left"/>
      <protection locked="0"/>
    </xf>
    <xf numFmtId="174" fontId="96" fillId="4" borderId="49" xfId="11" applyNumberFormat="1" applyFont="1" applyBorder="1" applyAlignment="1" applyProtection="1">
      <alignment horizontal="center"/>
      <protection locked="0"/>
    </xf>
    <xf numFmtId="172" fontId="104" fillId="0" borderId="0" xfId="0" applyNumberFormat="1" applyFont="1" applyAlignment="1">
      <alignment horizontal="center"/>
    </xf>
    <xf numFmtId="172" fontId="89" fillId="0" borderId="0" xfId="0" applyNumberFormat="1" applyFont="1" applyAlignment="1">
      <alignment horizontal="center"/>
    </xf>
    <xf numFmtId="0" fontId="104" fillId="0" borderId="0" xfId="0" applyFont="1" applyAlignment="1">
      <alignment horizontal="left" indent="1"/>
    </xf>
    <xf numFmtId="0" fontId="116"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1" xfId="33111" applyFont="1" applyBorder="1" applyAlignment="1">
      <alignment horizontal="left" vertical="top" wrapText="1"/>
    </xf>
    <xf numFmtId="0" fontId="91" fillId="0" borderId="1" xfId="33111" applyFont="1" applyBorder="1" applyAlignment="1">
      <alignment horizontal="left" vertical="top" wrapText="1"/>
    </xf>
    <xf numFmtId="0" fontId="118" fillId="0" borderId="0" xfId="33111" applyFont="1" applyAlignment="1">
      <alignment vertical="top" wrapText="1"/>
    </xf>
    <xf numFmtId="172" fontId="91" fillId="0" borderId="51" xfId="33111" applyNumberFormat="1" applyFont="1" applyBorder="1" applyAlignment="1">
      <alignment vertical="top" wrapText="1"/>
    </xf>
    <xf numFmtId="0" fontId="91" fillId="67" borderId="70" xfId="33111" applyFont="1" applyFill="1" applyBorder="1" applyAlignment="1">
      <alignment vertical="center" wrapText="1"/>
    </xf>
    <xf numFmtId="172" fontId="91" fillId="67" borderId="70" xfId="33111" applyNumberFormat="1" applyFont="1" applyFill="1" applyBorder="1" applyAlignment="1">
      <alignment vertical="center" wrapText="1"/>
    </xf>
    <xf numFmtId="172" fontId="91" fillId="67" borderId="72" xfId="33111" applyNumberFormat="1" applyFont="1" applyFill="1" applyBorder="1" applyAlignment="1">
      <alignment vertical="center" wrapText="1"/>
    </xf>
    <xf numFmtId="0" fontId="91" fillId="0" borderId="77" xfId="33111" applyFont="1" applyBorder="1" applyAlignment="1">
      <alignment horizontal="left" vertical="top" wrapText="1"/>
    </xf>
    <xf numFmtId="0" fontId="91" fillId="0" borderId="78" xfId="33111" applyFont="1" applyBorder="1" applyAlignment="1">
      <alignment vertical="top" wrapText="1"/>
    </xf>
    <xf numFmtId="0" fontId="91" fillId="0" borderId="73" xfId="33111" applyFont="1" applyBorder="1" applyAlignment="1">
      <alignment horizontal="left" vertical="top" wrapText="1"/>
    </xf>
    <xf numFmtId="0" fontId="91" fillId="0" borderId="74" xfId="33111" applyFont="1" applyBorder="1" applyAlignment="1">
      <alignment vertical="top" wrapText="1"/>
    </xf>
    <xf numFmtId="0" fontId="64" fillId="61" borderId="71" xfId="33111" applyFont="1" applyFill="1" applyBorder="1" applyAlignment="1">
      <alignment horizontal="left" vertical="top" wrapText="1"/>
    </xf>
    <xf numFmtId="0" fontId="91" fillId="67" borderId="81" xfId="33111" applyFont="1" applyFill="1" applyBorder="1" applyAlignment="1">
      <alignment vertical="center" wrapText="1"/>
    </xf>
    <xf numFmtId="0" fontId="64" fillId="61" borderId="82" xfId="33111" applyFont="1" applyFill="1" applyBorder="1" applyAlignment="1">
      <alignment horizontal="center" vertical="top" wrapText="1"/>
    </xf>
    <xf numFmtId="0" fontId="64" fillId="61" borderId="83" xfId="33111" applyFont="1" applyFill="1" applyBorder="1" applyAlignment="1">
      <alignment horizontal="center" vertical="top" wrapText="1"/>
    </xf>
    <xf numFmtId="181" fontId="91" fillId="67" borderId="70" xfId="33111" applyNumberFormat="1" applyFont="1" applyFill="1" applyBorder="1" applyAlignment="1">
      <alignment vertical="center" wrapText="1"/>
    </xf>
    <xf numFmtId="0" fontId="117" fillId="0" borderId="0" xfId="33111" applyFont="1" applyAlignment="1">
      <alignment horizontal="left" vertical="top" wrapText="1"/>
    </xf>
    <xf numFmtId="0" fontId="120"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2" fillId="0" borderId="71" xfId="33111" applyFont="1" applyBorder="1" applyAlignment="1">
      <alignment horizontal="left" vertical="center" wrapText="1"/>
    </xf>
    <xf numFmtId="0" fontId="91" fillId="0" borderId="71" xfId="33111" applyFont="1" applyBorder="1" applyAlignment="1">
      <alignment horizontal="left" vertical="center" wrapText="1"/>
    </xf>
    <xf numFmtId="0" fontId="91" fillId="0" borderId="85" xfId="33111" applyFont="1" applyBorder="1" applyAlignment="1">
      <alignment horizontal="left" vertical="center" wrapText="1"/>
    </xf>
    <xf numFmtId="0" fontId="91" fillId="67" borderId="86" xfId="33111" applyFont="1" applyFill="1" applyBorder="1" applyAlignment="1">
      <alignment vertical="center" wrapText="1"/>
    </xf>
    <xf numFmtId="0" fontId="91" fillId="67" borderId="88" xfId="33111" applyFont="1" applyFill="1" applyBorder="1" applyAlignment="1">
      <alignment vertical="center" wrapText="1"/>
    </xf>
    <xf numFmtId="0" fontId="91" fillId="67" borderId="90" xfId="33111" applyFont="1" applyFill="1" applyBorder="1" applyAlignment="1">
      <alignment vertical="center" wrapText="1"/>
    </xf>
    <xf numFmtId="0" fontId="91" fillId="0" borderId="53" xfId="33111" applyFont="1" applyBorder="1" applyAlignment="1">
      <alignment vertical="top" wrapText="1"/>
    </xf>
    <xf numFmtId="0" fontId="116" fillId="0" borderId="1" xfId="33111" applyBorder="1" applyAlignment="1">
      <alignment horizontal="left" vertical="top"/>
    </xf>
    <xf numFmtId="0" fontId="91" fillId="0" borderId="10"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172" fontId="96" fillId="0" borderId="0" xfId="0" applyNumberFormat="1" applyFont="1" applyAlignment="1">
      <alignment horizontal="right"/>
    </xf>
    <xf numFmtId="172" fontId="96" fillId="0" borderId="0" xfId="0" applyNumberFormat="1" applyFont="1"/>
    <xf numFmtId="10" fontId="122" fillId="0" borderId="0" xfId="8" applyNumberFormat="1" applyFont="1" applyAlignment="1">
      <alignment horizontal="center"/>
    </xf>
    <xf numFmtId="0" fontId="121" fillId="0" borderId="0" xfId="0" applyFont="1"/>
    <xf numFmtId="0" fontId="92" fillId="0" borderId="0" xfId="0" applyFont="1" applyAlignment="1">
      <alignment horizontal="center" vertical="top"/>
    </xf>
    <xf numFmtId="0" fontId="107" fillId="0" borderId="51"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0" fontId="96" fillId="2" borderId="45" xfId="0" applyFont="1" applyFill="1" applyBorder="1" applyProtection="1">
      <protection locked="0"/>
    </xf>
    <xf numFmtId="0" fontId="96" fillId="2" borderId="49" xfId="0" applyFont="1" applyFill="1" applyBorder="1" applyAlignment="1" applyProtection="1">
      <alignment horizontal="center"/>
      <protection locked="0"/>
    </xf>
    <xf numFmtId="0" fontId="96" fillId="2" borderId="49" xfId="0" applyFont="1" applyFill="1" applyBorder="1" applyAlignment="1" applyProtection="1">
      <alignment horizontal="center" vertical="center"/>
      <protection locked="0"/>
    </xf>
    <xf numFmtId="172" fontId="96" fillId="2" borderId="64" xfId="0" applyNumberFormat="1" applyFont="1" applyFill="1" applyBorder="1" applyAlignment="1" applyProtection="1">
      <alignment horizontal="center" vertical="center"/>
      <protection locked="0"/>
    </xf>
    <xf numFmtId="172" fontId="96" fillId="2" borderId="41" xfId="0" applyNumberFormat="1" applyFont="1" applyFill="1" applyBorder="1" applyProtection="1">
      <protection locked="0"/>
    </xf>
    <xf numFmtId="0" fontId="96" fillId="2" borderId="41" xfId="0" applyFont="1" applyFill="1" applyBorder="1" applyAlignment="1" applyProtection="1">
      <alignment vertical="center"/>
      <protection locked="0"/>
    </xf>
    <xf numFmtId="172" fontId="96" fillId="2" borderId="44" xfId="0" applyNumberFormat="1" applyFont="1" applyFill="1" applyBorder="1" applyProtection="1">
      <protection locked="0"/>
    </xf>
    <xf numFmtId="0" fontId="91" fillId="0" borderId="59" xfId="0" applyFont="1" applyBorder="1" applyAlignment="1">
      <alignment horizontal="center" vertical="top"/>
    </xf>
    <xf numFmtId="0" fontId="112" fillId="0" borderId="0" xfId="0" applyFont="1" applyAlignment="1">
      <alignment horizontal="center" vertical="top"/>
    </xf>
    <xf numFmtId="174" fontId="96" fillId="2" borderId="51" xfId="33110" applyNumberFormat="1" applyFont="1" applyFill="1" applyBorder="1" applyProtection="1">
      <protection locked="0"/>
    </xf>
    <xf numFmtId="172" fontId="96" fillId="2" borderId="41"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88" xfId="33111" applyFont="1" applyFill="1" applyBorder="1" applyAlignment="1" applyProtection="1">
      <alignment horizontal="right" vertical="center" wrapText="1"/>
      <protection locked="0"/>
    </xf>
    <xf numFmtId="192" fontId="96" fillId="2" borderId="88" xfId="33111" applyNumberFormat="1" applyFont="1" applyFill="1" applyBorder="1" applyAlignment="1" applyProtection="1">
      <alignment horizontal="right" vertical="center" wrapText="1"/>
      <protection locked="0"/>
    </xf>
    <xf numFmtId="181" fontId="91" fillId="2" borderId="89" xfId="33111" applyNumberFormat="1" applyFont="1" applyFill="1" applyBorder="1" applyAlignment="1" applyProtection="1">
      <alignment vertical="center" wrapText="1"/>
      <protection locked="0"/>
    </xf>
    <xf numFmtId="172" fontId="90" fillId="2" borderId="89" xfId="33111" applyNumberFormat="1" applyFont="1" applyFill="1" applyBorder="1" applyAlignment="1" applyProtection="1">
      <alignment vertical="center" wrapText="1"/>
      <protection locked="0"/>
    </xf>
    <xf numFmtId="172" fontId="96" fillId="2" borderId="88" xfId="33111" applyNumberFormat="1" applyFont="1" applyFill="1" applyBorder="1" applyAlignment="1" applyProtection="1">
      <alignment horizontal="right" vertical="center" wrapText="1"/>
      <protection locked="0"/>
    </xf>
    <xf numFmtId="0" fontId="96" fillId="2" borderId="88" xfId="33111" applyFont="1" applyFill="1" applyBorder="1" applyAlignment="1" applyProtection="1">
      <alignment vertical="center" wrapText="1"/>
      <protection locked="0"/>
    </xf>
    <xf numFmtId="190" fontId="96" fillId="2" borderId="88" xfId="33111" applyNumberFormat="1" applyFont="1" applyFill="1" applyBorder="1" applyAlignment="1" applyProtection="1">
      <alignment vertical="center" wrapText="1"/>
      <protection locked="0"/>
    </xf>
    <xf numFmtId="0" fontId="96" fillId="2" borderId="94" xfId="33111" applyFont="1" applyFill="1" applyBorder="1" applyAlignment="1" applyProtection="1">
      <alignment vertical="center" wrapText="1"/>
      <protection locked="0"/>
    </xf>
    <xf numFmtId="172" fontId="90" fillId="2" borderId="91" xfId="33111" applyNumberFormat="1" applyFont="1" applyFill="1" applyBorder="1" applyAlignment="1" applyProtection="1">
      <alignment vertical="center" wrapText="1"/>
      <protection locked="0"/>
    </xf>
    <xf numFmtId="0" fontId="96" fillId="2" borderId="68" xfId="33111" applyFont="1" applyFill="1" applyBorder="1" applyAlignment="1" applyProtection="1">
      <alignment horizontal="right" vertical="center" wrapText="1"/>
      <protection locked="0"/>
    </xf>
    <xf numFmtId="192" fontId="96" fillId="2" borderId="68"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horizontal="right" vertical="center" wrapText="1"/>
      <protection locked="0"/>
    </xf>
    <xf numFmtId="173" fontId="96" fillId="2" borderId="88" xfId="33111" applyNumberFormat="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2" fontId="96" fillId="2" borderId="68" xfId="33111" applyNumberFormat="1" applyFont="1" applyFill="1" applyBorder="1" applyAlignment="1" applyProtection="1">
      <alignment horizontal="right" vertical="center" wrapText="1"/>
      <protection locked="0"/>
    </xf>
    <xf numFmtId="175" fontId="96" fillId="2" borderId="9" xfId="33111" quotePrefix="1" applyNumberFormat="1" applyFont="1" applyFill="1" applyBorder="1" applyAlignment="1" applyProtection="1">
      <alignment vertical="top" wrapText="1"/>
      <protection locked="0"/>
    </xf>
    <xf numFmtId="172" fontId="96" fillId="2" borderId="49"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0" fontId="96" fillId="2" borderId="41" xfId="0" applyFont="1" applyFill="1" applyBorder="1" applyAlignment="1" applyProtection="1">
      <alignment horizontal="center"/>
      <protection locked="0"/>
    </xf>
    <xf numFmtId="49" fontId="96" fillId="2" borderId="41" xfId="0" applyNumberFormat="1" applyFont="1" applyFill="1" applyBorder="1" applyAlignment="1" applyProtection="1">
      <alignment horizontal="center"/>
      <protection locked="0"/>
    </xf>
    <xf numFmtId="0" fontId="101" fillId="2" borderId="49" xfId="0" applyFont="1" applyFill="1" applyBorder="1" applyAlignment="1" applyProtection="1">
      <alignment horizontal="center"/>
      <protection locked="0"/>
    </xf>
    <xf numFmtId="186" fontId="96" fillId="2" borderId="45" xfId="7" applyNumberFormat="1" applyFont="1" applyFill="1" applyBorder="1" applyAlignment="1" applyProtection="1">
      <alignment horizontal="center" wrapText="1"/>
      <protection locked="0"/>
    </xf>
    <xf numFmtId="0" fontId="88" fillId="64" borderId="0" xfId="6628" applyFont="1" applyFill="1"/>
    <xf numFmtId="0" fontId="91" fillId="3" borderId="59" xfId="0" applyFont="1" applyFill="1" applyBorder="1"/>
    <xf numFmtId="0" fontId="91" fillId="0" borderId="0" xfId="0" applyFont="1" applyProtection="1">
      <protection locked="0"/>
    </xf>
    <xf numFmtId="0" fontId="64" fillId="68" borderId="0" xfId="6628" applyFont="1" applyFill="1"/>
    <xf numFmtId="172" fontId="91" fillId="0" borderId="51"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0" fontId="91" fillId="0" borderId="1" xfId="0" applyFont="1" applyBorder="1" applyAlignment="1">
      <alignment horizontal="center"/>
    </xf>
    <xf numFmtId="184" fontId="91" fillId="0" borderId="0" xfId="0" applyNumberFormat="1" applyFont="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49" xfId="11" applyNumberFormat="1" applyFont="1" applyBorder="1" applyAlignment="1" applyProtection="1">
      <alignment horizontal="right" vertical="top"/>
      <protection locked="0"/>
    </xf>
    <xf numFmtId="172" fontId="96" fillId="2" borderId="49" xfId="11" applyNumberFormat="1" applyFont="1" applyFill="1" applyBorder="1" applyAlignment="1" applyProtection="1">
      <alignment horizontal="right" vertical="top"/>
      <protection locked="0"/>
    </xf>
    <xf numFmtId="0" fontId="91" fillId="0" borderId="1" xfId="0" applyFont="1" applyBorder="1" applyAlignment="1">
      <alignment horizontal="center" vertical="top"/>
    </xf>
    <xf numFmtId="174" fontId="96" fillId="4" borderId="49"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2" fillId="0" borderId="1" xfId="0" applyFont="1" applyBorder="1"/>
    <xf numFmtId="0" fontId="96" fillId="2" borderId="41" xfId="0" quotePrefix="1" applyFont="1" applyFill="1" applyBorder="1" applyAlignment="1" applyProtection="1">
      <alignment vertical="center"/>
      <protection locked="0"/>
    </xf>
    <xf numFmtId="0" fontId="124" fillId="0" borderId="0" xfId="33111" applyFont="1" applyAlignment="1">
      <alignment horizontal="left" vertical="top"/>
    </xf>
    <xf numFmtId="172" fontId="2" fillId="0" borderId="51"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45" xfId="6628" applyNumberFormat="1" applyBorder="1"/>
    <xf numFmtId="172" fontId="2" fillId="0" borderId="60" xfId="6628" applyNumberFormat="1" applyBorder="1"/>
    <xf numFmtId="172" fontId="2" fillId="0" borderId="41" xfId="6628" applyNumberFormat="1" applyBorder="1"/>
    <xf numFmtId="172" fontId="2" fillId="0" borderId="49" xfId="6628" applyNumberFormat="1" applyBorder="1"/>
    <xf numFmtId="172" fontId="2" fillId="0" borderId="41"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1" xfId="0" applyFont="1" applyFill="1" applyBorder="1" applyProtection="1">
      <protection locked="0"/>
    </xf>
    <xf numFmtId="172" fontId="92" fillId="0" borderId="51" xfId="0" applyNumberFormat="1" applyFont="1" applyBorder="1" applyAlignment="1">
      <alignment horizontal="center" vertical="top"/>
    </xf>
    <xf numFmtId="172" fontId="91" fillId="2" borderId="41" xfId="0" applyNumberFormat="1" applyFont="1" applyFill="1" applyBorder="1" applyProtection="1">
      <protection locked="0"/>
    </xf>
    <xf numFmtId="0" fontId="125" fillId="0" borderId="0" xfId="0" applyFont="1" applyAlignment="1">
      <alignment horizontal="center"/>
    </xf>
    <xf numFmtId="14" fontId="91" fillId="0" borderId="0" xfId="0" applyNumberFormat="1" applyFont="1"/>
    <xf numFmtId="187" fontId="96" fillId="4" borderId="49" xfId="11" applyNumberFormat="1" applyFont="1" applyBorder="1" applyAlignment="1" applyProtection="1">
      <alignment horizontal="center"/>
      <protection locked="0"/>
    </xf>
    <xf numFmtId="174" fontId="91" fillId="0" borderId="51" xfId="0" applyNumberFormat="1" applyFont="1" applyBorder="1" applyAlignment="1">
      <alignment horizontal="right" wrapText="1"/>
    </xf>
    <xf numFmtId="174" fontId="91" fillId="0" borderId="51" xfId="0" applyNumberFormat="1" applyFont="1" applyBorder="1" applyAlignment="1">
      <alignment horizontal="right"/>
    </xf>
    <xf numFmtId="172" fontId="91" fillId="0" borderId="51"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1" xfId="0" applyFont="1" applyBorder="1" applyProtection="1">
      <protection locked="0"/>
    </xf>
    <xf numFmtId="172" fontId="96" fillId="0" borderId="51" xfId="0" applyNumberFormat="1" applyFont="1" applyBorder="1" applyProtection="1">
      <protection locked="0"/>
    </xf>
    <xf numFmtId="172" fontId="91" fillId="0" borderId="51" xfId="0" applyNumberFormat="1" applyFont="1" applyBorder="1"/>
    <xf numFmtId="172" fontId="90" fillId="0" borderId="97" xfId="0" applyNumberFormat="1" applyFont="1" applyBorder="1"/>
    <xf numFmtId="0" fontId="105" fillId="0" borderId="0" xfId="0" quotePrefix="1" applyFont="1"/>
    <xf numFmtId="0" fontId="91" fillId="69" borderId="0" xfId="0" applyFont="1" applyFill="1"/>
    <xf numFmtId="0" fontId="91" fillId="69" borderId="41"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27" fillId="0" borderId="41" xfId="7" applyFont="1" applyBorder="1" applyAlignment="1" applyProtection="1">
      <alignment horizontal="left"/>
    </xf>
    <xf numFmtId="0" fontId="107" fillId="0" borderId="41" xfId="0" applyFont="1" applyBorder="1"/>
    <xf numFmtId="0" fontId="0" fillId="0" borderId="41" xfId="0" applyBorder="1"/>
    <xf numFmtId="0" fontId="128" fillId="0" borderId="0" xfId="0" applyFont="1"/>
    <xf numFmtId="0" fontId="129" fillId="0" borderId="0" xfId="0" applyFont="1"/>
    <xf numFmtId="0" fontId="83" fillId="0" borderId="0" xfId="0" applyFont="1"/>
    <xf numFmtId="0" fontId="117"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1"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1" fillId="0" borderId="0" xfId="0" applyFont="1"/>
    <xf numFmtId="0" fontId="130" fillId="0" borderId="0" xfId="0" applyFont="1"/>
    <xf numFmtId="0" fontId="132" fillId="0" borderId="0" xfId="0" applyFont="1"/>
    <xf numFmtId="172" fontId="96" fillId="2" borderId="45" xfId="0" applyNumberFormat="1" applyFont="1" applyFill="1" applyBorder="1" applyProtection="1">
      <protection locked="0"/>
    </xf>
    <xf numFmtId="172" fontId="96" fillId="0" borderId="69" xfId="0" applyNumberFormat="1" applyFont="1" applyBorder="1" applyProtection="1">
      <protection locked="0"/>
    </xf>
    <xf numFmtId="0" fontId="96" fillId="0" borderId="45" xfId="0" applyFont="1" applyBorder="1" applyProtection="1">
      <protection locked="0"/>
    </xf>
    <xf numFmtId="174" fontId="96" fillId="0" borderId="45" xfId="0" applyNumberFormat="1" applyFont="1" applyBorder="1" applyProtection="1">
      <protection locked="0"/>
    </xf>
    <xf numFmtId="172" fontId="96" fillId="0" borderId="41" xfId="0" applyNumberFormat="1" applyFont="1" applyBorder="1" applyProtection="1">
      <protection locked="0"/>
    </xf>
    <xf numFmtId="0" fontId="89" fillId="0" borderId="69" xfId="0" applyFont="1" applyBorder="1" applyAlignment="1" applyProtection="1">
      <alignment vertical="center"/>
      <protection locked="0"/>
    </xf>
    <xf numFmtId="174" fontId="90" fillId="0" borderId="49"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1" xfId="0" applyFont="1" applyBorder="1" applyAlignment="1" applyProtection="1">
      <alignment vertical="center"/>
      <protection locked="0"/>
    </xf>
    <xf numFmtId="0" fontId="91" fillId="0" borderId="45" xfId="0" applyFont="1" applyBorder="1"/>
    <xf numFmtId="0" fontId="0" fillId="0" borderId="45" xfId="0" applyBorder="1"/>
    <xf numFmtId="0" fontId="110" fillId="0" borderId="1" xfId="0" applyFont="1" applyBorder="1"/>
    <xf numFmtId="0" fontId="0" fillId="0" borderId="1" xfId="0" applyBorder="1"/>
    <xf numFmtId="0" fontId="127" fillId="0" borderId="0" xfId="7" applyFont="1" applyBorder="1" applyAlignment="1" applyProtection="1">
      <alignment horizontal="left"/>
    </xf>
    <xf numFmtId="0" fontId="127" fillId="0" borderId="0" xfId="7" applyFont="1" applyBorder="1" applyAlignment="1" applyProtection="1">
      <alignment horizontal="center"/>
    </xf>
    <xf numFmtId="0" fontId="104" fillId="0" borderId="0" xfId="0" applyFont="1"/>
    <xf numFmtId="1" fontId="91" fillId="0" borderId="51"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1" xfId="0" applyNumberFormat="1" applyFont="1" applyBorder="1" applyAlignment="1">
      <alignment horizontal="center"/>
    </xf>
    <xf numFmtId="6" fontId="91" fillId="0" borderId="0" xfId="0" applyNumberFormat="1" applyFont="1" applyAlignment="1">
      <alignment horizontal="center"/>
    </xf>
    <xf numFmtId="1" fontId="92" fillId="0" borderId="51"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1"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126"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1" xfId="33110" applyNumberFormat="1" applyFont="1" applyFill="1" applyBorder="1" applyAlignment="1">
      <alignment horizontal="right"/>
    </xf>
    <xf numFmtId="174" fontId="107" fillId="0" borderId="41" xfId="0" applyNumberFormat="1" applyFont="1" applyBorder="1"/>
    <xf numFmtId="0" fontId="105" fillId="0" borderId="41" xfId="0" applyFont="1" applyBorder="1"/>
    <xf numFmtId="172" fontId="91" fillId="0" borderId="41" xfId="0" applyNumberFormat="1" applyFont="1" applyBorder="1" applyAlignment="1">
      <alignment horizontal="right" vertical="top"/>
    </xf>
    <xf numFmtId="174" fontId="91" fillId="0" borderId="41" xfId="0" applyNumberFormat="1" applyFont="1" applyBorder="1" applyAlignment="1">
      <alignment horizontal="right" vertical="top"/>
    </xf>
    <xf numFmtId="174" fontId="90" fillId="0" borderId="41" xfId="13330" applyNumberFormat="1" applyFont="1" applyFill="1" applyBorder="1" applyAlignment="1">
      <alignment horizontal="right" vertical="top"/>
    </xf>
    <xf numFmtId="174" fontId="90" fillId="0" borderId="41" xfId="0" applyNumberFormat="1" applyFont="1" applyBorder="1" applyAlignment="1">
      <alignment horizontal="right"/>
    </xf>
    <xf numFmtId="174" fontId="91" fillId="0" borderId="41" xfId="9" applyNumberFormat="1" applyFont="1" applyFill="1" applyBorder="1" applyAlignment="1" applyProtection="1">
      <alignment horizontal="right" vertical="top"/>
    </xf>
    <xf numFmtId="172" fontId="96" fillId="2" borderId="42"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49" xfId="0" applyNumberFormat="1" applyFont="1" applyFill="1" applyBorder="1" applyProtection="1">
      <protection locked="0"/>
    </xf>
    <xf numFmtId="0" fontId="91" fillId="2" borderId="45" xfId="0" applyFont="1" applyFill="1" applyBorder="1" applyProtection="1">
      <protection locked="0"/>
    </xf>
    <xf numFmtId="174" fontId="107" fillId="0" borderId="46"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69" xfId="0" applyFont="1" applyBorder="1"/>
    <xf numFmtId="172" fontId="96" fillId="0" borderId="69" xfId="0" applyNumberFormat="1" applyFont="1" applyBorder="1"/>
    <xf numFmtId="0" fontId="90" fillId="0" borderId="45" xfId="0" applyFont="1" applyBorder="1" applyAlignment="1">
      <alignment vertical="center"/>
    </xf>
    <xf numFmtId="0" fontId="90" fillId="0" borderId="41" xfId="0" applyFont="1" applyBorder="1" applyAlignment="1">
      <alignment wrapText="1"/>
    </xf>
    <xf numFmtId="174" fontId="90" fillId="0" borderId="41" xfId="0" applyNumberFormat="1" applyFont="1" applyBorder="1"/>
    <xf numFmtId="0" fontId="90" fillId="0" borderId="41" xfId="0" applyFont="1" applyBorder="1"/>
    <xf numFmtId="172" fontId="90" fillId="0" borderId="41" xfId="0" applyNumberFormat="1" applyFont="1" applyBorder="1"/>
    <xf numFmtId="0" fontId="90" fillId="0" borderId="41" xfId="0" applyFont="1" applyBorder="1" applyAlignment="1">
      <alignment vertical="center"/>
    </xf>
    <xf numFmtId="197" fontId="91" fillId="0" borderId="51"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1" xfId="0" applyNumberFormat="1" applyFont="1" applyBorder="1" applyAlignment="1">
      <alignment horizontal="center" vertical="top"/>
    </xf>
    <xf numFmtId="199" fontId="91" fillId="0" borderId="0" xfId="0" applyNumberFormat="1" applyFont="1" applyAlignment="1">
      <alignment horizontal="center" vertical="top"/>
    </xf>
    <xf numFmtId="0" fontId="125" fillId="0" borderId="0" xfId="0" applyFont="1" applyAlignment="1">
      <alignment horizontal="left" indent="1"/>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34" fillId="0" borderId="0" xfId="6628" applyNumberFormat="1" applyFont="1" applyAlignment="1">
      <alignment horizontal="center"/>
    </xf>
    <xf numFmtId="164" fontId="96" fillId="0" borderId="0" xfId="11" applyNumberFormat="1" applyFont="1" applyFill="1" applyBorder="1" applyAlignment="1" applyProtection="1">
      <alignment horizontal="center"/>
      <protection locked="0"/>
    </xf>
    <xf numFmtId="0" fontId="90" fillId="0" borderId="49" xfId="0" applyFont="1" applyBorder="1" applyAlignment="1">
      <alignment horizontal="center" vertical="top"/>
    </xf>
    <xf numFmtId="172" fontId="90" fillId="0" borderId="49" xfId="0" applyNumberFormat="1" applyFont="1" applyBorder="1" applyAlignment="1">
      <alignment horizontal="center" vertical="top"/>
    </xf>
    <xf numFmtId="174" fontId="0" fillId="0" borderId="0" xfId="33110" applyNumberFormat="1" applyFont="1"/>
    <xf numFmtId="174" fontId="0" fillId="0" borderId="0" xfId="0" applyNumberFormat="1"/>
    <xf numFmtId="0" fontId="135" fillId="0" borderId="0" xfId="0" applyFont="1" applyAlignment="1">
      <alignment horizontal="center"/>
    </xf>
    <xf numFmtId="0" fontId="136" fillId="0" borderId="0" xfId="0" applyFont="1"/>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2"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49" xfId="11" applyNumberFormat="1" applyFont="1" applyBorder="1" applyAlignment="1" applyProtection="1">
      <alignment horizontal="right"/>
      <protection locked="0"/>
    </xf>
    <xf numFmtId="187" fontId="90" fillId="0" borderId="49" xfId="11" applyNumberFormat="1" applyFont="1" applyFill="1" applyBorder="1" applyAlignment="1" applyProtection="1">
      <alignment horizontal="right"/>
    </xf>
    <xf numFmtId="175" fontId="96" fillId="4" borderId="49" xfId="11" applyNumberFormat="1" applyFont="1" applyBorder="1" applyAlignment="1" applyProtection="1">
      <alignment horizontal="right"/>
      <protection locked="0"/>
    </xf>
    <xf numFmtId="178" fontId="90" fillId="0" borderId="49" xfId="0" applyNumberFormat="1" applyFont="1" applyBorder="1" applyAlignment="1">
      <alignment horizontal="right"/>
    </xf>
    <xf numFmtId="0" fontId="104" fillId="0" borderId="34"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44" xfId="0" applyFont="1" applyBorder="1"/>
    <xf numFmtId="0" fontId="91" fillId="0" borderId="44" xfId="0" applyFont="1" applyBorder="1"/>
    <xf numFmtId="174" fontId="91" fillId="0" borderId="44" xfId="0" applyNumberFormat="1" applyFont="1" applyBorder="1" applyAlignment="1">
      <alignment horizontal="right"/>
    </xf>
    <xf numFmtId="177" fontId="92" fillId="0" borderId="44" xfId="0" applyNumberFormat="1" applyFont="1" applyBorder="1" applyAlignment="1">
      <alignment horizontal="right"/>
    </xf>
    <xf numFmtId="177" fontId="92" fillId="0" borderId="44" xfId="0" quotePrefix="1" applyNumberFormat="1" applyFont="1" applyBorder="1" applyAlignment="1">
      <alignment horizontal="right"/>
    </xf>
    <xf numFmtId="0" fontId="92" fillId="0" borderId="46" xfId="0" applyFont="1" applyBorder="1"/>
    <xf numFmtId="0" fontId="91" fillId="0" borderId="46" xfId="0" applyFont="1" applyBorder="1"/>
    <xf numFmtId="174" fontId="91" fillId="0" borderId="46" xfId="0" applyNumberFormat="1" applyFont="1" applyBorder="1" applyAlignment="1">
      <alignment horizontal="right"/>
    </xf>
    <xf numFmtId="177" fontId="92" fillId="0" borderId="46" xfId="0" applyNumberFormat="1" applyFont="1" applyBorder="1" applyAlignment="1">
      <alignment horizontal="right"/>
    </xf>
    <xf numFmtId="174" fontId="90" fillId="0" borderId="45" xfId="0" applyNumberFormat="1" applyFont="1" applyBorder="1"/>
    <xf numFmtId="174" fontId="96" fillId="2" borderId="45" xfId="0" applyNumberFormat="1" applyFont="1" applyFill="1" applyBorder="1" applyProtection="1">
      <protection locked="0"/>
    </xf>
    <xf numFmtId="174" fontId="96" fillId="2" borderId="49" xfId="0" applyNumberFormat="1" applyFont="1" applyFill="1" applyBorder="1" applyProtection="1">
      <protection locked="0"/>
    </xf>
    <xf numFmtId="172" fontId="96" fillId="0" borderId="49" xfId="0" applyNumberFormat="1" applyFont="1" applyBorder="1" applyProtection="1">
      <protection locked="0"/>
    </xf>
    <xf numFmtId="172" fontId="113" fillId="2" borderId="49" xfId="6" applyNumberFormat="1" applyFont="1" applyFill="1" applyBorder="1" applyProtection="1">
      <protection locked="0"/>
    </xf>
    <xf numFmtId="172" fontId="113" fillId="2" borderId="49" xfId="6" applyNumberFormat="1" applyFont="1" applyFill="1" applyBorder="1" applyAlignment="1" applyProtection="1">
      <protection locked="0"/>
    </xf>
    <xf numFmtId="172" fontId="95" fillId="0" borderId="96" xfId="8" applyNumberFormat="1" applyFont="1" applyBorder="1"/>
    <xf numFmtId="172" fontId="114"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174" fontId="94" fillId="0" borderId="59" xfId="6" applyNumberFormat="1" applyFont="1" applyBorder="1" applyAlignment="1" applyProtection="1">
      <alignment horizontal="right"/>
    </xf>
    <xf numFmtId="174" fontId="94" fillId="0" borderId="57" xfId="6" applyNumberFormat="1" applyFont="1" applyBorder="1" applyAlignment="1" applyProtection="1">
      <alignment horizontal="right"/>
    </xf>
    <xf numFmtId="172" fontId="113" fillId="2" borderId="103" xfId="6" applyNumberFormat="1" applyFont="1" applyFill="1" applyBorder="1" applyProtection="1">
      <protection locked="0"/>
    </xf>
    <xf numFmtId="174" fontId="95" fillId="0" borderId="49" xfId="8" applyNumberFormat="1" applyFont="1" applyBorder="1"/>
    <xf numFmtId="9" fontId="95" fillId="0" borderId="0" xfId="10" applyFont="1" applyBorder="1" applyProtection="1"/>
    <xf numFmtId="175" fontId="95" fillId="0" borderId="96" xfId="6" applyNumberFormat="1" applyFont="1" applyFill="1" applyBorder="1" applyProtection="1"/>
    <xf numFmtId="175" fontId="95" fillId="0" borderId="49" xfId="6" applyNumberFormat="1" applyFont="1" applyFill="1" applyBorder="1" applyProtection="1"/>
    <xf numFmtId="175" fontId="95" fillId="0" borderId="10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0" xfId="8" applyNumberFormat="1" applyFont="1" applyBorder="1"/>
    <xf numFmtId="175" fontId="95" fillId="0" borderId="60" xfId="9" applyNumberFormat="1" applyFont="1" applyFill="1" applyBorder="1" applyProtection="1"/>
    <xf numFmtId="175" fontId="95" fillId="0" borderId="59" xfId="6" applyNumberFormat="1" applyFont="1" applyFill="1" applyBorder="1" applyProtection="1"/>
    <xf numFmtId="172" fontId="113" fillId="2" borderId="49" xfId="8" applyNumberFormat="1" applyFont="1" applyFill="1" applyBorder="1" applyProtection="1">
      <protection locked="0"/>
    </xf>
    <xf numFmtId="38" fontId="95" fillId="0" borderId="96" xfId="6" applyNumberFormat="1" applyFont="1" applyBorder="1" applyProtection="1"/>
    <xf numFmtId="38" fontId="95" fillId="0" borderId="96" xfId="8" applyNumberFormat="1" applyFont="1" applyBorder="1"/>
    <xf numFmtId="38" fontId="95" fillId="0" borderId="103" xfId="6" applyNumberFormat="1" applyFont="1" applyBorder="1" applyProtection="1"/>
    <xf numFmtId="44" fontId="95" fillId="0" borderId="0" xfId="6" applyFont="1" applyBorder="1" applyProtection="1"/>
    <xf numFmtId="172" fontId="95" fillId="0" borderId="96" xfId="6" applyNumberFormat="1" applyFont="1" applyBorder="1" applyProtection="1"/>
    <xf numFmtId="38" fontId="95" fillId="0" borderId="49" xfId="6" applyNumberFormat="1" applyFont="1" applyFill="1" applyBorder="1" applyProtection="1"/>
    <xf numFmtId="38" fontId="95" fillId="0" borderId="60" xfId="6" applyNumberFormat="1" applyFont="1" applyBorder="1" applyProtection="1"/>
    <xf numFmtId="174" fontId="91" fillId="0" borderId="0" xfId="0" applyNumberFormat="1" applyFont="1" applyAlignment="1">
      <alignment horizontal="right" vertical="top"/>
    </xf>
    <xf numFmtId="0" fontId="107" fillId="0" borderId="0" xfId="0" applyFont="1" applyAlignment="1">
      <alignment horizontal="right" vertical="top"/>
    </xf>
    <xf numFmtId="172" fontId="96" fillId="69" borderId="36" xfId="0" applyNumberFormat="1" applyFont="1" applyFill="1" applyBorder="1" applyAlignment="1" applyProtection="1">
      <alignment horizontal="right" vertical="top"/>
      <protection locked="0"/>
    </xf>
    <xf numFmtId="172" fontId="96" fillId="69" borderId="37" xfId="0" applyNumberFormat="1" applyFont="1" applyFill="1" applyBorder="1" applyAlignment="1" applyProtection="1">
      <alignment horizontal="right" vertical="top"/>
      <protection locked="0"/>
    </xf>
    <xf numFmtId="172" fontId="96" fillId="69" borderId="67" xfId="0" applyNumberFormat="1" applyFont="1" applyFill="1" applyBorder="1" applyAlignment="1" applyProtection="1">
      <alignment horizontal="right" vertical="top"/>
      <protection locked="0"/>
    </xf>
    <xf numFmtId="172" fontId="90" fillId="69" borderId="37" xfId="0" applyNumberFormat="1" applyFont="1" applyFill="1" applyBorder="1" applyAlignment="1" applyProtection="1">
      <alignment horizontal="right" vertical="top"/>
      <protection locked="0"/>
    </xf>
    <xf numFmtId="172" fontId="90" fillId="69" borderId="67"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38" xfId="0" applyNumberFormat="1" applyFont="1" applyFill="1" applyBorder="1" applyAlignment="1" applyProtection="1">
      <alignment horizontal="right" vertical="top"/>
      <protection locked="0"/>
    </xf>
    <xf numFmtId="172" fontId="90" fillId="69" borderId="33" xfId="0" applyNumberFormat="1" applyFont="1" applyFill="1" applyBorder="1" applyAlignment="1" applyProtection="1">
      <alignment horizontal="right" vertical="top"/>
      <protection locked="0"/>
    </xf>
    <xf numFmtId="0" fontId="90" fillId="0" borderId="41" xfId="0" applyFont="1" applyBorder="1" applyAlignment="1">
      <alignment horizontal="right"/>
    </xf>
    <xf numFmtId="172" fontId="90" fillId="0" borderId="41"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3" xfId="0" applyFont="1" applyBorder="1" applyAlignment="1">
      <alignment horizontal="center" vertical="top"/>
    </xf>
    <xf numFmtId="0" fontId="107" fillId="0" borderId="59"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49" xfId="11" applyNumberFormat="1" applyFont="1" applyBorder="1" applyAlignment="1" applyProtection="1">
      <alignment horizontal="center" wrapText="1"/>
      <protection locked="0"/>
    </xf>
    <xf numFmtId="172" fontId="91" fillId="0" borderId="49" xfId="0" applyNumberFormat="1" applyFont="1" applyBorder="1" applyAlignment="1">
      <alignment horizontal="center" vertical="top"/>
    </xf>
    <xf numFmtId="172" fontId="91" fillId="0" borderId="97" xfId="0" applyNumberFormat="1" applyFont="1" applyBorder="1" applyAlignment="1">
      <alignment horizontal="center" vertical="top"/>
    </xf>
    <xf numFmtId="172" fontId="91" fillId="0" borderId="103" xfId="0" applyNumberFormat="1" applyFont="1" applyBorder="1" applyAlignment="1">
      <alignment horizontal="center" vertical="top"/>
    </xf>
    <xf numFmtId="0" fontId="125" fillId="0" borderId="50" xfId="0" applyFont="1" applyBorder="1" applyAlignment="1">
      <alignment horizontal="left" indent="1"/>
    </xf>
    <xf numFmtId="0" fontId="125" fillId="0" borderId="13"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1" xfId="0" applyFont="1" applyFill="1" applyBorder="1" applyProtection="1">
      <protection locked="0"/>
    </xf>
    <xf numFmtId="0" fontId="104" fillId="0" borderId="0" xfId="0" applyFont="1" applyAlignment="1">
      <alignment horizontal="right" vertical="top"/>
    </xf>
    <xf numFmtId="172" fontId="90" fillId="0" borderId="46" xfId="0" applyNumberFormat="1" applyFont="1" applyBorder="1" applyAlignment="1">
      <alignment horizontal="right" vertical="top"/>
    </xf>
    <xf numFmtId="0" fontId="92" fillId="0" borderId="41" xfId="0" applyFont="1" applyBorder="1"/>
    <xf numFmtId="0" fontId="91" fillId="0" borderId="44" xfId="0" applyFont="1" applyBorder="1" applyAlignment="1">
      <alignment horizontal="right"/>
    </xf>
    <xf numFmtId="9" fontId="91" fillId="0" borderId="44" xfId="9" applyFont="1" applyFill="1" applyBorder="1" applyAlignment="1">
      <alignment horizontal="right" vertical="top"/>
    </xf>
    <xf numFmtId="174" fontId="91" fillId="0" borderId="46" xfId="0" applyNumberFormat="1" applyFont="1" applyBorder="1" applyAlignment="1">
      <alignment horizontal="right" vertical="top"/>
    </xf>
    <xf numFmtId="172" fontId="91" fillId="0" borderId="46" xfId="0" applyNumberFormat="1" applyFont="1" applyBorder="1" applyAlignment="1">
      <alignment horizontal="right" vertical="top"/>
    </xf>
    <xf numFmtId="0" fontId="91" fillId="3" borderId="1" xfId="0" applyFont="1" applyFill="1" applyBorder="1" applyAlignment="1">
      <alignment wrapText="1"/>
    </xf>
    <xf numFmtId="0" fontId="100" fillId="0" borderId="41" xfId="7" applyFont="1" applyBorder="1" applyAlignment="1" applyProtection="1">
      <alignment horizontal="right" wrapText="1" indent="1"/>
    </xf>
    <xf numFmtId="0" fontId="91" fillId="0" borderId="41" xfId="0" applyFont="1" applyBorder="1" applyAlignment="1">
      <alignment horizontal="right" vertical="top"/>
    </xf>
    <xf numFmtId="172" fontId="92" fillId="0" borderId="41" xfId="0" applyNumberFormat="1" applyFont="1" applyBorder="1" applyAlignment="1">
      <alignment horizontal="right" vertical="top"/>
    </xf>
    <xf numFmtId="0" fontId="91" fillId="0" borderId="1" xfId="0" applyFont="1" applyBorder="1" applyAlignment="1">
      <alignment horizontal="right" vertical="top"/>
    </xf>
    <xf numFmtId="172" fontId="96" fillId="2" borderId="60" xfId="0" applyNumberFormat="1" applyFont="1" applyFill="1" applyBorder="1" applyAlignment="1" applyProtection="1">
      <alignment horizontal="right" vertical="top"/>
      <protection locked="0"/>
    </xf>
    <xf numFmtId="172" fontId="96" fillId="2" borderId="49" xfId="0" applyNumberFormat="1" applyFont="1" applyFill="1" applyBorder="1" applyAlignment="1" applyProtection="1">
      <alignment horizontal="right" vertical="top"/>
      <protection locked="0"/>
    </xf>
    <xf numFmtId="172" fontId="96" fillId="2" borderId="10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46" xfId="7" applyFont="1" applyBorder="1" applyAlignment="1" applyProtection="1">
      <alignment horizontal="right" wrapText="1" indent="1"/>
    </xf>
    <xf numFmtId="0" fontId="107" fillId="0" borderId="46" xfId="0" applyFont="1" applyBorder="1" applyAlignment="1">
      <alignment horizontal="right" vertical="top"/>
    </xf>
    <xf numFmtId="0" fontId="92" fillId="0" borderId="9"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1" xfId="0" applyNumberFormat="1" applyFont="1" applyBorder="1" applyAlignment="1">
      <alignment horizontal="right"/>
    </xf>
    <xf numFmtId="196" fontId="92" fillId="0" borderId="51"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59" xfId="0" applyNumberFormat="1" applyFont="1" applyBorder="1" applyAlignment="1">
      <alignment horizontal="right"/>
    </xf>
    <xf numFmtId="172" fontId="91" fillId="2" borderId="10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6" xfId="0" applyNumberFormat="1" applyFont="1" applyFill="1" applyBorder="1" applyAlignment="1" applyProtection="1">
      <alignment horizontal="right" wrapText="1"/>
      <protection locked="0"/>
    </xf>
    <xf numFmtId="189" fontId="96" fillId="4" borderId="105" xfId="11" applyNumberFormat="1" applyFont="1" applyBorder="1" applyAlignment="1" applyProtection="1">
      <alignment horizontal="center"/>
      <protection locked="0"/>
    </xf>
    <xf numFmtId="172" fontId="96" fillId="2" borderId="97" xfId="0" applyNumberFormat="1" applyFont="1" applyFill="1" applyBorder="1" applyAlignment="1" applyProtection="1">
      <alignment horizontal="right" wrapText="1"/>
      <protection locked="0"/>
    </xf>
    <xf numFmtId="174" fontId="92" fillId="0" borderId="51" xfId="0" applyNumberFormat="1" applyFont="1" applyBorder="1"/>
    <xf numFmtId="174" fontId="96" fillId="2" borderId="49" xfId="0" applyNumberFormat="1" applyFont="1" applyFill="1" applyBorder="1" applyAlignment="1" applyProtection="1">
      <alignment horizontal="right"/>
      <protection locked="0"/>
    </xf>
    <xf numFmtId="172" fontId="96" fillId="2" borderId="49" xfId="0" applyNumberFormat="1" applyFont="1" applyFill="1" applyBorder="1" applyAlignment="1" applyProtection="1">
      <alignment horizontal="right"/>
      <protection locked="0"/>
    </xf>
    <xf numFmtId="172" fontId="96" fillId="2" borderId="103" xfId="0" applyNumberFormat="1" applyFont="1" applyFill="1" applyBorder="1" applyAlignment="1" applyProtection="1">
      <alignment horizontal="right"/>
      <protection locked="0"/>
    </xf>
    <xf numFmtId="0" fontId="91" fillId="3" borderId="69" xfId="0" applyFont="1" applyFill="1" applyBorder="1"/>
    <xf numFmtId="0" fontId="91" fillId="3" borderId="46" xfId="0" applyFont="1" applyFill="1" applyBorder="1"/>
    <xf numFmtId="0" fontId="90" fillId="0" borderId="97"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200" fontId="107" fillId="0" borderId="0" xfId="0" applyNumberFormat="1" applyFont="1" applyAlignment="1">
      <alignment horizontal="right" vertical="top"/>
    </xf>
    <xf numFmtId="174" fontId="107" fillId="0" borderId="46" xfId="0" applyNumberFormat="1" applyFont="1" applyBorder="1" applyAlignment="1">
      <alignment horizontal="center" vertical="top"/>
    </xf>
    <xf numFmtId="174" fontId="107" fillId="0" borderId="41" xfId="0" applyNumberFormat="1" applyFont="1" applyBorder="1" applyAlignment="1">
      <alignment horizontal="center" vertical="top"/>
    </xf>
    <xf numFmtId="172" fontId="107" fillId="0" borderId="46" xfId="0" applyNumberFormat="1" applyFont="1" applyBorder="1" applyAlignment="1">
      <alignment horizontal="right" vertical="top"/>
    </xf>
    <xf numFmtId="174" fontId="107" fillId="0" borderId="41" xfId="0" applyNumberFormat="1" applyFont="1" applyBorder="1" applyAlignment="1">
      <alignment horizontal="right" vertical="top"/>
    </xf>
    <xf numFmtId="172" fontId="107" fillId="0" borderId="41" xfId="0" applyNumberFormat="1" applyFont="1" applyBorder="1" applyAlignment="1">
      <alignment horizontal="right" vertical="top"/>
    </xf>
    <xf numFmtId="0" fontId="107" fillId="3" borderId="41" xfId="0" applyFont="1" applyFill="1" applyBorder="1"/>
    <xf numFmtId="0" fontId="104" fillId="0" borderId="0" xfId="6628" applyFont="1"/>
    <xf numFmtId="0" fontId="91" fillId="0" borderId="69" xfId="0" applyFont="1" applyBorder="1"/>
    <xf numFmtId="172" fontId="91" fillId="3" borderId="103" xfId="13330" applyNumberFormat="1" applyFont="1" applyFill="1" applyBorder="1" applyAlignment="1">
      <alignment horizontal="center" vertical="top"/>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175" fontId="92" fillId="0" borderId="59"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0" fontId="106" fillId="0" borderId="59" xfId="0" applyFont="1" applyBorder="1" applyAlignment="1">
      <alignment horizontal="left"/>
    </xf>
    <xf numFmtId="174" fontId="92" fillId="0" borderId="59" xfId="0" applyNumberFormat="1" applyFont="1" applyBorder="1" applyAlignment="1">
      <alignment horizontal="center"/>
    </xf>
    <xf numFmtId="175" fontId="92" fillId="0" borderId="59" xfId="0" applyNumberFormat="1" applyFont="1" applyBorder="1" applyAlignment="1">
      <alignment horizontal="center"/>
    </xf>
    <xf numFmtId="165" fontId="91" fillId="0" borderId="0" xfId="0" quotePrefix="1" applyNumberFormat="1" applyFont="1" applyAlignment="1">
      <alignment horizontal="right" vertical="top"/>
    </xf>
    <xf numFmtId="0" fontId="0" fillId="2" borderId="41"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1" xfId="0" applyNumberFormat="1" applyFont="1" applyFill="1" applyBorder="1" applyAlignment="1" applyProtection="1">
      <alignment horizontal="right" vertical="top"/>
      <protection locked="0"/>
    </xf>
    <xf numFmtId="174" fontId="96" fillId="4" borderId="41" xfId="11" applyNumberFormat="1" applyFont="1" applyBorder="1" applyAlignment="1" applyProtection="1">
      <alignment horizontal="right" vertical="top"/>
      <protection locked="0"/>
    </xf>
    <xf numFmtId="172" fontId="91" fillId="2" borderId="41" xfId="0" applyNumberFormat="1" applyFont="1" applyFill="1" applyBorder="1" applyAlignment="1" applyProtection="1">
      <alignment horizontal="right" vertical="top"/>
      <protection locked="0"/>
    </xf>
    <xf numFmtId="172" fontId="91" fillId="2" borderId="97" xfId="0" applyNumberFormat="1" applyFont="1" applyFill="1" applyBorder="1" applyAlignment="1" applyProtection="1">
      <alignment horizontal="right"/>
      <protection locked="0"/>
    </xf>
    <xf numFmtId="10" fontId="96" fillId="4" borderId="49" xfId="11" applyNumberFormat="1" applyFont="1" applyBorder="1" applyAlignment="1" applyProtection="1">
      <alignment horizontal="center" vertical="top"/>
      <protection locked="0"/>
    </xf>
    <xf numFmtId="173" fontId="91" fillId="2" borderId="49" xfId="0" applyNumberFormat="1" applyFont="1" applyFill="1" applyBorder="1" applyAlignment="1" applyProtection="1">
      <alignment horizontal="center" vertical="top"/>
      <protection locked="0"/>
    </xf>
    <xf numFmtId="173" fontId="91" fillId="2" borderId="97"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59"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1" xfId="0" applyNumberFormat="1" applyFont="1" applyBorder="1" applyAlignment="1">
      <alignment horizontal="center"/>
    </xf>
    <xf numFmtId="204" fontId="91" fillId="0" borderId="1" xfId="0" applyNumberFormat="1" applyFont="1" applyBorder="1" applyAlignment="1">
      <alignment horizontal="center"/>
    </xf>
    <xf numFmtId="204" fontId="91" fillId="0" borderId="59" xfId="0" applyNumberFormat="1" applyFont="1" applyBorder="1" applyAlignment="1">
      <alignment horizontal="center"/>
    </xf>
    <xf numFmtId="205" fontId="91" fillId="0" borderId="0" xfId="0" applyNumberFormat="1" applyFont="1" applyAlignment="1">
      <alignment horizontal="center"/>
    </xf>
    <xf numFmtId="194" fontId="92" fillId="63" borderId="59" xfId="0" applyNumberFormat="1" applyFont="1" applyFill="1" applyBorder="1" applyAlignment="1">
      <alignment horizontal="right"/>
    </xf>
    <xf numFmtId="0" fontId="92" fillId="63" borderId="98" xfId="0" applyFont="1" applyFill="1" applyBorder="1" applyAlignment="1">
      <alignment horizontal="right"/>
    </xf>
    <xf numFmtId="0" fontId="92" fillId="63" borderId="99" xfId="0" applyFont="1" applyFill="1" applyBorder="1" applyAlignment="1">
      <alignment horizontal="right"/>
    </xf>
    <xf numFmtId="0" fontId="92" fillId="63" borderId="100" xfId="0" applyFont="1" applyFill="1" applyBorder="1" applyAlignment="1">
      <alignment horizontal="right"/>
    </xf>
    <xf numFmtId="0" fontId="92" fillId="63" borderId="10" xfId="0" applyFont="1" applyFill="1" applyBorder="1" applyAlignment="1">
      <alignment horizontal="right"/>
    </xf>
    <xf numFmtId="0" fontId="92" fillId="63" borderId="1" xfId="0" applyFont="1" applyFill="1" applyBorder="1" applyAlignment="1">
      <alignment horizontal="right"/>
    </xf>
    <xf numFmtId="0" fontId="92" fillId="63" borderId="9" xfId="0" applyFont="1" applyFill="1" applyBorder="1" applyAlignment="1">
      <alignment horizontal="right"/>
    </xf>
    <xf numFmtId="0" fontId="92" fillId="63" borderId="63" xfId="0" applyFont="1" applyFill="1" applyBorder="1" applyAlignment="1">
      <alignment horizontal="center"/>
    </xf>
    <xf numFmtId="174" fontId="92" fillId="0" borderId="46" xfId="0" applyNumberFormat="1" applyFont="1" applyBorder="1" applyAlignment="1">
      <alignment horizontal="right"/>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10" xfId="0" applyFont="1" applyFill="1" applyBorder="1" applyAlignment="1">
      <alignment horizontal="center"/>
    </xf>
    <xf numFmtId="0" fontId="92" fillId="63" borderId="1" xfId="0" applyFont="1" applyFill="1" applyBorder="1" applyAlignment="1">
      <alignment horizontal="center"/>
    </xf>
    <xf numFmtId="0" fontId="92" fillId="63" borderId="9" xfId="0" applyFont="1" applyFill="1" applyBorder="1" applyAlignment="1">
      <alignment horizontal="center"/>
    </xf>
    <xf numFmtId="0" fontId="92" fillId="63" borderId="53" xfId="0" applyFont="1" applyFill="1" applyBorder="1" applyAlignment="1">
      <alignment horizontal="center"/>
    </xf>
    <xf numFmtId="194" fontId="92" fillId="63" borderId="51" xfId="0" applyNumberFormat="1" applyFont="1" applyFill="1" applyBorder="1" applyAlignment="1">
      <alignment horizontal="center"/>
    </xf>
    <xf numFmtId="194" fontId="92" fillId="63" borderId="52" xfId="0" applyNumberFormat="1" applyFont="1" applyFill="1" applyBorder="1" applyAlignment="1">
      <alignment horizontal="center"/>
    </xf>
    <xf numFmtId="0" fontId="92" fillId="63" borderId="98" xfId="0" applyFont="1" applyFill="1" applyBorder="1" applyAlignment="1">
      <alignment horizontal="center"/>
    </xf>
    <xf numFmtId="0" fontId="92" fillId="63" borderId="99" xfId="0" applyFont="1" applyFill="1" applyBorder="1" applyAlignment="1">
      <alignment horizontal="center"/>
    </xf>
    <xf numFmtId="0" fontId="92" fillId="63" borderId="100" xfId="0" applyFont="1" applyFill="1" applyBorder="1" applyAlignment="1">
      <alignment horizontal="center"/>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39" xfId="0" applyFont="1" applyFill="1" applyBorder="1" applyAlignment="1">
      <alignment horizontal="center" vertical="top"/>
    </xf>
    <xf numFmtId="0" fontId="104" fillId="63" borderId="35" xfId="0" applyFont="1" applyFill="1" applyBorder="1" applyAlignment="1">
      <alignment horizontal="center" vertical="top"/>
    </xf>
    <xf numFmtId="0" fontId="104" fillId="63" borderId="40" xfId="0" applyFont="1" applyFill="1" applyBorder="1" applyAlignment="1">
      <alignment horizontal="center" vertical="top"/>
    </xf>
    <xf numFmtId="0" fontId="107" fillId="63" borderId="54" xfId="0" applyFont="1" applyFill="1" applyBorder="1" applyAlignment="1">
      <alignment horizontal="center" vertical="top"/>
    </xf>
    <xf numFmtId="0" fontId="107" fillId="63" borderId="55" xfId="0" applyFont="1" applyFill="1" applyBorder="1" applyAlignment="1">
      <alignment horizontal="center" vertical="top"/>
    </xf>
    <xf numFmtId="0" fontId="107" fillId="63" borderId="56" xfId="0" applyFont="1" applyFill="1" applyBorder="1" applyAlignment="1">
      <alignment horizontal="center" vertical="top"/>
    </xf>
    <xf numFmtId="0" fontId="102" fillId="70" borderId="0" xfId="33111" applyFont="1" applyFill="1" applyAlignment="1">
      <alignment horizontal="left" vertical="top"/>
    </xf>
    <xf numFmtId="0" fontId="117" fillId="70" borderId="0" xfId="33111" applyFont="1" applyFill="1" applyAlignment="1">
      <alignment horizontal="left" vertical="top" wrapText="1"/>
    </xf>
    <xf numFmtId="166" fontId="117" fillId="0" borderId="0" xfId="8" applyNumberFormat="1" applyFont="1" applyAlignment="1">
      <alignment horizontal="center"/>
    </xf>
    <xf numFmtId="43" fontId="91" fillId="0" borderId="0" xfId="4" applyFont="1" applyFill="1" applyProtection="1"/>
    <xf numFmtId="0" fontId="104" fillId="0" borderId="51" xfId="8" applyFont="1" applyBorder="1" applyAlignment="1">
      <alignment horizontal="left"/>
    </xf>
    <xf numFmtId="175" fontId="92" fillId="0" borderId="0" xfId="0" applyNumberFormat="1" applyFont="1" applyAlignment="1">
      <alignment horizontal="right"/>
    </xf>
    <xf numFmtId="194" fontId="92" fillId="63" borderId="59" xfId="0" applyNumberFormat="1" applyFont="1" applyFill="1" applyBorder="1" applyAlignment="1">
      <alignment horizontal="center"/>
    </xf>
    <xf numFmtId="194" fontId="92" fillId="63" borderId="57" xfId="0" applyNumberFormat="1" applyFont="1" applyFill="1" applyBorder="1" applyAlignment="1">
      <alignment horizontal="center"/>
    </xf>
    <xf numFmtId="0" fontId="107" fillId="63" borderId="34" xfId="0" applyFont="1" applyFill="1" applyBorder="1" applyAlignment="1">
      <alignment horizontal="center" vertical="top"/>
    </xf>
    <xf numFmtId="0" fontId="104" fillId="63" borderId="34" xfId="0" applyFont="1" applyFill="1" applyBorder="1" applyAlignment="1">
      <alignment horizontal="center" vertical="top"/>
    </xf>
    <xf numFmtId="174" fontId="95" fillId="2" borderId="49" xfId="6" applyNumberFormat="1" applyFont="1" applyFill="1" applyBorder="1" applyProtection="1">
      <protection locked="0"/>
    </xf>
    <xf numFmtId="172" fontId="91" fillId="0" borderId="49" xfId="0" applyNumberFormat="1" applyFont="1" applyBorder="1" applyAlignment="1">
      <alignment horizontal="right" vertical="top"/>
    </xf>
    <xf numFmtId="164" fontId="96" fillId="4" borderId="49"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92" fillId="67" borderId="107" xfId="0" applyFont="1" applyFill="1" applyBorder="1" applyAlignment="1">
      <alignment horizontal="right"/>
    </xf>
    <xf numFmtId="174" fontId="91" fillId="2" borderId="41"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1" xfId="33110" applyNumberFormat="1" applyFont="1" applyFill="1" applyBorder="1"/>
    <xf numFmtId="209" fontId="91" fillId="0" borderId="46" xfId="33110" applyNumberFormat="1" applyFont="1" applyFill="1" applyBorder="1"/>
    <xf numFmtId="174" fontId="96" fillId="4" borderId="49" xfId="11" applyNumberFormat="1" applyFont="1" applyBorder="1" applyAlignment="1" applyProtection="1">
      <alignment horizontal="center" vertical="top"/>
      <protection locked="0"/>
    </xf>
    <xf numFmtId="175" fontId="96" fillId="4" borderId="49" xfId="11" applyNumberFormat="1" applyFont="1" applyBorder="1" applyAlignment="1" applyProtection="1">
      <alignment horizontal="center" vertical="top"/>
      <protection locked="0"/>
    </xf>
    <xf numFmtId="174" fontId="96" fillId="2" borderId="49"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49" xfId="11" applyNumberFormat="1" applyFont="1" applyBorder="1" applyAlignment="1" applyProtection="1">
      <alignment horizontal="center"/>
      <protection locked="0"/>
    </xf>
    <xf numFmtId="210" fontId="96" fillId="4" borderId="60"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59" xfId="0" applyNumberFormat="1" applyFont="1" applyBorder="1" applyAlignment="1">
      <alignment horizontal="right"/>
    </xf>
    <xf numFmtId="172" fontId="90" fillId="0" borderId="97" xfId="0" applyNumberFormat="1" applyFont="1" applyBorder="1" applyAlignment="1">
      <alignment horizontal="right" vertical="top"/>
    </xf>
    <xf numFmtId="172" fontId="90" fillId="0" borderId="49"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92" fillId="3" borderId="103" xfId="13330" applyNumberFormat="1" applyFont="1" applyFill="1" applyBorder="1" applyAlignment="1">
      <alignment horizontal="right" vertical="top"/>
    </xf>
    <xf numFmtId="172" fontId="96" fillId="2" borderId="97" xfId="0" applyNumberFormat="1" applyFont="1" applyFill="1" applyBorder="1" applyAlignment="1" applyProtection="1">
      <alignment horizontal="right" vertical="top"/>
      <protection locked="0"/>
    </xf>
    <xf numFmtId="9" fontId="101" fillId="2" borderId="49" xfId="9" applyFont="1" applyFill="1" applyBorder="1" applyAlignment="1" applyProtection="1">
      <alignment horizontal="right" vertical="top"/>
      <protection locked="0"/>
    </xf>
    <xf numFmtId="0" fontId="91" fillId="0" borderId="49" xfId="0" applyFont="1" applyBorder="1"/>
    <xf numFmtId="172" fontId="113" fillId="2" borderId="97" xfId="6" applyNumberFormat="1" applyFont="1" applyFill="1" applyBorder="1" applyProtection="1">
      <protection locked="0"/>
    </xf>
    <xf numFmtId="174" fontId="113" fillId="2" borderId="60" xfId="6" quotePrefix="1" applyNumberFormat="1" applyFont="1" applyFill="1" applyBorder="1" applyProtection="1">
      <protection locked="0"/>
    </xf>
    <xf numFmtId="174" fontId="113" fillId="2" borderId="60" xfId="6" applyNumberFormat="1" applyFont="1" applyFill="1" applyBorder="1" applyProtection="1">
      <protection locked="0"/>
    </xf>
    <xf numFmtId="0" fontId="91" fillId="2" borderId="97" xfId="0" applyFont="1" applyFill="1" applyBorder="1" applyAlignment="1">
      <alignment horizontal="center" vertical="top"/>
    </xf>
    <xf numFmtId="0" fontId="91" fillId="2" borderId="49" xfId="0" applyFont="1" applyFill="1" applyBorder="1" applyAlignment="1">
      <alignment horizontal="center" vertical="top"/>
    </xf>
    <xf numFmtId="0" fontId="91" fillId="2" borderId="103" xfId="0" applyFont="1" applyFill="1" applyBorder="1" applyAlignment="1">
      <alignment horizontal="center" vertical="top"/>
    </xf>
    <xf numFmtId="172" fontId="91" fillId="2" borderId="49" xfId="0" applyNumberFormat="1" applyFont="1" applyFill="1" applyBorder="1" applyAlignment="1">
      <alignment horizontal="center" vertical="top"/>
    </xf>
    <xf numFmtId="0" fontId="96" fillId="2" borderId="49" xfId="0" applyFont="1" applyFill="1" applyBorder="1" applyProtection="1">
      <protection locked="0"/>
    </xf>
    <xf numFmtId="175" fontId="96" fillId="2" borderId="49" xfId="0" applyNumberFormat="1" applyFont="1" applyFill="1" applyBorder="1" applyProtection="1">
      <protection locked="0"/>
    </xf>
    <xf numFmtId="0" fontId="96" fillId="2" borderId="103" xfId="0" applyFont="1" applyFill="1" applyBorder="1" applyProtection="1">
      <protection locked="0"/>
    </xf>
    <xf numFmtId="175" fontId="96" fillId="2" borderId="103" xfId="0" applyNumberFormat="1" applyFont="1" applyFill="1" applyBorder="1" applyProtection="1">
      <protection locked="0"/>
    </xf>
    <xf numFmtId="174" fontId="96" fillId="2" borderId="97" xfId="0" applyNumberFormat="1" applyFont="1" applyFill="1" applyBorder="1" applyProtection="1">
      <protection locked="0"/>
    </xf>
    <xf numFmtId="0" fontId="92" fillId="0" borderId="59" xfId="0" applyFont="1" applyBorder="1"/>
    <xf numFmtId="0" fontId="91" fillId="0" borderId="53" xfId="0" applyFont="1" applyBorder="1" applyAlignment="1">
      <alignment horizontal="left" indent="1"/>
    </xf>
    <xf numFmtId="0" fontId="125" fillId="0" borderId="112" xfId="0" applyFont="1" applyBorder="1" applyAlignment="1">
      <alignment horizontal="left" indent="1"/>
    </xf>
    <xf numFmtId="173" fontId="96" fillId="2" borderId="114" xfId="0" applyNumberFormat="1" applyFont="1" applyFill="1" applyBorder="1" applyAlignment="1" applyProtection="1">
      <alignment horizontal="center"/>
      <protection locked="0"/>
    </xf>
    <xf numFmtId="172" fontId="91" fillId="0" borderId="44" xfId="0" applyNumberFormat="1" applyFont="1" applyBorder="1"/>
    <xf numFmtId="174" fontId="90" fillId="0" borderId="61" xfId="0" applyNumberFormat="1" applyFont="1" applyBorder="1"/>
    <xf numFmtId="172" fontId="96" fillId="2" borderId="61" xfId="0" applyNumberFormat="1" applyFont="1" applyFill="1" applyBorder="1" applyProtection="1">
      <protection locked="0"/>
    </xf>
    <xf numFmtId="172" fontId="96" fillId="0" borderId="61" xfId="0" applyNumberFormat="1" applyFont="1" applyBorder="1" applyProtection="1">
      <protection locked="0"/>
    </xf>
    <xf numFmtId="172" fontId="90" fillId="0" borderId="109" xfId="0" applyNumberFormat="1" applyFont="1" applyBorder="1"/>
    <xf numFmtId="0" fontId="94" fillId="0" borderId="59" xfId="8" applyFont="1" applyBorder="1"/>
    <xf numFmtId="174" fontId="94" fillId="0" borderId="59" xfId="6" applyNumberFormat="1" applyFont="1" applyBorder="1" applyProtection="1"/>
    <xf numFmtId="175" fontId="95" fillId="0" borderId="60" xfId="6" applyNumberFormat="1" applyFont="1" applyFill="1" applyBorder="1" applyProtection="1"/>
    <xf numFmtId="0" fontId="125" fillId="0" borderId="0" xfId="0" applyFont="1" applyAlignment="1">
      <alignment horizontal="left" vertical="center" indent="1"/>
    </xf>
    <xf numFmtId="172" fontId="101" fillId="4" borderId="49" xfId="11" applyNumberFormat="1" applyFont="1" applyBorder="1" applyAlignment="1" applyProtection="1">
      <alignment horizontal="center" vertical="top"/>
      <protection locked="0"/>
    </xf>
    <xf numFmtId="174" fontId="101" fillId="4" borderId="49" xfId="11" applyNumberFormat="1" applyFont="1" applyBorder="1" applyAlignment="1" applyProtection="1">
      <alignment horizontal="center" vertical="top"/>
      <protection locked="0"/>
    </xf>
    <xf numFmtId="173" fontId="101" fillId="4" borderId="49" xfId="11" applyNumberFormat="1" applyFont="1" applyBorder="1" applyAlignment="1" applyProtection="1">
      <alignment horizontal="center" vertical="top"/>
      <protection locked="0"/>
    </xf>
    <xf numFmtId="208" fontId="101" fillId="4" borderId="49" xfId="11" applyNumberFormat="1" applyFont="1" applyBorder="1" applyAlignment="1" applyProtection="1">
      <alignment horizontal="center" vertical="top"/>
      <protection locked="0"/>
    </xf>
    <xf numFmtId="187" fontId="101" fillId="4" borderId="49" xfId="11" applyNumberFormat="1" applyFont="1" applyBorder="1" applyAlignment="1" applyProtection="1">
      <alignment horizontal="center" vertical="top"/>
      <protection locked="0"/>
    </xf>
    <xf numFmtId="172" fontId="96" fillId="0" borderId="115" xfId="0" applyNumberFormat="1" applyFont="1" applyBorder="1" applyProtection="1">
      <protection locked="0"/>
    </xf>
    <xf numFmtId="172" fontId="96" fillId="0" borderId="96" xfId="0" applyNumberFormat="1" applyFont="1" applyBorder="1" applyProtection="1">
      <protection locked="0"/>
    </xf>
    <xf numFmtId="172" fontId="96" fillId="2" borderId="109" xfId="0" applyNumberFormat="1" applyFont="1" applyFill="1" applyBorder="1" applyProtection="1">
      <protection locked="0"/>
    </xf>
    <xf numFmtId="172" fontId="96" fillId="2" borderId="97" xfId="0" applyNumberFormat="1" applyFont="1" applyFill="1" applyBorder="1" applyProtection="1">
      <protection locked="0"/>
    </xf>
    <xf numFmtId="172" fontId="90" fillId="0" borderId="115" xfId="0" applyNumberFormat="1" applyFont="1" applyBorder="1" applyProtection="1">
      <protection locked="0"/>
    </xf>
    <xf numFmtId="172" fontId="90" fillId="0" borderId="96" xfId="0" applyNumberFormat="1" applyFont="1" applyBorder="1" applyProtection="1">
      <protection locked="0"/>
    </xf>
    <xf numFmtId="174" fontId="96" fillId="2" borderId="109" xfId="0" applyNumberFormat="1" applyFont="1" applyFill="1" applyBorder="1" applyProtection="1">
      <protection locked="0"/>
    </xf>
    <xf numFmtId="195" fontId="96" fillId="2" borderId="69" xfId="0" applyNumberFormat="1" applyFont="1" applyFill="1" applyBorder="1" applyProtection="1">
      <protection locked="0"/>
    </xf>
    <xf numFmtId="172" fontId="91" fillId="0" borderId="69" xfId="0" applyNumberFormat="1" applyFont="1" applyBorder="1"/>
    <xf numFmtId="0" fontId="111" fillId="0" borderId="0" xfId="0" applyFont="1" applyAlignment="1">
      <alignment horizontal="center" vertical="center"/>
    </xf>
    <xf numFmtId="172" fontId="91" fillId="2" borderId="97" xfId="0" applyNumberFormat="1" applyFont="1" applyFill="1" applyBorder="1" applyAlignment="1">
      <alignment horizontal="center" vertical="top"/>
    </xf>
    <xf numFmtId="0" fontId="125" fillId="0" borderId="0" xfId="0" applyFont="1" applyAlignment="1">
      <alignment horizontal="center" vertical="center"/>
    </xf>
    <xf numFmtId="0" fontId="96" fillId="2" borderId="60" xfId="0" applyFont="1" applyFill="1" applyBorder="1" applyAlignment="1" applyProtection="1">
      <alignment horizontal="center" vertical="center"/>
      <protection locked="0"/>
    </xf>
    <xf numFmtId="172" fontId="96" fillId="2" borderId="62" xfId="0" applyNumberFormat="1" applyFont="1" applyFill="1" applyBorder="1" applyAlignment="1" applyProtection="1">
      <alignment horizontal="center" vertical="center"/>
      <protection locked="0"/>
    </xf>
    <xf numFmtId="172" fontId="96" fillId="2" borderId="65" xfId="0" applyNumberFormat="1" applyFont="1" applyFill="1" applyBorder="1" applyAlignment="1" applyProtection="1">
      <alignment horizontal="center" vertical="center"/>
      <protection locked="0"/>
    </xf>
    <xf numFmtId="172" fontId="96" fillId="2" borderId="66"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44" xfId="0" applyFont="1" applyBorder="1" applyAlignment="1" applyProtection="1">
      <alignment vertical="center"/>
      <protection locked="0"/>
    </xf>
    <xf numFmtId="172" fontId="96" fillId="0" borderId="44" xfId="0" applyNumberFormat="1" applyFont="1" applyBorder="1" applyProtection="1">
      <protection locked="0"/>
    </xf>
    <xf numFmtId="0" fontId="90" fillId="0" borderId="44" xfId="0" applyFont="1" applyBorder="1" applyAlignment="1" applyProtection="1">
      <alignment vertical="center"/>
      <protection locked="0"/>
    </xf>
    <xf numFmtId="174" fontId="96" fillId="2" borderId="116" xfId="0" applyNumberFormat="1" applyFont="1" applyFill="1" applyBorder="1" applyProtection="1">
      <protection locked="0"/>
    </xf>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0" borderId="117" xfId="0" applyNumberFormat="1" applyFont="1" applyBorder="1" applyProtection="1">
      <protection locked="0"/>
    </xf>
    <xf numFmtId="172" fontId="96" fillId="2" borderId="116" xfId="0" applyNumberFormat="1" applyFont="1" applyFill="1" applyBorder="1" applyProtection="1">
      <protection locked="0"/>
    </xf>
    <xf numFmtId="0" fontId="91" fillId="2" borderId="41" xfId="0" quotePrefix="1" applyFont="1" applyFill="1" applyBorder="1" applyProtection="1">
      <protection locked="0"/>
    </xf>
    <xf numFmtId="0" fontId="92" fillId="0" borderId="51" xfId="0" applyFont="1" applyBorder="1" applyAlignment="1">
      <alignment horizontal="left" wrapText="1"/>
    </xf>
    <xf numFmtId="172" fontId="92" fillId="0" borderId="51" xfId="0" quotePrefix="1" applyNumberFormat="1" applyFont="1" applyBorder="1" applyAlignment="1">
      <alignment horizontal="right"/>
    </xf>
    <xf numFmtId="0" fontId="96" fillId="2" borderId="44" xfId="0" applyFont="1" applyFill="1" applyBorder="1" applyAlignment="1" applyProtection="1">
      <alignment horizontal="center"/>
      <protection locked="0"/>
    </xf>
    <xf numFmtId="49" fontId="96" fillId="2" borderId="44" xfId="0" applyNumberFormat="1" applyFont="1" applyFill="1" applyBorder="1" applyAlignment="1" applyProtection="1">
      <alignment horizontal="center"/>
      <protection locked="0"/>
    </xf>
    <xf numFmtId="173" fontId="96" fillId="2" borderId="119" xfId="0" applyNumberFormat="1" applyFont="1" applyFill="1" applyBorder="1" applyAlignment="1" applyProtection="1">
      <alignment horizontal="center"/>
      <protection locked="0"/>
    </xf>
    <xf numFmtId="172" fontId="91" fillId="3" borderId="51" xfId="0" applyNumberFormat="1" applyFont="1" applyFill="1" applyBorder="1"/>
    <xf numFmtId="193" fontId="91" fillId="3" borderId="51" xfId="0" quotePrefix="1" applyNumberFormat="1" applyFont="1" applyFill="1" applyBorder="1" applyAlignment="1">
      <alignment horizontal="center"/>
    </xf>
    <xf numFmtId="0" fontId="125" fillId="0" borderId="111" xfId="0" applyFont="1" applyBorder="1" applyAlignment="1">
      <alignment horizontal="left" indent="1"/>
    </xf>
    <xf numFmtId="0" fontId="91" fillId="2" borderId="41" xfId="0" applyFont="1" applyFill="1" applyBorder="1" applyAlignment="1" applyProtection="1">
      <alignment wrapText="1"/>
      <protection locked="0"/>
    </xf>
    <xf numFmtId="0" fontId="96" fillId="2" borderId="116" xfId="0" applyFont="1" applyFill="1" applyBorder="1" applyAlignment="1" applyProtection="1">
      <alignment horizontal="center" vertical="center"/>
      <protection locked="0"/>
    </xf>
    <xf numFmtId="0" fontId="96" fillId="2" borderId="97" xfId="0" applyFont="1" applyFill="1" applyBorder="1" applyAlignment="1" applyProtection="1">
      <alignment horizontal="center" vertical="center"/>
      <protection locked="0"/>
    </xf>
    <xf numFmtId="0" fontId="96" fillId="2" borderId="120" xfId="0" applyFont="1" applyFill="1" applyBorder="1" applyAlignment="1" applyProtection="1">
      <alignment horizontal="center" vertical="center"/>
      <protection locked="0"/>
    </xf>
    <xf numFmtId="0" fontId="96" fillId="2" borderId="68" xfId="0" applyFont="1" applyFill="1" applyBorder="1" applyAlignment="1" applyProtection="1">
      <alignment horizontal="center" vertical="center"/>
      <protection locked="0"/>
    </xf>
    <xf numFmtId="0" fontId="96" fillId="2" borderId="11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1" fillId="0" borderId="0" xfId="0" applyFont="1" applyAlignment="1">
      <alignment horizontal="right" vertical="top"/>
    </xf>
    <xf numFmtId="172" fontId="92" fillId="0" borderId="0" xfId="0" applyNumberFormat="1" applyFont="1" applyAlignment="1">
      <alignment horizontal="right" vertical="top"/>
    </xf>
    <xf numFmtId="0" fontId="140" fillId="2" borderId="97" xfId="0" applyFont="1" applyFill="1" applyBorder="1" applyProtection="1">
      <protection locked="0"/>
    </xf>
    <xf numFmtId="174" fontId="96" fillId="4" borderId="49" xfId="11" applyNumberFormat="1" applyFont="1" applyBorder="1" applyAlignment="1" applyProtection="1">
      <alignment horizontal="right" vertical="center"/>
      <protection locked="0"/>
    </xf>
    <xf numFmtId="214" fontId="91" fillId="0" borderId="0" xfId="0" applyNumberFormat="1" applyFont="1"/>
    <xf numFmtId="172" fontId="91" fillId="2" borderId="0" xfId="0" applyNumberFormat="1" applyFont="1" applyFill="1" applyAlignment="1">
      <alignment horizontal="right" vertical="top"/>
    </xf>
    <xf numFmtId="0" fontId="105" fillId="2" borderId="41"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1" xfId="4" applyNumberFormat="1" applyFont="1" applyFill="1" applyBorder="1" applyAlignment="1" applyProtection="1">
      <alignment horizontal="center"/>
      <protection locked="0"/>
    </xf>
    <xf numFmtId="175" fontId="96" fillId="69" borderId="49" xfId="11" applyNumberFormat="1" applyFont="1" applyFill="1" applyBorder="1" applyAlignment="1" applyProtection="1">
      <alignment horizontal="right"/>
      <protection locked="0"/>
    </xf>
    <xf numFmtId="174" fontId="101" fillId="2" borderId="97" xfId="0" applyNumberFormat="1" applyFont="1" applyFill="1" applyBorder="1" applyAlignment="1" applyProtection="1">
      <alignment horizontal="right" wrapText="1"/>
      <protection locked="0"/>
    </xf>
    <xf numFmtId="174" fontId="91" fillId="0" borderId="0" xfId="0" quotePrefix="1" applyNumberFormat="1" applyFont="1" applyAlignment="1">
      <alignment horizontal="right"/>
    </xf>
    <xf numFmtId="189" fontId="91" fillId="0" borderId="0" xfId="0" applyNumberFormat="1" applyFont="1" applyAlignment="1">
      <alignment horizontal="center" vertical="top"/>
    </xf>
    <xf numFmtId="0" fontId="125" fillId="0" borderId="121" xfId="0" applyFont="1" applyBorder="1" applyAlignment="1">
      <alignment horizontal="left" indent="1"/>
    </xf>
    <xf numFmtId="0" fontId="0" fillId="62" borderId="0" xfId="0" applyFill="1"/>
    <xf numFmtId="164" fontId="96" fillId="2" borderId="49" xfId="11" applyNumberFormat="1" applyFont="1" applyFill="1" applyBorder="1" applyAlignment="1" applyProtection="1">
      <alignment horizontal="center" vertical="top"/>
      <protection locked="0"/>
    </xf>
    <xf numFmtId="189" fontId="96" fillId="4" borderId="60"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0" fillId="2" borderId="0" xfId="0" applyFont="1" applyFill="1"/>
    <xf numFmtId="0" fontId="11" fillId="2" borderId="0" xfId="0" applyFont="1" applyFill="1"/>
    <xf numFmtId="0" fontId="11" fillId="0" borderId="1" xfId="0" applyFont="1" applyBorder="1"/>
    <xf numFmtId="0" fontId="130"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0" fillId="62" borderId="0" xfId="0" applyFont="1" applyFill="1"/>
    <xf numFmtId="0" fontId="83" fillId="62" borderId="0" xfId="0" applyFont="1" applyFill="1"/>
    <xf numFmtId="0" fontId="130" fillId="63" borderId="0" xfId="0" applyFont="1" applyFill="1"/>
    <xf numFmtId="0" fontId="83" fillId="63" borderId="0" xfId="0" applyFont="1" applyFill="1"/>
    <xf numFmtId="0" fontId="0" fillId="63" borderId="0" xfId="0" applyFill="1"/>
    <xf numFmtId="0" fontId="130" fillId="65" borderId="1" xfId="0" applyFont="1" applyFill="1" applyBorder="1"/>
    <xf numFmtId="0" fontId="83" fillId="65" borderId="1" xfId="0" applyFont="1" applyFill="1" applyBorder="1"/>
    <xf numFmtId="0" fontId="0" fillId="65" borderId="1" xfId="0" applyFill="1" applyBorder="1"/>
    <xf numFmtId="0" fontId="130"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0" fillId="69" borderId="0" xfId="0" applyFont="1" applyFill="1"/>
    <xf numFmtId="0" fontId="0" fillId="69" borderId="0" xfId="0" applyFill="1"/>
    <xf numFmtId="0" fontId="0" fillId="2" borderId="0" xfId="0" applyFill="1"/>
    <xf numFmtId="0" fontId="83" fillId="62" borderId="41" xfId="0" applyFont="1" applyFill="1" applyBorder="1"/>
    <xf numFmtId="172" fontId="0" fillId="62" borderId="41" xfId="0" applyNumberFormat="1" applyFill="1" applyBorder="1"/>
    <xf numFmtId="174" fontId="83" fillId="0" borderId="41" xfId="0" applyNumberFormat="1" applyFont="1" applyBorder="1" applyAlignment="1">
      <alignment horizontal="right"/>
    </xf>
    <xf numFmtId="0" fontId="130" fillId="0" borderId="41"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49" xfId="8" applyNumberFormat="1" applyFont="1" applyFill="1" applyBorder="1" applyAlignment="1">
      <alignment horizontal="right"/>
    </xf>
    <xf numFmtId="172" fontId="107" fillId="0" borderId="49" xfId="8" applyNumberFormat="1" applyFont="1" applyBorder="1" applyAlignment="1">
      <alignment horizontal="right"/>
    </xf>
    <xf numFmtId="0" fontId="0" fillId="0" borderId="59" xfId="0" applyBorder="1"/>
    <xf numFmtId="172" fontId="0" fillId="0" borderId="51" xfId="0" applyNumberFormat="1" applyBorder="1"/>
    <xf numFmtId="0" fontId="139" fillId="67" borderId="0" xfId="0" applyFont="1" applyFill="1"/>
    <xf numFmtId="172" fontId="139" fillId="2" borderId="97" xfId="0" applyNumberFormat="1" applyFont="1" applyFill="1" applyBorder="1"/>
    <xf numFmtId="172" fontId="139" fillId="0" borderId="0" xfId="0" applyNumberFormat="1" applyFont="1"/>
    <xf numFmtId="172" fontId="139" fillId="2" borderId="49" xfId="0" applyNumberFormat="1" applyFont="1" applyFill="1" applyBorder="1"/>
    <xf numFmtId="172" fontId="139" fillId="2" borderId="96" xfId="0" applyNumberFormat="1" applyFont="1" applyFill="1" applyBorder="1"/>
    <xf numFmtId="172" fontId="139" fillId="67" borderId="51" xfId="0" applyNumberFormat="1" applyFont="1" applyFill="1" applyBorder="1"/>
    <xf numFmtId="172" fontId="139" fillId="0" borderId="51" xfId="0" applyNumberFormat="1" applyFont="1" applyBorder="1"/>
    <xf numFmtId="172" fontId="107" fillId="2" borderId="96" xfId="8" applyNumberFormat="1" applyFont="1" applyFill="1" applyBorder="1" applyAlignment="1">
      <alignment horizontal="right"/>
    </xf>
    <xf numFmtId="172" fontId="107" fillId="0" borderId="96" xfId="8" applyNumberFormat="1" applyFont="1" applyBorder="1" applyAlignment="1">
      <alignment horizontal="right"/>
    </xf>
    <xf numFmtId="0" fontId="11" fillId="0" borderId="51" xfId="0" applyFont="1" applyBorder="1"/>
    <xf numFmtId="0" fontId="11" fillId="0" borderId="59" xfId="0" applyFont="1" applyBorder="1" applyAlignment="1">
      <alignment horizontal="right"/>
    </xf>
    <xf numFmtId="172" fontId="139" fillId="67" borderId="97" xfId="0" applyNumberFormat="1" applyFont="1" applyFill="1" applyBorder="1"/>
    <xf numFmtId="172" fontId="139" fillId="67" borderId="49" xfId="0" applyNumberFormat="1" applyFont="1" applyFill="1" applyBorder="1"/>
    <xf numFmtId="172" fontId="139" fillId="67" borderId="96" xfId="0" applyNumberFormat="1" applyFont="1" applyFill="1" applyBorder="1"/>
    <xf numFmtId="172" fontId="107" fillId="0" borderId="51" xfId="8" applyNumberFormat="1" applyFont="1" applyBorder="1" applyAlignment="1">
      <alignment horizontal="right"/>
    </xf>
    <xf numFmtId="0" fontId="139" fillId="0" borderId="97" xfId="0" applyFont="1" applyBorder="1" applyAlignment="1">
      <alignment horizontal="right"/>
    </xf>
    <xf numFmtId="43" fontId="107" fillId="0" borderId="1" xfId="4" applyFont="1" applyBorder="1" applyProtection="1"/>
    <xf numFmtId="0" fontId="83" fillId="62" borderId="96" xfId="0" applyFont="1" applyFill="1" applyBorder="1"/>
    <xf numFmtId="0" fontId="83" fillId="62" borderId="60" xfId="0" applyFont="1" applyFill="1" applyBorder="1"/>
    <xf numFmtId="0" fontId="0" fillId="0" borderId="51"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1" borderId="1" xfId="0" applyFont="1" applyFill="1" applyBorder="1"/>
    <xf numFmtId="0" fontId="0" fillId="71" borderId="1" xfId="0" applyFill="1" applyBorder="1"/>
    <xf numFmtId="172" fontId="139" fillId="0" borderId="97" xfId="0" applyNumberFormat="1" applyFont="1" applyBorder="1"/>
    <xf numFmtId="172" fontId="139" fillId="0" borderId="49" xfId="0" applyNumberFormat="1" applyFont="1" applyBorder="1"/>
    <xf numFmtId="172" fontId="139" fillId="0" borderId="96" xfId="0" applyNumberFormat="1" applyFont="1" applyBorder="1"/>
    <xf numFmtId="172" fontId="139" fillId="0" borderId="97" xfId="0" applyNumberFormat="1" applyFont="1" applyBorder="1" applyAlignment="1">
      <alignment horizontal="right"/>
    </xf>
    <xf numFmtId="174" fontId="139" fillId="0" borderId="97" xfId="0" applyNumberFormat="1" applyFont="1" applyBorder="1" applyAlignment="1">
      <alignment horizontal="right"/>
    </xf>
    <xf numFmtId="174" fontId="107" fillId="0" borderId="51" xfId="8" applyNumberFormat="1" applyFont="1" applyBorder="1" applyAlignment="1">
      <alignment horizontal="right"/>
    </xf>
    <xf numFmtId="174" fontId="107" fillId="0" borderId="49" xfId="8" applyNumberFormat="1" applyFont="1" applyBorder="1" applyAlignment="1">
      <alignment horizontal="right"/>
    </xf>
    <xf numFmtId="174" fontId="104" fillId="0" borderId="51" xfId="8" applyNumberFormat="1" applyFont="1" applyBorder="1" applyAlignment="1">
      <alignment horizontal="right"/>
    </xf>
    <xf numFmtId="174" fontId="139" fillId="0" borderId="0" xfId="0" applyNumberFormat="1" applyFont="1"/>
    <xf numFmtId="174" fontId="139" fillId="0" borderId="51" xfId="0" applyNumberFormat="1" applyFont="1" applyBorder="1"/>
    <xf numFmtId="174" fontId="139" fillId="67" borderId="51" xfId="0" applyNumberFormat="1" applyFont="1" applyFill="1" applyBorder="1"/>
    <xf numFmtId="174" fontId="142" fillId="0" borderId="51" xfId="0" applyNumberFormat="1" applyFont="1" applyBorder="1"/>
    <xf numFmtId="175" fontId="83" fillId="62" borderId="41"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59" xfId="0" applyNumberFormat="1" applyBorder="1"/>
    <xf numFmtId="0" fontId="143" fillId="2" borderId="0" xfId="0" applyFont="1" applyFill="1"/>
    <xf numFmtId="0" fontId="143" fillId="0" borderId="0" xfId="0" applyFont="1"/>
    <xf numFmtId="172" fontId="144" fillId="2" borderId="49" xfId="8" applyNumberFormat="1" applyFont="1" applyFill="1" applyBorder="1" applyAlignment="1">
      <alignment horizontal="right"/>
    </xf>
    <xf numFmtId="172" fontId="144" fillId="2" borderId="96" xfId="8" applyNumberFormat="1" applyFont="1" applyFill="1" applyBorder="1" applyAlignment="1">
      <alignment horizontal="right"/>
    </xf>
    <xf numFmtId="0" fontId="11" fillId="59" borderId="0" xfId="0" applyFont="1" applyFill="1"/>
    <xf numFmtId="175" fontId="11" fillId="0" borderId="59" xfId="0" applyNumberFormat="1" applyFont="1" applyBorder="1"/>
    <xf numFmtId="0" fontId="11" fillId="67" borderId="1" xfId="0" applyFont="1" applyFill="1" applyBorder="1"/>
    <xf numFmtId="0" fontId="0" fillId="67" borderId="1" xfId="0" applyFill="1" applyBorder="1"/>
    <xf numFmtId="174" fontId="139" fillId="0" borderId="97" xfId="0" applyNumberFormat="1" applyFont="1" applyBorder="1"/>
    <xf numFmtId="174" fontId="139" fillId="67" borderId="97" xfId="0" applyNumberFormat="1" applyFont="1" applyFill="1" applyBorder="1"/>
    <xf numFmtId="0" fontId="118" fillId="0" borderId="0" xfId="0" applyFont="1" applyAlignment="1">
      <alignment horizontal="left"/>
    </xf>
    <xf numFmtId="0" fontId="16" fillId="0" borderId="0" xfId="0" applyFont="1" applyAlignment="1">
      <alignment horizontal="center"/>
    </xf>
    <xf numFmtId="0" fontId="118" fillId="0" borderId="0" xfId="0" applyFont="1" applyAlignment="1">
      <alignment horizontal="center"/>
    </xf>
    <xf numFmtId="0" fontId="118" fillId="0" borderId="0" xfId="0" applyFont="1"/>
    <xf numFmtId="0" fontId="16" fillId="0" borderId="1" xfId="0" applyFont="1" applyBorder="1" applyAlignment="1">
      <alignment horizontal="center"/>
    </xf>
    <xf numFmtId="0" fontId="4" fillId="0" borderId="0" xfId="0" applyFont="1" applyAlignment="1">
      <alignment horizontal="center"/>
    </xf>
    <xf numFmtId="0" fontId="146" fillId="2" borderId="34" xfId="0" applyFont="1" applyFill="1" applyBorder="1" applyAlignment="1">
      <alignment horizontal="center"/>
    </xf>
    <xf numFmtId="0" fontId="147" fillId="2" borderId="34" xfId="0" applyFont="1" applyFill="1" applyBorder="1" applyAlignment="1">
      <alignment horizontal="center" vertical="center"/>
    </xf>
    <xf numFmtId="0" fontId="117" fillId="0" borderId="0" xfId="0" applyFont="1" applyAlignment="1">
      <alignment horizontal="center" vertical="center"/>
    </xf>
    <xf numFmtId="0" fontId="118" fillId="0" borderId="1" xfId="0" applyFont="1" applyBorder="1" applyAlignment="1">
      <alignment horizontal="center"/>
    </xf>
    <xf numFmtId="0" fontId="118" fillId="0" borderId="1" xfId="0" applyFont="1" applyBorder="1"/>
    <xf numFmtId="0" fontId="117" fillId="0" borderId="1" xfId="0" applyFont="1" applyBorder="1" applyAlignment="1">
      <alignment horizontal="center" vertical="center"/>
    </xf>
    <xf numFmtId="172" fontId="16" fillId="62" borderId="34" xfId="0" applyNumberFormat="1" applyFont="1" applyFill="1" applyBorder="1" applyAlignment="1">
      <alignment horizontal="center"/>
    </xf>
    <xf numFmtId="175" fontId="118"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49" xfId="0" applyFont="1" applyFill="1" applyBorder="1" applyAlignment="1">
      <alignment horizontal="center"/>
    </xf>
    <xf numFmtId="0" fontId="14" fillId="0" borderId="0" xfId="0" applyFont="1" applyAlignment="1">
      <alignment horizontal="center"/>
    </xf>
    <xf numFmtId="172" fontId="148" fillId="0" borderId="0" xfId="0" applyNumberFormat="1" applyFont="1" applyAlignment="1">
      <alignment horizontal="center"/>
    </xf>
    <xf numFmtId="174" fontId="11" fillId="0" borderId="122" xfId="0" applyNumberFormat="1" applyFont="1" applyBorder="1"/>
    <xf numFmtId="0" fontId="0" fillId="2" borderId="0" xfId="0" applyFill="1" applyAlignment="1">
      <alignment horizontal="center"/>
    </xf>
    <xf numFmtId="0" fontId="0" fillId="2" borderId="51" xfId="0" applyFill="1" applyBorder="1" applyAlignment="1">
      <alignment horizontal="center"/>
    </xf>
    <xf numFmtId="172" fontId="144" fillId="0" borderId="49" xfId="8" applyNumberFormat="1" applyFont="1" applyBorder="1" applyAlignment="1">
      <alignment horizontal="right"/>
    </xf>
    <xf numFmtId="172" fontId="144" fillId="0" borderId="96" xfId="8" applyNumberFormat="1" applyFont="1" applyBorder="1" applyAlignment="1">
      <alignment horizontal="right"/>
    </xf>
    <xf numFmtId="172" fontId="144" fillId="0" borderId="108" xfId="8" applyNumberFormat="1" applyFont="1" applyBorder="1" applyAlignment="1">
      <alignment horizontal="right"/>
    </xf>
    <xf numFmtId="172" fontId="144" fillId="0" borderId="97" xfId="8" applyNumberFormat="1" applyFont="1" applyBorder="1" applyAlignment="1">
      <alignment horizontal="right"/>
    </xf>
    <xf numFmtId="172" fontId="144" fillId="0" borderId="103" xfId="8" applyNumberFormat="1" applyFont="1" applyBorder="1" applyAlignment="1">
      <alignment horizontal="right"/>
    </xf>
    <xf numFmtId="172" fontId="144" fillId="0" borderId="123" xfId="8" applyNumberFormat="1" applyFont="1" applyBorder="1" applyAlignment="1">
      <alignment horizontal="right"/>
    </xf>
    <xf numFmtId="172" fontId="144" fillId="0" borderId="124" xfId="8" applyNumberFormat="1" applyFont="1" applyBorder="1" applyAlignment="1">
      <alignment horizontal="right"/>
    </xf>
    <xf numFmtId="172" fontId="144" fillId="0" borderId="125" xfId="8" applyNumberFormat="1" applyFont="1" applyBorder="1" applyAlignment="1">
      <alignment horizontal="right"/>
    </xf>
    <xf numFmtId="172" fontId="144" fillId="0" borderId="126" xfId="8" applyNumberFormat="1" applyFont="1" applyBorder="1" applyAlignment="1">
      <alignment horizontal="right"/>
    </xf>
    <xf numFmtId="172" fontId="107" fillId="0" borderId="68" xfId="8" applyNumberFormat="1" applyFont="1" applyBorder="1" applyAlignment="1">
      <alignment horizontal="right"/>
    </xf>
    <xf numFmtId="172" fontId="107" fillId="0" borderId="118" xfId="8" applyNumberFormat="1" applyFont="1" applyBorder="1" applyAlignment="1">
      <alignment horizontal="right"/>
    </xf>
    <xf numFmtId="172" fontId="144" fillId="0" borderId="128" xfId="8" applyNumberFormat="1" applyFont="1" applyBorder="1" applyAlignment="1">
      <alignment horizontal="right"/>
    </xf>
    <xf numFmtId="172" fontId="107" fillId="0" borderId="127" xfId="8" applyNumberFormat="1" applyFont="1" applyBorder="1" applyAlignment="1">
      <alignment horizontal="right"/>
    </xf>
    <xf numFmtId="0" fontId="11" fillId="0" borderId="0" xfId="0" applyFont="1" applyAlignment="1">
      <alignment horizontal="center"/>
    </xf>
    <xf numFmtId="0" fontId="149" fillId="0" borderId="0" xfId="0" applyFont="1" applyAlignment="1">
      <alignment horizontal="center"/>
    </xf>
    <xf numFmtId="0" fontId="0" fillId="2" borderId="41" xfId="0" applyFill="1" applyBorder="1" applyAlignment="1">
      <alignment horizontal="center"/>
    </xf>
    <xf numFmtId="172" fontId="0" fillId="0" borderId="41"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0" fillId="0" borderId="0" xfId="0" applyFont="1"/>
    <xf numFmtId="175" fontId="150" fillId="0" borderId="0" xfId="0" applyNumberFormat="1" applyFont="1" applyAlignment="1">
      <alignment horizontal="center"/>
    </xf>
    <xf numFmtId="175" fontId="118" fillId="0" borderId="51" xfId="0" applyNumberFormat="1" applyFont="1" applyBorder="1" applyAlignment="1">
      <alignment horizontal="center"/>
    </xf>
    <xf numFmtId="0" fontId="151" fillId="61" borderId="0" xfId="0" applyFont="1" applyFill="1" applyAlignment="1">
      <alignment horizontal="center"/>
    </xf>
    <xf numFmtId="0" fontId="151" fillId="60" borderId="0" xfId="0" applyFont="1" applyFill="1" applyAlignment="1">
      <alignment horizontal="center"/>
    </xf>
    <xf numFmtId="174" fontId="0" fillId="67" borderId="0" xfId="0" applyNumberFormat="1" applyFill="1"/>
    <xf numFmtId="172" fontId="0" fillId="67" borderId="41" xfId="0" applyNumberFormat="1" applyFill="1" applyBorder="1"/>
    <xf numFmtId="0" fontId="152" fillId="0" borderId="0" xfId="0" applyFont="1"/>
    <xf numFmtId="172" fontId="153" fillId="0" borderId="97" xfId="8" applyNumberFormat="1" applyFont="1" applyBorder="1" applyAlignment="1">
      <alignment horizontal="right"/>
    </xf>
    <xf numFmtId="172" fontId="153" fillId="0" borderId="123" xfId="8" applyNumberFormat="1" applyFont="1" applyBorder="1" applyAlignment="1">
      <alignment horizontal="right"/>
    </xf>
    <xf numFmtId="172" fontId="153" fillId="0" borderId="49" xfId="8" applyNumberFormat="1" applyFont="1" applyBorder="1" applyAlignment="1">
      <alignment horizontal="right"/>
    </xf>
    <xf numFmtId="172" fontId="153" fillId="0" borderId="124" xfId="8" applyNumberFormat="1" applyFont="1" applyBorder="1" applyAlignment="1">
      <alignment horizontal="right"/>
    </xf>
    <xf numFmtId="172" fontId="153" fillId="0" borderId="96" xfId="8" applyNumberFormat="1" applyFont="1" applyBorder="1" applyAlignment="1">
      <alignment horizontal="right"/>
    </xf>
    <xf numFmtId="172" fontId="153" fillId="0" borderId="125" xfId="8" applyNumberFormat="1" applyFont="1" applyBorder="1" applyAlignment="1">
      <alignment horizontal="right"/>
    </xf>
    <xf numFmtId="172" fontId="153" fillId="0" borderId="103" xfId="8" applyNumberFormat="1" applyFont="1" applyBorder="1" applyAlignment="1">
      <alignment horizontal="right"/>
    </xf>
    <xf numFmtId="172" fontId="153" fillId="0" borderId="126" xfId="8" applyNumberFormat="1" applyFont="1" applyBorder="1" applyAlignment="1">
      <alignment horizontal="right"/>
    </xf>
    <xf numFmtId="172" fontId="107" fillId="0" borderId="120" xfId="8" applyNumberFormat="1" applyFont="1" applyBorder="1" applyAlignment="1">
      <alignment horizontal="right"/>
    </xf>
    <xf numFmtId="175" fontId="139" fillId="0" borderId="0" xfId="0" applyNumberFormat="1" applyFont="1" applyAlignment="1">
      <alignment horizontal="center"/>
    </xf>
    <xf numFmtId="0" fontId="139" fillId="0" borderId="0" xfId="0" applyFont="1"/>
    <xf numFmtId="174" fontId="153" fillId="0" borderId="0" xfId="0" applyNumberFormat="1" applyFont="1" applyAlignment="1">
      <alignment horizontal="right"/>
    </xf>
    <xf numFmtId="175" fontId="153" fillId="0" borderId="0" xfId="0" applyNumberFormat="1" applyFont="1" applyAlignment="1">
      <alignment horizontal="right"/>
    </xf>
    <xf numFmtId="172" fontId="83" fillId="59" borderId="60" xfId="0" applyNumberFormat="1" applyFont="1" applyFill="1" applyBorder="1"/>
    <xf numFmtId="172" fontId="83" fillId="59" borderId="96"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172" fontId="154" fillId="2" borderId="49" xfId="9" applyNumberFormat="1" applyFont="1" applyFill="1" applyBorder="1" applyAlignment="1" applyProtection="1">
      <alignment horizontal="right" vertical="top"/>
      <protection locked="0"/>
    </xf>
    <xf numFmtId="172" fontId="154" fillId="2" borderId="96" xfId="9" applyNumberFormat="1" applyFont="1" applyFill="1" applyBorder="1" applyAlignment="1" applyProtection="1">
      <alignment horizontal="right" vertical="top"/>
      <protection locked="0"/>
    </xf>
    <xf numFmtId="0" fontId="0" fillId="63" borderId="41" xfId="0" applyFill="1" applyBorder="1"/>
    <xf numFmtId="0" fontId="0" fillId="63" borderId="51" xfId="0" applyFill="1" applyBorder="1"/>
    <xf numFmtId="174" fontId="0" fillId="63" borderId="0" xfId="0" applyNumberFormat="1" applyFill="1"/>
    <xf numFmtId="172" fontId="0" fillId="63" borderId="41" xfId="0" applyNumberFormat="1" applyFill="1" applyBorder="1"/>
    <xf numFmtId="174" fontId="11" fillId="63" borderId="122" xfId="0" applyNumberFormat="1" applyFont="1" applyFill="1" applyBorder="1"/>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45" fillId="2" borderId="49"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1" xfId="9" applyNumberFormat="1" applyFont="1" applyFill="1" applyBorder="1" applyAlignment="1" applyProtection="1">
      <alignment horizontal="center" vertical="top"/>
    </xf>
    <xf numFmtId="174" fontId="91" fillId="0" borderId="51"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1" xfId="0" applyNumberFormat="1" applyFont="1" applyBorder="1"/>
    <xf numFmtId="164" fontId="105" fillId="0" borderId="0" xfId="0" applyNumberFormat="1" applyFont="1" applyAlignment="1">
      <alignment horizontal="center" vertical="top"/>
    </xf>
    <xf numFmtId="194" fontId="92" fillId="63" borderId="57" xfId="0" applyNumberFormat="1" applyFont="1" applyFill="1" applyBorder="1" applyAlignment="1">
      <alignment horizontal="right"/>
    </xf>
    <xf numFmtId="174" fontId="92" fillId="0" borderId="59" xfId="0" applyNumberFormat="1" applyFont="1" applyBorder="1" applyAlignment="1">
      <alignment horizontal="right" vertical="top"/>
    </xf>
    <xf numFmtId="5" fontId="92" fillId="0" borderId="59" xfId="0" applyNumberFormat="1" applyFont="1" applyBorder="1" applyAlignment="1">
      <alignment horizontal="center" vertical="top"/>
    </xf>
    <xf numFmtId="1" fontId="91" fillId="0" borderId="59" xfId="0" applyNumberFormat="1" applyFont="1" applyBorder="1" applyAlignment="1">
      <alignment horizontal="left"/>
    </xf>
    <xf numFmtId="172" fontId="91" fillId="0" borderId="59" xfId="0" applyNumberFormat="1" applyFont="1" applyBorder="1" applyAlignment="1">
      <alignment horizontal="center"/>
    </xf>
    <xf numFmtId="177" fontId="91" fillId="0" borderId="51" xfId="0" applyNumberFormat="1" applyFont="1" applyBorder="1" applyAlignment="1">
      <alignment horizontal="left"/>
    </xf>
    <xf numFmtId="177" fontId="91" fillId="0" borderId="51" xfId="0" applyNumberFormat="1" applyFont="1" applyBorder="1" applyAlignment="1">
      <alignment horizontal="right" vertical="top"/>
    </xf>
    <xf numFmtId="174" fontId="91" fillId="0" borderId="51" xfId="0" applyNumberFormat="1" applyFont="1" applyBorder="1" applyAlignment="1">
      <alignment horizontal="right" vertical="top"/>
    </xf>
    <xf numFmtId="175" fontId="92" fillId="0" borderId="59" xfId="0" applyNumberFormat="1" applyFont="1" applyBorder="1" applyAlignment="1">
      <alignment horizontal="right" vertical="top"/>
    </xf>
    <xf numFmtId="172" fontId="92" fillId="3" borderId="51" xfId="0" applyNumberFormat="1" applyFont="1" applyFill="1" applyBorder="1" applyAlignment="1">
      <alignment horizontal="right"/>
    </xf>
    <xf numFmtId="172" fontId="92" fillId="0" borderId="51" xfId="0" applyNumberFormat="1" applyFont="1" applyBorder="1" applyAlignment="1">
      <alignment horizontal="center"/>
    </xf>
    <xf numFmtId="0" fontId="107" fillId="0" borderId="51" xfId="0" applyFont="1" applyBorder="1" applyAlignment="1">
      <alignment horizontal="right" vertical="top"/>
    </xf>
    <xf numFmtId="0" fontId="104" fillId="0" borderId="51" xfId="0" applyFont="1" applyBorder="1" applyAlignment="1">
      <alignment horizontal="right" vertical="top"/>
    </xf>
    <xf numFmtId="0" fontId="91" fillId="69" borderId="51" xfId="0" applyFont="1" applyFill="1" applyBorder="1"/>
    <xf numFmtId="200" fontId="91" fillId="0" borderId="57" xfId="0" applyNumberFormat="1" applyFont="1" applyBorder="1" applyAlignment="1">
      <alignment horizontal="right"/>
    </xf>
    <xf numFmtId="172" fontId="92" fillId="5" borderId="51" xfId="0" applyNumberFormat="1" applyFont="1" applyFill="1" applyBorder="1" applyAlignment="1">
      <alignment horizontal="center"/>
    </xf>
    <xf numFmtId="164" fontId="91" fillId="3" borderId="59" xfId="0" applyNumberFormat="1" applyFont="1" applyFill="1" applyBorder="1" applyAlignment="1">
      <alignment horizontal="center" vertical="top"/>
    </xf>
    <xf numFmtId="0" fontId="92" fillId="3" borderId="51" xfId="0" applyFont="1" applyFill="1" applyBorder="1" applyAlignment="1">
      <alignment horizontal="center"/>
    </xf>
    <xf numFmtId="0" fontId="89" fillId="0" borderId="51" xfId="0" applyFont="1" applyBorder="1"/>
    <xf numFmtId="183" fontId="91" fillId="0" borderId="51" xfId="13118" applyNumberFormat="1" applyFont="1" applyFill="1" applyBorder="1" applyProtection="1"/>
    <xf numFmtId="174" fontId="92" fillId="0" borderId="51" xfId="13118" applyNumberFormat="1" applyFont="1" applyFill="1" applyBorder="1" applyProtection="1"/>
    <xf numFmtId="0" fontId="104" fillId="0" borderId="34" xfId="0" applyFont="1" applyBorder="1" applyAlignment="1">
      <alignment horizontal="center" vertical="top"/>
    </xf>
    <xf numFmtId="0" fontId="107" fillId="0" borderId="34" xfId="0" applyFont="1" applyBorder="1" applyAlignment="1">
      <alignment horizontal="center" vertical="top"/>
    </xf>
    <xf numFmtId="172" fontId="107" fillId="0" borderId="51" xfId="5" applyNumberFormat="1" applyFont="1" applyBorder="1" applyAlignment="1" applyProtection="1">
      <alignment horizontal="center"/>
    </xf>
    <xf numFmtId="43" fontId="83" fillId="0" borderId="51" xfId="4" applyFont="1" applyBorder="1" applyProtection="1"/>
    <xf numFmtId="0" fontId="83" fillId="0" borderId="51"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1"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43" fillId="2" borderId="0" xfId="0" applyNumberFormat="1" applyFont="1" applyFill="1"/>
    <xf numFmtId="38" fontId="95" fillId="0" borderId="0" xfId="8" applyNumberFormat="1" applyFont="1"/>
    <xf numFmtId="174" fontId="157"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1" xfId="0" applyNumberFormat="1" applyFont="1" applyBorder="1" applyAlignment="1">
      <alignment horizontal="right"/>
    </xf>
    <xf numFmtId="174" fontId="159" fillId="0" borderId="51" xfId="0" applyNumberFormat="1" applyFont="1" applyBorder="1" applyAlignment="1">
      <alignment horizontal="right"/>
    </xf>
    <xf numFmtId="174" fontId="160" fillId="0" borderId="51" xfId="0" applyNumberFormat="1" applyFont="1" applyBorder="1"/>
    <xf numFmtId="174" fontId="92" fillId="0" borderId="59" xfId="0" applyNumberFormat="1" applyFont="1" applyBorder="1"/>
    <xf numFmtId="172" fontId="113" fillId="2" borderId="96"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11" fillId="0" borderId="1" xfId="0" applyFont="1" applyBorder="1" applyAlignment="1">
      <alignment horizontal="right" wrapText="1"/>
    </xf>
    <xf numFmtId="0" fontId="83" fillId="0" borderId="41" xfId="0" applyFont="1" applyBorder="1"/>
    <xf numFmtId="0" fontId="83" fillId="0" borderId="69" xfId="0" applyFont="1" applyBorder="1"/>
    <xf numFmtId="172" fontId="0" fillId="0" borderId="69" xfId="0" applyNumberFormat="1" applyBorder="1"/>
    <xf numFmtId="172" fontId="0" fillId="62" borderId="69" xfId="0" applyNumberFormat="1" applyFill="1" applyBorder="1"/>
    <xf numFmtId="189" fontId="0" fillId="0" borderId="1" xfId="0" applyNumberFormat="1" applyBorder="1"/>
    <xf numFmtId="0" fontId="96" fillId="2" borderId="42" xfId="0" quotePrefix="1" applyFont="1" applyFill="1" applyBorder="1" applyProtection="1">
      <protection locked="0"/>
    </xf>
    <xf numFmtId="0" fontId="96" fillId="2" borderId="101" xfId="0" applyFont="1" applyFill="1" applyBorder="1" applyProtection="1">
      <protection locked="0"/>
    </xf>
    <xf numFmtId="0" fontId="96" fillId="2" borderId="42"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49" xfId="0" applyFont="1" applyBorder="1" applyAlignment="1">
      <alignment horizontal="center"/>
    </xf>
    <xf numFmtId="0" fontId="115" fillId="2" borderId="49" xfId="0" applyFont="1" applyFill="1" applyBorder="1" applyAlignment="1" applyProtection="1">
      <alignment horizontal="center"/>
      <protection locked="0"/>
    </xf>
    <xf numFmtId="0" fontId="96" fillId="2" borderId="131" xfId="0" applyFont="1" applyFill="1" applyBorder="1" applyProtection="1">
      <protection locked="0"/>
    </xf>
    <xf numFmtId="172" fontId="96" fillId="2" borderId="43" xfId="13118" applyNumberFormat="1" applyFont="1" applyFill="1" applyBorder="1" applyProtection="1">
      <protection locked="0"/>
    </xf>
    <xf numFmtId="174" fontId="96" fillId="2" borderId="42" xfId="13118" applyNumberFormat="1" applyFont="1" applyFill="1" applyBorder="1" applyProtection="1">
      <protection locked="0"/>
    </xf>
    <xf numFmtId="0" fontId="158" fillId="0" borderId="0" xfId="0" applyFont="1"/>
    <xf numFmtId="172" fontId="104" fillId="0" borderId="0" xfId="0" applyNumberFormat="1" applyFont="1" applyAlignment="1">
      <alignment horizontal="right"/>
    </xf>
    <xf numFmtId="174" fontId="159" fillId="0" borderId="0" xfId="0" applyNumberFormat="1" applyFont="1" applyAlignment="1">
      <alignment horizontal="right"/>
    </xf>
    <xf numFmtId="174" fontId="160" fillId="0" borderId="0" xfId="0" applyNumberFormat="1" applyFont="1"/>
    <xf numFmtId="172" fontId="91" fillId="0" borderId="0" xfId="0" quotePrefix="1" applyNumberFormat="1" applyFont="1" applyAlignment="1">
      <alignment horizontal="right" vertical="top"/>
    </xf>
    <xf numFmtId="0" fontId="91" fillId="3" borderId="44" xfId="0" applyFont="1" applyFill="1" applyBorder="1"/>
    <xf numFmtId="172" fontId="91" fillId="0" borderId="97" xfId="9" applyNumberFormat="1" applyFont="1" applyFill="1" applyBorder="1" applyAlignment="1" applyProtection="1">
      <alignment horizontal="center" vertical="top"/>
    </xf>
    <xf numFmtId="172" fontId="91" fillId="0" borderId="97" xfId="9" applyNumberFormat="1" applyFont="1" applyFill="1" applyBorder="1" applyAlignment="1" applyProtection="1">
      <alignment horizontal="right" vertical="top"/>
    </xf>
    <xf numFmtId="0" fontId="92" fillId="0" borderId="0" xfId="0" applyFont="1" applyProtection="1">
      <protection locked="0"/>
    </xf>
    <xf numFmtId="195" fontId="162" fillId="2" borderId="41" xfId="0" applyNumberFormat="1" applyFont="1" applyFill="1" applyBorder="1" applyProtection="1">
      <protection locked="0"/>
    </xf>
    <xf numFmtId="0" fontId="105" fillId="0" borderId="0" xfId="0" applyFont="1" applyAlignment="1">
      <alignment horizontal="left"/>
    </xf>
    <xf numFmtId="0" fontId="105" fillId="72" borderId="0" xfId="0" applyFont="1" applyFill="1" applyAlignment="1">
      <alignment horizontal="left"/>
    </xf>
    <xf numFmtId="174" fontId="91" fillId="72" borderId="0" xfId="0" applyNumberFormat="1" applyFont="1" applyFill="1" applyAlignment="1">
      <alignment horizontal="center"/>
    </xf>
    <xf numFmtId="174" fontId="92" fillId="72" borderId="0" xfId="0" applyNumberFormat="1" applyFont="1" applyFill="1" applyAlignment="1">
      <alignment horizontal="center"/>
    </xf>
    <xf numFmtId="0" fontId="132"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1" xfId="0" applyNumberFormat="1" applyFont="1" applyBorder="1" applyAlignment="1" applyProtection="1">
      <alignment horizontal="right"/>
      <protection locked="0"/>
    </xf>
    <xf numFmtId="174" fontId="96" fillId="2" borderId="51" xfId="0" applyNumberFormat="1" applyFont="1" applyFill="1" applyBorder="1" applyAlignment="1" applyProtection="1">
      <alignment horizontal="right"/>
      <protection locked="0"/>
    </xf>
    <xf numFmtId="174" fontId="15" fillId="0" borderId="51"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3" xfId="0" applyNumberFormat="1" applyFont="1" applyFill="1" applyBorder="1" applyAlignment="1">
      <alignment horizontal="right"/>
    </xf>
    <xf numFmtId="0" fontId="164" fillId="0" borderId="132" xfId="0" applyFont="1" applyBorder="1" applyAlignment="1">
      <alignment vertical="center" wrapText="1"/>
    </xf>
    <xf numFmtId="0" fontId="164" fillId="0" borderId="0" xfId="0" applyFont="1" applyAlignment="1">
      <alignment vertical="center" wrapText="1"/>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65"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1" xfId="0" applyFont="1" applyBorder="1"/>
    <xf numFmtId="202" fontId="107" fillId="0" borderId="51" xfId="0" applyNumberFormat="1" applyFont="1" applyBorder="1"/>
    <xf numFmtId="202" fontId="104" fillId="0" borderId="51" xfId="0" applyNumberFormat="1" applyFont="1" applyBorder="1"/>
    <xf numFmtId="173" fontId="104" fillId="0" borderId="51" xfId="0" applyNumberFormat="1" applyFont="1" applyBorder="1" applyAlignment="1">
      <alignment horizontal="right" vertical="top"/>
    </xf>
    <xf numFmtId="0" fontId="102" fillId="0" borderId="1" xfId="0" applyFont="1" applyBorder="1"/>
    <xf numFmtId="218" fontId="101" fillId="4" borderId="49"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68" fillId="0" borderId="0" xfId="8" applyNumberFormat="1" applyFont="1"/>
    <xf numFmtId="174" fontId="168" fillId="0" borderId="0" xfId="10" applyNumberFormat="1" applyFont="1" applyProtection="1"/>
    <xf numFmtId="174" fontId="104" fillId="0" borderId="51" xfId="0" applyNumberFormat="1" applyFont="1" applyBorder="1"/>
    <xf numFmtId="174" fontId="107" fillId="0" borderId="51" xfId="0" applyNumberFormat="1" applyFont="1" applyBorder="1"/>
    <xf numFmtId="182" fontId="92" fillId="0" borderId="51" xfId="0" applyNumberFormat="1" applyFont="1" applyBorder="1" applyAlignment="1">
      <alignment horizontal="center" vertical="top"/>
    </xf>
    <xf numFmtId="174" fontId="90" fillId="2" borderId="49" xfId="11" applyNumberFormat="1" applyFont="1" applyFill="1" applyBorder="1" applyAlignment="1" applyProtection="1">
      <alignment horizontal="right" vertical="center"/>
      <protection locked="0"/>
    </xf>
    <xf numFmtId="172" fontId="90" fillId="2" borderId="49" xfId="11" applyNumberFormat="1" applyFont="1" applyFill="1" applyBorder="1" applyAlignment="1" applyProtection="1">
      <alignment horizontal="right" vertical="top"/>
      <protection locked="0"/>
    </xf>
    <xf numFmtId="172" fontId="162" fillId="2" borderId="49"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1" xfId="33110" applyNumberFormat="1" applyFont="1" applyFill="1" applyBorder="1"/>
    <xf numFmtId="183" fontId="92" fillId="0" borderId="51" xfId="4" applyNumberFormat="1" applyFont="1" applyFill="1" applyBorder="1"/>
    <xf numFmtId="183" fontId="92" fillId="0" borderId="51" xfId="4" applyNumberFormat="1" applyFont="1" applyFill="1" applyBorder="1" applyAlignment="1">
      <alignment horizontal="center"/>
    </xf>
    <xf numFmtId="172" fontId="101" fillId="2" borderId="49" xfId="9" applyNumberFormat="1" applyFont="1" applyFill="1" applyBorder="1" applyAlignment="1" applyProtection="1">
      <alignment horizontal="right" vertical="top"/>
      <protection locked="0"/>
    </xf>
    <xf numFmtId="185" fontId="94" fillId="63" borderId="58" xfId="6628" applyNumberFormat="1" applyFont="1" applyFill="1" applyBorder="1" applyAlignment="1">
      <alignment horizontal="center"/>
    </xf>
    <xf numFmtId="185" fontId="94" fillId="63" borderId="12" xfId="6628" applyNumberFormat="1" applyFont="1" applyFill="1" applyBorder="1" applyAlignment="1">
      <alignment horizontal="center"/>
    </xf>
    <xf numFmtId="172" fontId="122" fillId="0" borderId="0" xfId="6628" applyNumberFormat="1" applyFont="1" applyAlignment="1">
      <alignment horizontal="center"/>
    </xf>
    <xf numFmtId="174" fontId="162" fillId="2" borderId="49"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0" xfId="0" applyNumberFormat="1" applyFont="1" applyFill="1" applyBorder="1" applyAlignment="1" applyProtection="1">
      <alignment horizontal="center"/>
      <protection locked="0"/>
    </xf>
    <xf numFmtId="0" fontId="133" fillId="0" borderId="0" xfId="0" applyFont="1" applyAlignment="1">
      <alignment horizontal="center" vertical="center"/>
    </xf>
    <xf numFmtId="0" fontId="91" fillId="61" borderId="41" xfId="0" applyFont="1" applyFill="1" applyBorder="1"/>
    <xf numFmtId="0" fontId="0" fillId="61" borderId="41" xfId="0" applyFill="1" applyBorder="1"/>
    <xf numFmtId="0" fontId="104" fillId="61" borderId="41" xfId="0" applyFont="1" applyFill="1" applyBorder="1"/>
    <xf numFmtId="0" fontId="171" fillId="0" borderId="0" xfId="0" applyFont="1" applyAlignment="1">
      <alignment horizontal="center"/>
    </xf>
    <xf numFmtId="0" fontId="104" fillId="0" borderId="0" xfId="0" applyFont="1" applyAlignment="1">
      <alignment horizontal="center"/>
    </xf>
    <xf numFmtId="0" fontId="104" fillId="0" borderId="1" xfId="0" applyFont="1" applyBorder="1" applyAlignment="1">
      <alignment horizontal="center"/>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06" xfId="0" applyFont="1" applyBorder="1"/>
    <xf numFmtId="0" fontId="91" fillId="3" borderId="51" xfId="0" applyFont="1" applyFill="1" applyBorder="1" applyProtection="1">
      <protection locked="0"/>
    </xf>
    <xf numFmtId="172" fontId="91" fillId="3" borderId="51" xfId="0" applyNumberFormat="1" applyFont="1" applyFill="1" applyBorder="1" applyProtection="1">
      <protection locked="0"/>
    </xf>
    <xf numFmtId="193" fontId="91" fillId="3" borderId="51"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4" fontId="91" fillId="0" borderId="0" xfId="0" applyNumberFormat="1" applyFont="1" applyAlignment="1" applyProtection="1">
      <alignment horizontal="right" vertical="top"/>
      <protection locked="0"/>
    </xf>
    <xf numFmtId="172" fontId="91" fillId="0" borderId="49" xfId="0" quotePrefix="1" applyNumberFormat="1" applyFont="1" applyBorder="1" applyAlignment="1">
      <alignment horizontal="right" vertical="top"/>
    </xf>
    <xf numFmtId="182" fontId="106" fillId="0" borderId="51" xfId="0" applyNumberFormat="1" applyFont="1" applyBorder="1" applyAlignment="1">
      <alignment horizontal="center" vertical="top"/>
    </xf>
    <xf numFmtId="182" fontId="106" fillId="0" borderId="0" xfId="0" applyNumberFormat="1" applyFont="1" applyAlignment="1">
      <alignment horizontal="center" vertical="top"/>
    </xf>
    <xf numFmtId="189" fontId="161"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1" xfId="0" applyFont="1" applyBorder="1" applyProtection="1">
      <protection locked="0"/>
    </xf>
    <xf numFmtId="0" fontId="91" fillId="0" borderId="51" xfId="0" applyFont="1" applyBorder="1" applyProtection="1">
      <protection locked="0"/>
    </xf>
    <xf numFmtId="182" fontId="91" fillId="0" borderId="51" xfId="0" applyNumberFormat="1" applyFont="1" applyBorder="1" applyAlignment="1" applyProtection="1">
      <alignment horizontal="center"/>
      <protection locked="0"/>
    </xf>
    <xf numFmtId="172" fontId="92" fillId="0" borderId="51" xfId="0" applyNumberFormat="1" applyFont="1" applyBorder="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1" xfId="0" applyNumberFormat="1" applyFont="1" applyBorder="1" applyProtection="1">
      <protection locked="0"/>
    </xf>
    <xf numFmtId="172"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72" fillId="0" borderId="0" xfId="0" applyFont="1"/>
    <xf numFmtId="0" fontId="172" fillId="0" borderId="51"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1" xfId="0" quotePrefix="1" applyFont="1" applyBorder="1" applyProtection="1">
      <protection locked="0"/>
    </xf>
    <xf numFmtId="172" fontId="91" fillId="0" borderId="51" xfId="0" applyNumberFormat="1" applyFont="1" applyBorder="1" applyAlignment="1" applyProtection="1">
      <alignment horizontal="right" wrapText="1"/>
      <protection locked="0"/>
    </xf>
    <xf numFmtId="0" fontId="169" fillId="0" borderId="0" xfId="0" applyFont="1" applyAlignment="1">
      <alignment horizontal="left"/>
    </xf>
    <xf numFmtId="174" fontId="92" fillId="0" borderId="59" xfId="0" applyNumberFormat="1" applyFont="1" applyBorder="1" applyAlignment="1">
      <alignment horizontal="right" wrapText="1"/>
    </xf>
    <xf numFmtId="0" fontId="162" fillId="2" borderId="41" xfId="0" applyFont="1" applyFill="1" applyBorder="1" applyProtection="1">
      <protection locked="0"/>
    </xf>
    <xf numFmtId="172" fontId="91" fillId="3" borderId="41" xfId="9" applyNumberFormat="1" applyFont="1" applyFill="1" applyBorder="1" applyAlignment="1" applyProtection="1">
      <alignment horizontal="center" vertical="top"/>
      <protection locked="0"/>
    </xf>
    <xf numFmtId="187" fontId="91" fillId="3" borderId="41" xfId="0" applyNumberFormat="1" applyFont="1" applyFill="1" applyBorder="1" applyAlignment="1" applyProtection="1">
      <alignment horizontal="center" vertical="top"/>
      <protection locked="0"/>
    </xf>
    <xf numFmtId="174" fontId="91" fillId="3" borderId="41" xfId="0" applyNumberFormat="1" applyFont="1" applyFill="1" applyBorder="1" applyAlignment="1" applyProtection="1">
      <alignment horizontal="center"/>
      <protection locked="0"/>
    </xf>
    <xf numFmtId="174" fontId="90" fillId="0" borderId="51"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62" fillId="2" borderId="49" xfId="0" applyNumberFormat="1" applyFont="1" applyFill="1" applyBorder="1" applyAlignment="1" applyProtection="1">
      <alignment horizontal="center"/>
      <protection locked="0"/>
    </xf>
    <xf numFmtId="172" fontId="162" fillId="2" borderId="49"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46" xfId="0" applyNumberFormat="1" applyFont="1" applyBorder="1" applyProtection="1">
      <protection locked="0"/>
    </xf>
    <xf numFmtId="172" fontId="91" fillId="0" borderId="41" xfId="0" applyNumberFormat="1" applyFont="1" applyBorder="1" applyProtection="1">
      <protection locked="0"/>
    </xf>
    <xf numFmtId="174" fontId="91" fillId="0" borderId="46" xfId="0" applyNumberFormat="1" applyFont="1" applyBorder="1" applyProtection="1">
      <protection locked="0"/>
    </xf>
    <xf numFmtId="172" fontId="91" fillId="0" borderId="44" xfId="0" applyNumberFormat="1" applyFont="1" applyBorder="1" applyProtection="1">
      <protection locked="0"/>
    </xf>
    <xf numFmtId="174" fontId="91" fillId="0" borderId="41" xfId="0" applyNumberFormat="1" applyFont="1" applyBorder="1" applyProtection="1">
      <protection locked="0"/>
    </xf>
    <xf numFmtId="174" fontId="90" fillId="0" borderId="51" xfId="0" applyNumberFormat="1" applyFont="1" applyBorder="1" applyProtection="1">
      <protection locked="0"/>
    </xf>
    <xf numFmtId="172" fontId="90" fillId="0" borderId="41" xfId="0" applyNumberFormat="1" applyFont="1" applyBorder="1" applyProtection="1">
      <protection locked="0"/>
    </xf>
    <xf numFmtId="172" fontId="90" fillId="0" borderId="1" xfId="0" applyNumberFormat="1" applyFont="1" applyBorder="1" applyProtection="1">
      <protection locked="0"/>
    </xf>
    <xf numFmtId="174" fontId="91" fillId="0" borderId="97" xfId="0" applyNumberFormat="1" applyFont="1" applyBorder="1" applyAlignment="1" applyProtection="1">
      <alignment horizontal="right" vertical="top"/>
      <protection locked="0"/>
    </xf>
    <xf numFmtId="174" fontId="91" fillId="0" borderId="49" xfId="0" applyNumberFormat="1" applyFont="1" applyBorder="1" applyAlignment="1" applyProtection="1">
      <alignment horizontal="right" vertical="top"/>
      <protection locked="0"/>
    </xf>
    <xf numFmtId="174" fontId="91" fillId="0" borderId="103" xfId="0" applyNumberFormat="1" applyFont="1" applyBorder="1" applyAlignment="1" applyProtection="1">
      <alignment horizontal="right"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6"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9" xfId="0" applyFont="1" applyFill="1" applyBorder="1" applyAlignment="1" applyProtection="1">
      <alignment horizontal="center"/>
      <protection locked="0"/>
    </xf>
    <xf numFmtId="0" fontId="107" fillId="63" borderId="54" xfId="0" applyFont="1" applyFill="1" applyBorder="1" applyAlignment="1" applyProtection="1">
      <alignment horizontal="center" vertical="top"/>
      <protection locked="0"/>
    </xf>
    <xf numFmtId="0" fontId="107" fillId="63" borderId="55" xfId="0" applyFont="1" applyFill="1" applyBorder="1" applyAlignment="1" applyProtection="1">
      <alignment horizontal="center" vertical="top"/>
      <protection locked="0"/>
    </xf>
    <xf numFmtId="0" fontId="107" fillId="63" borderId="56" xfId="0" applyFont="1" applyFill="1" applyBorder="1" applyAlignment="1" applyProtection="1">
      <alignment horizontal="center" vertical="top"/>
      <protection locked="0"/>
    </xf>
    <xf numFmtId="0" fontId="104" fillId="63" borderId="39" xfId="0" applyFont="1" applyFill="1" applyBorder="1" applyAlignment="1" applyProtection="1">
      <alignment horizontal="center" vertical="top"/>
      <protection locked="0"/>
    </xf>
    <xf numFmtId="0" fontId="104" fillId="63" borderId="35" xfId="0" applyFont="1" applyFill="1" applyBorder="1" applyAlignment="1" applyProtection="1">
      <alignment horizontal="center" vertical="top"/>
      <protection locked="0"/>
    </xf>
    <xf numFmtId="0" fontId="104" fillId="63" borderId="40" xfId="0" applyFont="1" applyFill="1" applyBorder="1" applyAlignment="1" applyProtection="1">
      <alignment horizontal="center" vertical="top"/>
      <protection locked="0"/>
    </xf>
    <xf numFmtId="0" fontId="119" fillId="0" borderId="49" xfId="33111" applyFont="1" applyBorder="1" applyAlignment="1" applyProtection="1">
      <alignment horizontal="center" vertical="top"/>
      <protection locked="0"/>
    </xf>
    <xf numFmtId="172" fontId="119" fillId="0" borderId="49" xfId="33111" applyNumberFormat="1" applyFont="1" applyBorder="1" applyAlignment="1" applyProtection="1">
      <alignment horizontal="center" vertical="top"/>
      <protection locked="0"/>
    </xf>
    <xf numFmtId="0" fontId="117" fillId="70" borderId="0" xfId="33111" applyFont="1" applyFill="1" applyAlignment="1" applyProtection="1">
      <alignment horizontal="left" vertical="top" wrapText="1"/>
      <protection locked="0"/>
    </xf>
    <xf numFmtId="0" fontId="64" fillId="61" borderId="84" xfId="33111" applyFont="1" applyFill="1" applyBorder="1" applyAlignment="1" applyProtection="1">
      <alignment horizontal="center" vertical="top" wrapText="1"/>
      <protection locked="0"/>
    </xf>
    <xf numFmtId="0" fontId="91" fillId="0" borderId="87" xfId="33111" applyFont="1" applyBorder="1" applyAlignment="1" applyProtection="1">
      <alignment vertical="center" wrapText="1"/>
      <protection locked="0"/>
    </xf>
    <xf numFmtId="0" fontId="91" fillId="0" borderId="11" xfId="33111" applyFont="1" applyBorder="1" applyAlignment="1" applyProtection="1">
      <alignment horizontal="left" vertical="center"/>
      <protection locked="0"/>
    </xf>
    <xf numFmtId="0" fontId="91" fillId="0" borderId="89" xfId="33111" applyFont="1" applyBorder="1" applyAlignment="1" applyProtection="1">
      <alignment horizontal="right" vertical="center" wrapText="1"/>
      <protection locked="0"/>
    </xf>
    <xf numFmtId="0" fontId="91" fillId="0" borderId="89" xfId="33111" applyFont="1" applyBorder="1" applyAlignment="1" applyProtection="1">
      <alignment vertical="center" wrapText="1"/>
      <protection locked="0"/>
    </xf>
    <xf numFmtId="0" fontId="91" fillId="0" borderId="88" xfId="33111" applyFont="1" applyBorder="1" applyAlignment="1" applyProtection="1">
      <alignment horizontal="right" vertical="center" wrapText="1"/>
      <protection locked="0"/>
    </xf>
    <xf numFmtId="0" fontId="91" fillId="0" borderId="64" xfId="33111" applyFont="1" applyBorder="1" applyAlignment="1" applyProtection="1">
      <alignment horizontal="left" vertical="center"/>
      <protection locked="0"/>
    </xf>
    <xf numFmtId="0" fontId="91" fillId="0" borderId="68" xfId="33111" applyFont="1" applyBorder="1" applyAlignment="1" applyProtection="1">
      <alignment horizontal="right" vertical="center" wrapText="1"/>
      <protection locked="0"/>
    </xf>
    <xf numFmtId="0" fontId="91" fillId="0" borderId="64" xfId="33111" applyFont="1" applyBorder="1" applyAlignment="1" applyProtection="1">
      <alignment horizontal="right" vertical="center" wrapText="1"/>
      <protection locked="0"/>
    </xf>
    <xf numFmtId="172" fontId="91" fillId="0" borderId="64" xfId="33111" applyNumberFormat="1" applyFont="1" applyBorder="1" applyAlignment="1" applyProtection="1">
      <alignment horizontal="right" vertical="center"/>
      <protection locked="0"/>
    </xf>
    <xf numFmtId="172" fontId="91" fillId="0" borderId="89" xfId="33111" applyNumberFormat="1" applyFont="1" applyBorder="1" applyAlignment="1" applyProtection="1">
      <alignment vertical="center" wrapText="1"/>
      <protection locked="0"/>
    </xf>
    <xf numFmtId="0" fontId="96" fillId="0" borderId="88" xfId="33111" applyFont="1" applyBorder="1" applyAlignment="1" applyProtection="1">
      <alignment horizontal="right" vertical="center" wrapText="1"/>
      <protection locked="0"/>
    </xf>
    <xf numFmtId="181" fontId="91" fillId="0" borderId="89" xfId="33111" applyNumberFormat="1" applyFont="1" applyBorder="1" applyAlignment="1" applyProtection="1">
      <alignment horizontal="right" vertical="center" wrapText="1"/>
      <protection locked="0"/>
    </xf>
    <xf numFmtId="172" fontId="91" fillId="0" borderId="88" xfId="33111" applyNumberFormat="1" applyFont="1" applyBorder="1" applyAlignment="1" applyProtection="1">
      <alignment horizontal="right" vertical="center" wrapText="1"/>
      <protection locked="0"/>
    </xf>
    <xf numFmtId="172" fontId="91" fillId="0" borderId="89" xfId="33111" applyNumberFormat="1" applyFont="1" applyBorder="1" applyAlignment="1" applyProtection="1">
      <alignment horizontal="right" vertical="center" wrapText="1"/>
      <protection locked="0"/>
    </xf>
    <xf numFmtId="172" fontId="90" fillId="0" borderId="89" xfId="33111" quotePrefix="1" applyNumberFormat="1" applyFont="1" applyBorder="1" applyAlignment="1" applyProtection="1">
      <alignment vertical="center" wrapText="1"/>
      <protection locked="0"/>
    </xf>
    <xf numFmtId="172" fontId="91" fillId="0" borderId="95" xfId="33111" applyNumberFormat="1" applyFont="1" applyBorder="1" applyAlignment="1" applyProtection="1">
      <alignment horizontal="right" vertical="center" wrapText="1"/>
      <protection locked="0"/>
    </xf>
    <xf numFmtId="0" fontId="91" fillId="0" borderId="52" xfId="33111" applyFont="1" applyBorder="1" applyAlignment="1" applyProtection="1">
      <alignment vertical="top" wrapText="1"/>
      <protection locked="0"/>
    </xf>
    <xf numFmtId="0" fontId="91" fillId="0" borderId="51" xfId="33111" applyFont="1" applyBorder="1" applyAlignment="1" applyProtection="1">
      <alignment vertical="top" wrapText="1"/>
      <protection locked="0"/>
    </xf>
    <xf numFmtId="172" fontId="91" fillId="0" borderId="51" xfId="33111" applyNumberFormat="1" applyFont="1" applyBorder="1" applyAlignment="1" applyProtection="1">
      <alignment horizontal="right" vertical="top" wrapText="1"/>
      <protection locked="0"/>
    </xf>
    <xf numFmtId="0" fontId="91" fillId="0" borderId="51"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18" fillId="0" borderId="0" xfId="33111" applyFont="1" applyAlignment="1" applyProtection="1">
      <alignment vertical="top" wrapText="1"/>
      <protection locked="0"/>
    </xf>
    <xf numFmtId="181" fontId="89" fillId="0" borderId="79" xfId="33111" applyNumberFormat="1" applyFont="1" applyBorder="1" applyAlignment="1" applyProtection="1">
      <alignment horizontal="right" vertical="top" wrapText="1"/>
      <protection locked="0"/>
    </xf>
    <xf numFmtId="0" fontId="89" fillId="0" borderId="80" xfId="33111" applyFont="1" applyBorder="1" applyAlignment="1" applyProtection="1">
      <alignment horizontal="left" vertical="top" wrapText="1"/>
      <protection locked="0"/>
    </xf>
    <xf numFmtId="191" fontId="90" fillId="0" borderId="75" xfId="33111" applyNumberFormat="1" applyFont="1" applyBorder="1" applyAlignment="1" applyProtection="1">
      <alignment horizontal="right" vertical="top" wrapText="1"/>
      <protection locked="0"/>
    </xf>
    <xf numFmtId="0" fontId="90" fillId="0" borderId="76" xfId="33111" applyFont="1" applyBorder="1" applyAlignment="1" applyProtection="1">
      <alignment horizontal="left" vertical="top" wrapText="1"/>
      <protection locked="0"/>
    </xf>
    <xf numFmtId="187" fontId="124" fillId="2" borderId="0" xfId="33111" applyNumberFormat="1" applyFont="1" applyFill="1" applyAlignment="1" applyProtection="1">
      <alignment horizontal="right" vertical="top"/>
      <protection locked="0"/>
    </xf>
    <xf numFmtId="0" fontId="124" fillId="0" borderId="0" xfId="33111" applyFont="1" applyAlignment="1" applyProtection="1">
      <alignment horizontal="left" vertical="top"/>
      <protection locked="0"/>
    </xf>
    <xf numFmtId="174" fontId="124" fillId="0" borderId="0" xfId="33111" applyNumberFormat="1" applyFont="1" applyAlignment="1" applyProtection="1">
      <alignment horizontal="right" vertical="top"/>
      <protection locked="0"/>
    </xf>
    <xf numFmtId="0" fontId="124" fillId="0" borderId="0" xfId="33111" quotePrefix="1" applyFont="1" applyAlignment="1" applyProtection="1">
      <alignment horizontal="left" vertical="top"/>
      <protection locked="0"/>
    </xf>
    <xf numFmtId="174" fontId="116" fillId="0" borderId="0" xfId="33111" applyNumberFormat="1" applyAlignment="1" applyProtection="1">
      <alignment horizontal="right" vertical="top"/>
      <protection locked="0"/>
    </xf>
    <xf numFmtId="207" fontId="92" fillId="0" borderId="41" xfId="0" applyNumberFormat="1" applyFont="1" applyBorder="1" applyAlignment="1">
      <alignment horizontal="right" vertical="top"/>
    </xf>
    <xf numFmtId="172" fontId="89" fillId="0" borderId="46" xfId="0" applyNumberFormat="1" applyFont="1" applyBorder="1" applyAlignment="1">
      <alignment horizontal="right" vertical="top"/>
    </xf>
    <xf numFmtId="0" fontId="92" fillId="3" borderId="41" xfId="0" applyFont="1" applyFill="1" applyBorder="1"/>
    <xf numFmtId="172" fontId="91" fillId="3" borderId="41" xfId="0" applyNumberFormat="1" applyFont="1" applyFill="1" applyBorder="1" applyAlignment="1">
      <alignment horizontal="right" vertical="top"/>
    </xf>
    <xf numFmtId="172" fontId="92" fillId="0" borderId="51" xfId="0" applyNumberFormat="1" applyFont="1" applyBorder="1" applyAlignment="1">
      <alignment horizontal="right" vertical="top"/>
    </xf>
    <xf numFmtId="219" fontId="90" fillId="0" borderId="49" xfId="11" applyNumberFormat="1" applyFont="1" applyFill="1" applyBorder="1" applyAlignment="1" applyProtection="1">
      <alignment horizontal="right"/>
    </xf>
    <xf numFmtId="172" fontId="162" fillId="2" borderId="0" xfId="0" applyNumberFormat="1" applyFont="1" applyFill="1" applyProtection="1">
      <protection locked="0"/>
    </xf>
    <xf numFmtId="0" fontId="170" fillId="61" borderId="41" xfId="7" applyFont="1" applyFill="1" applyBorder="1" applyAlignment="1" applyProtection="1">
      <alignment horizontal="left" vertical="center"/>
    </xf>
    <xf numFmtId="0" fontId="170" fillId="0" borderId="41" xfId="7" applyFont="1" applyBorder="1" applyAlignment="1" applyProtection="1">
      <alignment horizontal="left" vertical="center"/>
    </xf>
    <xf numFmtId="0" fontId="170" fillId="0" borderId="41" xfId="7" applyFont="1" applyBorder="1" applyAlignment="1" applyProtection="1">
      <alignment horizontal="left" vertical="center" wrapText="1"/>
    </xf>
    <xf numFmtId="0" fontId="173" fillId="0" borderId="41" xfId="7" applyFont="1" applyBorder="1" applyAlignment="1" applyProtection="1"/>
    <xf numFmtId="174" fontId="90" fillId="0" borderId="41" xfId="9" applyNumberFormat="1" applyFont="1" applyFill="1" applyBorder="1" applyAlignment="1" applyProtection="1">
      <alignment horizontal="right" vertical="top"/>
      <protection locked="0"/>
    </xf>
    <xf numFmtId="174" fontId="90" fillId="0" borderId="41" xfId="9" applyNumberFormat="1" applyFont="1" applyFill="1" applyBorder="1" applyAlignment="1" applyProtection="1">
      <alignment horizontal="right" vertical="top"/>
    </xf>
    <xf numFmtId="174" fontId="91" fillId="0" borderId="41" xfId="9" applyNumberFormat="1" applyFont="1" applyFill="1" applyBorder="1" applyAlignment="1" applyProtection="1">
      <alignment horizontal="right" vertical="top"/>
      <protection locked="0"/>
    </xf>
    <xf numFmtId="172" fontId="90" fillId="0" borderId="44" xfId="13330" applyNumberFormat="1" applyFont="1" applyFill="1" applyBorder="1" applyAlignment="1">
      <alignment horizontal="right" vertical="top"/>
    </xf>
    <xf numFmtId="172" fontId="90" fillId="0" borderId="45" xfId="9" applyNumberFormat="1" applyFont="1" applyFill="1" applyBorder="1" applyAlignment="1" applyProtection="1">
      <alignment horizontal="right" vertical="top"/>
    </xf>
    <xf numFmtId="9" fontId="90" fillId="0" borderId="41" xfId="9" applyFont="1" applyFill="1" applyBorder="1" applyAlignment="1" applyProtection="1">
      <alignment horizontal="right" vertical="top"/>
      <protection locked="0"/>
    </xf>
    <xf numFmtId="172" fontId="96" fillId="0" borderId="41" xfId="9" applyNumberFormat="1" applyFont="1" applyFill="1" applyBorder="1" applyAlignment="1" applyProtection="1">
      <alignment horizontal="right" vertical="top"/>
      <protection locked="0"/>
    </xf>
    <xf numFmtId="0" fontId="174" fillId="0" borderId="51" xfId="0" applyFont="1" applyBorder="1"/>
    <xf numFmtId="172" fontId="113" fillId="69" borderId="49" xfId="6" applyNumberFormat="1" applyFont="1" applyFill="1" applyBorder="1" applyProtection="1">
      <protection locked="0"/>
    </xf>
    <xf numFmtId="172" fontId="96" fillId="69" borderId="68" xfId="0" applyNumberFormat="1" applyFont="1" applyFill="1" applyBorder="1" applyAlignment="1" applyProtection="1">
      <alignment horizontal="right"/>
      <protection locked="0"/>
    </xf>
    <xf numFmtId="172" fontId="96" fillId="69" borderId="61" xfId="0" applyNumberFormat="1" applyFont="1" applyFill="1" applyBorder="1" applyAlignment="1" applyProtection="1">
      <alignment horizontal="right"/>
      <protection locked="0"/>
    </xf>
    <xf numFmtId="172" fontId="96" fillId="69" borderId="49" xfId="0" applyNumberFormat="1" applyFont="1" applyFill="1" applyBorder="1" applyAlignment="1" applyProtection="1">
      <alignment horizontal="right"/>
      <protection locked="0"/>
    </xf>
    <xf numFmtId="172" fontId="96" fillId="69" borderId="118" xfId="0" applyNumberFormat="1" applyFont="1" applyFill="1" applyBorder="1" applyAlignment="1" applyProtection="1">
      <alignment horizontal="right"/>
      <protection locked="0"/>
    </xf>
    <xf numFmtId="172" fontId="96" fillId="69" borderId="115" xfId="0" applyNumberFormat="1" applyFont="1" applyFill="1" applyBorder="1" applyAlignment="1" applyProtection="1">
      <alignment horizontal="right"/>
      <protection locked="0"/>
    </xf>
    <xf numFmtId="172" fontId="96" fillId="69" borderId="96" xfId="0" applyNumberFormat="1" applyFont="1" applyFill="1" applyBorder="1" applyAlignment="1" applyProtection="1">
      <alignment horizontal="right"/>
      <protection locked="0"/>
    </xf>
    <xf numFmtId="172" fontId="96" fillId="69" borderId="44" xfId="0" applyNumberFormat="1" applyFont="1" applyFill="1" applyBorder="1" applyProtection="1">
      <protection locked="0"/>
    </xf>
    <xf numFmtId="0" fontId="140" fillId="2" borderId="41" xfId="0" applyFont="1" applyFill="1" applyBorder="1" applyProtection="1">
      <protection locked="0"/>
    </xf>
    <xf numFmtId="0" fontId="140" fillId="2" borderId="44" xfId="0" applyFont="1" applyFill="1" applyBorder="1" applyProtection="1">
      <protection locked="0"/>
    </xf>
    <xf numFmtId="0" fontId="175" fillId="0" borderId="0" xfId="7" applyFont="1" applyAlignment="1" applyProtection="1"/>
    <xf numFmtId="222" fontId="91" fillId="0" borderId="0" xfId="0" applyNumberFormat="1" applyFont="1" applyAlignment="1">
      <alignment horizontal="right"/>
    </xf>
    <xf numFmtId="0" fontId="156"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39"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189" fontId="96" fillId="4" borderId="49" xfId="11" applyNumberFormat="1" applyFont="1" applyBorder="1" applyAlignment="1" applyProtection="1">
      <alignment horizontal="center"/>
      <protection locked="0"/>
    </xf>
    <xf numFmtId="0" fontId="153" fillId="0" borderId="41" xfId="7" applyFont="1" applyBorder="1" applyAlignment="1" applyProtection="1">
      <alignment horizontal="left" vertical="center"/>
    </xf>
    <xf numFmtId="175" fontId="105" fillId="0" borderId="0" xfId="0" applyNumberFormat="1" applyFont="1"/>
    <xf numFmtId="172" fontId="113" fillId="69" borderId="103"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172" fontId="176" fillId="0" borderId="0" xfId="6628" applyNumberFormat="1" applyFont="1"/>
    <xf numFmtId="172" fontId="177" fillId="0" borderId="0" xfId="7" applyNumberFormat="1" applyFont="1" applyAlignment="1" applyProtection="1"/>
    <xf numFmtId="174" fontId="162" fillId="2" borderId="0" xfId="0" applyNumberFormat="1" applyFont="1" applyFill="1" applyProtection="1">
      <protection locked="0"/>
    </xf>
    <xf numFmtId="0" fontId="107" fillId="0" borderId="41" xfId="0" applyFont="1" applyBorder="1" applyAlignment="1">
      <alignment vertical="center"/>
    </xf>
    <xf numFmtId="0" fontId="0" fillId="0" borderId="0" xfId="0" applyAlignment="1">
      <alignment vertical="center"/>
    </xf>
    <xf numFmtId="10" fontId="90" fillId="0" borderId="49" xfId="11" applyNumberFormat="1" applyFont="1" applyFill="1" applyBorder="1" applyAlignment="1" applyProtection="1">
      <alignment horizontal="center" vertical="top"/>
    </xf>
    <xf numFmtId="0" fontId="178" fillId="0" borderId="0" xfId="7" applyFont="1" applyAlignment="1" applyProtection="1"/>
    <xf numFmtId="174" fontId="89" fillId="0" borderId="51" xfId="0" applyNumberFormat="1" applyFont="1" applyBorder="1"/>
    <xf numFmtId="189" fontId="96" fillId="4" borderId="49" xfId="11" applyNumberFormat="1" applyFont="1" applyBorder="1" applyAlignment="1" applyProtection="1">
      <alignment horizontal="center" vertical="top"/>
      <protection locked="0"/>
    </xf>
    <xf numFmtId="172" fontId="96" fillId="2" borderId="96" xfId="0" applyNumberFormat="1" applyFont="1" applyFill="1" applyBorder="1" applyAlignment="1" applyProtection="1">
      <alignment horizontal="right" vertical="top"/>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72" fontId="95" fillId="0" borderId="1" xfId="6" applyNumberFormat="1" applyFont="1" applyBorder="1" applyProtection="1"/>
    <xf numFmtId="221" fontId="92" fillId="63" borderId="63"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44" xfId="0" applyFont="1" applyBorder="1"/>
    <xf numFmtId="0" fontId="100" fillId="0" borderId="44" xfId="7" applyFont="1" applyFill="1" applyBorder="1" applyAlignment="1" applyProtection="1">
      <alignment horizontal="right" wrapText="1" indent="1"/>
    </xf>
    <xf numFmtId="0" fontId="107" fillId="0" borderId="44" xfId="0" applyFont="1" applyBorder="1" applyAlignment="1">
      <alignment horizontal="center" vertical="top"/>
    </xf>
    <xf numFmtId="175" fontId="94" fillId="72" borderId="0" xfId="6" applyNumberFormat="1" applyFont="1" applyFill="1" applyBorder="1" applyProtection="1"/>
    <xf numFmtId="0" fontId="175" fillId="62" borderId="0" xfId="7" applyFont="1" applyFill="1" applyAlignment="1" applyProtection="1"/>
    <xf numFmtId="0" fontId="17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44" xfId="0" applyFont="1" applyFill="1" applyBorder="1" applyProtection="1">
      <protection locked="0"/>
    </xf>
    <xf numFmtId="0" fontId="96" fillId="2" borderId="41" xfId="0" applyFont="1" applyFill="1" applyBorder="1" applyProtection="1">
      <protection locked="0"/>
    </xf>
    <xf numFmtId="0" fontId="64" fillId="5" borderId="0" xfId="0" applyFont="1" applyFill="1"/>
    <xf numFmtId="0" fontId="92" fillId="0" borderId="63" xfId="0" applyFont="1" applyBorder="1" applyAlignment="1">
      <alignment horizontal="center"/>
    </xf>
    <xf numFmtId="0" fontId="130" fillId="0" borderId="0" xfId="0" applyFont="1" applyAlignment="1">
      <alignment horizontal="center"/>
    </xf>
    <xf numFmtId="172" fontId="15" fillId="0" borderId="51" xfId="6628" applyNumberFormat="1" applyFont="1" applyBorder="1" applyAlignment="1">
      <alignment horizontal="center"/>
    </xf>
    <xf numFmtId="0" fontId="130" fillId="60" borderId="1" xfId="0" applyFont="1" applyFill="1" applyBorder="1"/>
    <xf numFmtId="0" fontId="83" fillId="60" borderId="1" xfId="0" applyFont="1" applyFill="1" applyBorder="1"/>
    <xf numFmtId="0" fontId="92" fillId="2" borderId="129" xfId="0" applyFont="1" applyFill="1" applyBorder="1" applyAlignment="1" applyProtection="1">
      <alignment horizontal="left"/>
      <protection locked="0"/>
    </xf>
    <xf numFmtId="165" fontId="90" fillId="0" borderId="49" xfId="11" applyNumberFormat="1" applyFont="1" applyFill="1" applyBorder="1" applyAlignment="1" applyProtection="1">
      <alignment horizontal="center" vertical="top"/>
      <protection locked="0"/>
    </xf>
    <xf numFmtId="174" fontId="0" fillId="67" borderId="41" xfId="0" applyNumberFormat="1" applyFill="1" applyBorder="1"/>
    <xf numFmtId="174" fontId="0" fillId="62" borderId="41" xfId="0" applyNumberFormat="1" applyFill="1" applyBorder="1"/>
    <xf numFmtId="0" fontId="13" fillId="0" borderId="0" xfId="0" applyFont="1"/>
    <xf numFmtId="0" fontId="91" fillId="0" borderId="97" xfId="0" applyFont="1" applyBorder="1"/>
    <xf numFmtId="172" fontId="157" fillId="0" borderId="49" xfId="9" applyNumberFormat="1" applyFont="1" applyFill="1" applyBorder="1" applyAlignment="1" applyProtection="1">
      <alignment horizontal="right" vertical="top"/>
    </xf>
    <xf numFmtId="172" fontId="166" fillId="0" borderId="96" xfId="9" applyNumberFormat="1" applyFont="1" applyFill="1" applyBorder="1" applyAlignment="1" applyProtection="1">
      <alignment horizontal="right" vertical="top"/>
    </xf>
    <xf numFmtId="172" fontId="167" fillId="0" borderId="51" xfId="9" applyNumberFormat="1" applyFont="1" applyFill="1" applyBorder="1" applyAlignment="1" applyProtection="1">
      <alignment vertical="top"/>
    </xf>
    <xf numFmtId="0" fontId="91" fillId="0" borderId="0" xfId="0" quotePrefix="1" applyFont="1" applyAlignment="1">
      <alignment horizontal="center"/>
    </xf>
    <xf numFmtId="0" fontId="105" fillId="0" borderId="46" xfId="0" applyFont="1" applyBorder="1"/>
    <xf numFmtId="0" fontId="91" fillId="0" borderId="46" xfId="0" applyFont="1" applyBorder="1" applyAlignment="1">
      <alignment horizontal="right"/>
    </xf>
    <xf numFmtId="195" fontId="91" fillId="0" borderId="41" xfId="0" applyNumberFormat="1" applyFont="1" applyBorder="1"/>
    <xf numFmtId="195" fontId="91" fillId="0" borderId="69" xfId="0" applyNumberFormat="1" applyFont="1" applyBorder="1"/>
    <xf numFmtId="9" fontId="92" fillId="0" borderId="49" xfId="9" applyFont="1" applyFill="1" applyBorder="1" applyAlignment="1" applyProtection="1">
      <alignment horizontal="center" vertical="top"/>
    </xf>
    <xf numFmtId="0" fontId="91" fillId="0" borderId="46" xfId="0" applyFont="1" applyBorder="1" applyAlignment="1">
      <alignment horizontal="center"/>
    </xf>
    <xf numFmtId="9" fontId="166" fillId="0" borderId="49" xfId="9" applyFont="1" applyFill="1" applyBorder="1" applyAlignment="1" applyProtection="1">
      <alignment horizontal="center" vertical="top"/>
    </xf>
    <xf numFmtId="172" fontId="167" fillId="0" borderId="49" xfId="9" applyNumberFormat="1" applyFont="1" applyFill="1" applyBorder="1" applyAlignment="1" applyProtection="1">
      <alignment horizontal="center" vertical="top"/>
    </xf>
    <xf numFmtId="195" fontId="91" fillId="0" borderId="41" xfId="0" quotePrefix="1" applyNumberFormat="1" applyFont="1" applyBorder="1"/>
    <xf numFmtId="172" fontId="166" fillId="0" borderId="49" xfId="9" applyNumberFormat="1" applyFont="1" applyFill="1" applyBorder="1" applyAlignment="1" applyProtection="1">
      <alignment horizontal="center" vertical="top"/>
    </xf>
    <xf numFmtId="195" fontId="91" fillId="0" borderId="44" xfId="0" applyNumberFormat="1" applyFont="1" applyBorder="1"/>
    <xf numFmtId="9" fontId="166" fillId="0" borderId="96" xfId="9" applyFont="1" applyFill="1" applyBorder="1" applyAlignment="1" applyProtection="1">
      <alignment horizontal="center" vertical="top"/>
    </xf>
    <xf numFmtId="195" fontId="92" fillId="0" borderId="51" xfId="0" applyNumberFormat="1" applyFont="1" applyBorder="1"/>
    <xf numFmtId="172" fontId="167" fillId="0" borderId="51" xfId="9" applyNumberFormat="1" applyFont="1" applyFill="1" applyBorder="1" applyAlignment="1" applyProtection="1">
      <alignment horizontal="center" vertical="top"/>
    </xf>
    <xf numFmtId="195" fontId="91" fillId="0" borderId="51" xfId="0" applyNumberFormat="1" applyFont="1" applyBorder="1"/>
    <xf numFmtId="172" fontId="145" fillId="0" borderId="0" xfId="9" applyNumberFormat="1" applyFont="1" applyFill="1" applyBorder="1" applyAlignment="1" applyProtection="1">
      <alignment horizontal="center" vertical="top"/>
    </xf>
    <xf numFmtId="172" fontId="155" fillId="0" borderId="0" xfId="9" applyNumberFormat="1" applyFont="1" applyFill="1" applyBorder="1" applyAlignment="1" applyProtection="1">
      <alignment horizontal="right" vertical="top"/>
    </xf>
    <xf numFmtId="172" fontId="162" fillId="2" borderId="51" xfId="0" applyNumberFormat="1" applyFont="1" applyFill="1" applyBorder="1" applyAlignment="1" applyProtection="1">
      <alignment horizontal="right"/>
      <protection locked="0"/>
    </xf>
    <xf numFmtId="0" fontId="91" fillId="0" borderId="0" xfId="0" quotePrefix="1" applyFont="1" applyAlignment="1">
      <alignment horizontal="left"/>
    </xf>
    <xf numFmtId="189" fontId="90" fillId="0" borderId="41" xfId="0" applyNumberFormat="1" applyFont="1" applyBorder="1" applyAlignment="1">
      <alignment horizontal="center"/>
    </xf>
    <xf numFmtId="189" fontId="90" fillId="0" borderId="41" xfId="0" quotePrefix="1" applyNumberFormat="1" applyFont="1" applyBorder="1" applyAlignment="1">
      <alignment horizontal="center"/>
    </xf>
    <xf numFmtId="195" fontId="90" fillId="0" borderId="44" xfId="0" applyNumberFormat="1" applyFont="1" applyBorder="1" applyAlignment="1">
      <alignment horizontal="center"/>
    </xf>
    <xf numFmtId="189" fontId="90" fillId="0" borderId="44" xfId="0" quotePrefix="1" applyNumberFormat="1" applyFont="1" applyBorder="1" applyAlignment="1">
      <alignment horizontal="center"/>
    </xf>
    <xf numFmtId="195" fontId="91" fillId="0" borderId="51" xfId="0" applyNumberFormat="1" applyFont="1" applyBorder="1" applyAlignment="1">
      <alignment horizontal="center"/>
    </xf>
    <xf numFmtId="195" fontId="92" fillId="0" borderId="51" xfId="0" applyNumberFormat="1" applyFont="1" applyBorder="1" applyAlignment="1">
      <alignment horizontal="center"/>
    </xf>
    <xf numFmtId="195" fontId="91" fillId="0" borderId="0" xfId="0" applyNumberFormat="1" applyFont="1"/>
    <xf numFmtId="195" fontId="92" fillId="0" borderId="0" xfId="0" applyNumberFormat="1" applyFont="1"/>
    <xf numFmtId="172" fontId="145" fillId="0" borderId="51" xfId="9" applyNumberFormat="1" applyFont="1" applyFill="1" applyBorder="1" applyAlignment="1" applyProtection="1">
      <alignment horizontal="center" vertical="top"/>
    </xf>
    <xf numFmtId="172" fontId="89" fillId="0" borderId="51"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45"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0" fontId="180"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174" fontId="90" fillId="0" borderId="41" xfId="9" applyNumberFormat="1" applyFont="1" applyFill="1" applyBorder="1" applyAlignment="1" applyProtection="1">
      <alignment vertical="top"/>
    </xf>
    <xf numFmtId="195" fontId="111" fillId="0" borderId="0" xfId="0" applyNumberFormat="1" applyFont="1"/>
    <xf numFmtId="174" fontId="91" fillId="0" borderId="41" xfId="0" applyNumberFormat="1" applyFont="1" applyBorder="1"/>
    <xf numFmtId="175" fontId="90" fillId="0" borderId="60" xfId="9" applyNumberFormat="1" applyFont="1" applyFill="1" applyBorder="1" applyAlignment="1" applyProtection="1">
      <alignment horizontal="right" vertical="top"/>
    </xf>
    <xf numFmtId="175" fontId="90" fillId="0" borderId="49" xfId="9" applyNumberFormat="1" applyFont="1" applyFill="1" applyBorder="1" applyAlignment="1" applyProtection="1">
      <alignment horizontal="right" vertical="top"/>
    </xf>
    <xf numFmtId="175" fontId="90" fillId="0" borderId="96" xfId="9" applyNumberFormat="1" applyFont="1" applyFill="1" applyBorder="1" applyAlignment="1" applyProtection="1">
      <alignment horizontal="right" vertical="top"/>
    </xf>
    <xf numFmtId="9" fontId="89" fillId="0" borderId="60" xfId="9" applyFont="1" applyFill="1" applyBorder="1" applyAlignment="1" applyProtection="1">
      <alignment horizontal="center" vertical="top"/>
    </xf>
    <xf numFmtId="9" fontId="89" fillId="0" borderId="49" xfId="9" applyFont="1" applyFill="1" applyBorder="1" applyAlignment="1" applyProtection="1">
      <alignment horizontal="center" vertical="top"/>
    </xf>
    <xf numFmtId="9" fontId="89" fillId="0" borderId="96" xfId="9" applyFont="1" applyFill="1" applyBorder="1" applyAlignment="1" applyProtection="1">
      <alignment horizontal="center" vertical="top"/>
    </xf>
    <xf numFmtId="174" fontId="90" fillId="0" borderId="51" xfId="9" applyNumberFormat="1" applyFont="1" applyFill="1" applyBorder="1" applyAlignment="1" applyProtection="1">
      <alignment vertical="top"/>
    </xf>
    <xf numFmtId="165" fontId="91" fillId="0" borderId="96" xfId="11" applyNumberFormat="1" applyFont="1" applyFill="1" applyBorder="1" applyAlignment="1" applyProtection="1">
      <alignment horizontal="center" vertical="top"/>
    </xf>
    <xf numFmtId="172" fontId="92" fillId="0" borderId="53" xfId="0" quotePrefix="1" applyNumberFormat="1" applyFont="1" applyBorder="1"/>
    <xf numFmtId="172" fontId="92" fillId="0" borderId="51" xfId="6" applyNumberFormat="1" applyFont="1" applyBorder="1" applyAlignment="1" applyProtection="1">
      <alignment horizontal="center"/>
    </xf>
    <xf numFmtId="44" fontId="91" fillId="0" borderId="52" xfId="6" applyFont="1" applyBorder="1" applyAlignment="1" applyProtection="1">
      <alignment horizontal="center"/>
    </xf>
    <xf numFmtId="44" fontId="94" fillId="0" borderId="63" xfId="6" applyFont="1" applyBorder="1" applyProtection="1"/>
    <xf numFmtId="44" fontId="94" fillId="0" borderId="59" xfId="6" applyFont="1" applyBorder="1" applyProtection="1"/>
    <xf numFmtId="0" fontId="95" fillId="0" borderId="59" xfId="8" applyFont="1" applyBorder="1"/>
    <xf numFmtId="0" fontId="95" fillId="0" borderId="57" xfId="8" applyFont="1" applyBorder="1" applyAlignment="1">
      <alignment horizontal="center"/>
    </xf>
    <xf numFmtId="172" fontId="32" fillId="0" borderId="49" xfId="8" applyNumberFormat="1" applyFont="1" applyBorder="1"/>
    <xf numFmtId="174" fontId="95" fillId="0" borderId="96" xfId="8" applyNumberFormat="1" applyFont="1" applyBorder="1"/>
    <xf numFmtId="172" fontId="94" fillId="0" borderId="105" xfId="8" applyNumberFormat="1" applyFont="1" applyBorder="1"/>
    <xf numFmtId="174" fontId="95" fillId="0" borderId="0" xfId="8" applyNumberFormat="1" applyFont="1"/>
    <xf numFmtId="174" fontId="94" fillId="0" borderId="51" xfId="8" applyNumberFormat="1" applyFont="1" applyBorder="1"/>
    <xf numFmtId="44" fontId="95" fillId="0" borderId="1" xfId="8" applyNumberFormat="1" applyFont="1" applyBorder="1"/>
    <xf numFmtId="3" fontId="92" fillId="0" borderId="0" xfId="0" applyNumberFormat="1" applyFont="1" applyAlignment="1">
      <alignment horizontal="center"/>
    </xf>
    <xf numFmtId="0" fontId="181" fillId="0" borderId="0" xfId="0" applyFont="1"/>
    <xf numFmtId="0" fontId="181" fillId="2" borderId="0" xfId="0" applyFont="1" applyFill="1"/>
    <xf numFmtId="172" fontId="92" fillId="0" borderId="0" xfId="0" applyNumberFormat="1" applyFont="1"/>
    <xf numFmtId="175" fontId="91" fillId="2" borderId="0" xfId="0" applyNumberFormat="1" applyFont="1" applyFill="1"/>
    <xf numFmtId="174" fontId="91" fillId="2" borderId="0" xfId="0" applyNumberFormat="1" applyFont="1" applyFill="1"/>
    <xf numFmtId="174" fontId="162" fillId="2" borderId="60" xfId="0" applyNumberFormat="1" applyFont="1" applyFill="1" applyBorder="1" applyAlignment="1" applyProtection="1">
      <alignment horizontal="right" vertical="top"/>
      <protection locked="0"/>
    </xf>
    <xf numFmtId="174" fontId="162" fillId="2" borderId="41" xfId="0" applyNumberFormat="1" applyFont="1" applyFill="1" applyBorder="1" applyAlignment="1" applyProtection="1">
      <alignment horizontal="center" vertical="top"/>
      <protection locked="0"/>
    </xf>
    <xf numFmtId="172" fontId="162" fillId="2" borderId="41" xfId="0" applyNumberFormat="1" applyFont="1" applyFill="1" applyBorder="1" applyAlignment="1" applyProtection="1">
      <alignment horizontal="center" vertical="top"/>
      <protection locked="0"/>
    </xf>
    <xf numFmtId="172" fontId="91" fillId="0" borderId="0" xfId="13330" applyNumberFormat="1" applyFont="1" applyFill="1" applyBorder="1" applyAlignment="1">
      <alignment horizontal="center" vertical="top"/>
    </xf>
    <xf numFmtId="175" fontId="91" fillId="0" borderId="0" xfId="13330" applyNumberFormat="1" applyFont="1" applyFill="1" applyBorder="1" applyAlignment="1">
      <alignment horizontal="center" vertical="top"/>
    </xf>
    <xf numFmtId="175" fontId="91" fillId="0" borderId="0" xfId="0" applyNumberFormat="1" applyFont="1" applyAlignment="1">
      <alignment horizontal="center"/>
    </xf>
    <xf numFmtId="214" fontId="92" fillId="0" borderId="0" xfId="0" applyNumberFormat="1" applyFont="1"/>
    <xf numFmtId="189" fontId="91" fillId="0" borderId="0" xfId="0" applyNumberFormat="1" applyFont="1" applyAlignment="1">
      <alignment horizontal="right"/>
    </xf>
    <xf numFmtId="0" fontId="0" fillId="0" borderId="0" xfId="0" quotePrefix="1" applyAlignment="1">
      <alignment horizontal="center"/>
    </xf>
    <xf numFmtId="0" fontId="0" fillId="0" borderId="0" xfId="0" applyAlignment="1">
      <alignment horizontal="center"/>
    </xf>
    <xf numFmtId="174" fontId="0" fillId="0" borderId="0" xfId="0" applyNumberFormat="1" applyAlignment="1">
      <alignment horizontal="center"/>
    </xf>
    <xf numFmtId="174" fontId="96" fillId="4" borderId="3" xfId="4" applyNumberFormat="1" applyFont="1" applyFill="1" applyBorder="1" applyAlignment="1" applyProtection="1">
      <alignment horizontal="right"/>
      <protection locked="0"/>
    </xf>
    <xf numFmtId="173" fontId="96" fillId="4" borderId="3" xfId="4" applyNumberFormat="1" applyFont="1" applyFill="1" applyBorder="1" applyAlignment="1" applyProtection="1">
      <alignment horizontal="right"/>
      <protection locked="0"/>
    </xf>
    <xf numFmtId="195" fontId="96" fillId="4" borderId="3" xfId="4" applyNumberFormat="1" applyFont="1" applyFill="1" applyBorder="1" applyAlignment="1" applyProtection="1">
      <alignment horizontal="right"/>
      <protection locked="0"/>
    </xf>
    <xf numFmtId="174" fontId="96" fillId="4" borderId="33" xfId="4" applyNumberFormat="1" applyFont="1" applyFill="1" applyBorder="1" applyAlignment="1" applyProtection="1">
      <alignment horizontal="right"/>
      <protection locked="0"/>
    </xf>
    <xf numFmtId="174" fontId="90" fillId="0" borderId="134" xfId="4" applyNumberFormat="1" applyFont="1" applyFill="1" applyBorder="1" applyAlignment="1" applyProtection="1">
      <alignment horizontal="right"/>
      <protection locked="0"/>
    </xf>
    <xf numFmtId="174" fontId="90" fillId="0" borderId="51" xfId="4" applyNumberFormat="1" applyFont="1" applyFill="1" applyBorder="1" applyAlignment="1" applyProtection="1">
      <alignment horizontal="right"/>
      <protection locked="0"/>
    </xf>
    <xf numFmtId="0" fontId="163" fillId="0" borderId="0" xfId="0" applyFont="1"/>
    <xf numFmtId="0" fontId="183" fillId="64" borderId="0" xfId="0" applyFont="1" applyFill="1"/>
    <xf numFmtId="0" fontId="89" fillId="5" borderId="0" xfId="0" applyFont="1" applyFill="1"/>
    <xf numFmtId="0" fontId="139" fillId="0" borderId="0" xfId="0" applyFont="1" applyAlignment="1">
      <alignment horizontal="center"/>
    </xf>
    <xf numFmtId="0" fontId="112" fillId="5" borderId="0" xfId="0" applyFont="1" applyFill="1" applyAlignment="1">
      <alignment horizontal="left"/>
    </xf>
    <xf numFmtId="0" fontId="139" fillId="74" borderId="34" xfId="0" applyFont="1" applyFill="1" applyBorder="1" applyAlignment="1">
      <alignment horizontal="center"/>
    </xf>
    <xf numFmtId="0" fontId="184" fillId="74" borderId="34" xfId="0" applyFont="1" applyFill="1" applyBorder="1" applyAlignment="1">
      <alignment horizontal="center" wrapText="1"/>
    </xf>
    <xf numFmtId="188" fontId="92" fillId="2" borderId="63" xfId="0" applyNumberFormat="1" applyFont="1" applyFill="1" applyBorder="1" applyAlignment="1" applyProtection="1">
      <alignment horizontal="center"/>
      <protection locked="0"/>
    </xf>
    <xf numFmtId="214" fontId="91" fillId="2" borderId="59" xfId="0" applyNumberFormat="1" applyFont="1" applyFill="1" applyBorder="1" applyProtection="1">
      <protection locked="0"/>
    </xf>
    <xf numFmtId="0" fontId="139" fillId="2" borderId="57" xfId="0" applyFont="1" applyFill="1" applyBorder="1" applyProtection="1">
      <protection locked="0"/>
    </xf>
    <xf numFmtId="0" fontId="91" fillId="4" borderId="0" xfId="0" applyFont="1" applyFill="1" applyProtection="1">
      <protection locked="0"/>
    </xf>
    <xf numFmtId="0" fontId="91" fillId="0" borderId="45" xfId="0" applyFont="1" applyBorder="1" applyProtection="1">
      <protection locked="0"/>
    </xf>
    <xf numFmtId="0" fontId="91" fillId="0" borderId="41" xfId="0" applyFont="1" applyBorder="1" applyProtection="1">
      <protection locked="0"/>
    </xf>
    <xf numFmtId="0" fontId="91" fillId="0" borderId="41" xfId="0" quotePrefix="1" applyFont="1" applyBorder="1" applyProtection="1">
      <protection locked="0"/>
    </xf>
    <xf numFmtId="0" fontId="187" fillId="75" borderId="41" xfId="0" applyFont="1" applyFill="1" applyBorder="1" applyAlignment="1" applyProtection="1">
      <alignment horizontal="center"/>
      <protection locked="0"/>
    </xf>
    <xf numFmtId="0" fontId="187" fillId="0" borderId="0" xfId="0" applyFont="1" applyAlignment="1">
      <alignment horizontal="center"/>
    </xf>
    <xf numFmtId="175" fontId="153" fillId="0" borderId="0" xfId="7" applyNumberFormat="1" applyFont="1" applyBorder="1" applyAlignment="1" applyProtection="1">
      <alignment horizontal="center"/>
    </xf>
    <xf numFmtId="0" fontId="102" fillId="76" borderId="1" xfId="0" applyFont="1" applyFill="1" applyBorder="1"/>
    <xf numFmtId="164" fontId="104" fillId="76" borderId="1" xfId="0" applyNumberFormat="1" applyFont="1" applyFill="1" applyBorder="1" applyAlignment="1">
      <alignment horizontal="center" vertical="top"/>
    </xf>
    <xf numFmtId="164" fontId="104" fillId="76" borderId="1" xfId="0" quotePrefix="1" applyNumberFormat="1" applyFont="1" applyFill="1" applyBorder="1" applyAlignment="1">
      <alignment horizontal="center" vertical="top"/>
    </xf>
    <xf numFmtId="194" fontId="104" fillId="76" borderId="1" xfId="0" applyNumberFormat="1" applyFont="1" applyFill="1" applyBorder="1" applyAlignment="1">
      <alignment horizontal="right"/>
    </xf>
    <xf numFmtId="165" fontId="104" fillId="76" borderId="1" xfId="0" applyNumberFormat="1" applyFont="1" applyFill="1" applyBorder="1"/>
    <xf numFmtId="0" fontId="92" fillId="77" borderId="5" xfId="0" applyFont="1" applyFill="1" applyBorder="1" applyAlignment="1">
      <alignment horizontal="left"/>
    </xf>
    <xf numFmtId="174" fontId="92" fillId="77" borderId="6" xfId="0" applyNumberFormat="1" applyFont="1" applyFill="1" applyBorder="1" applyAlignment="1">
      <alignment horizontal="center"/>
    </xf>
    <xf numFmtId="175" fontId="92" fillId="77" borderId="6" xfId="0" applyNumberFormat="1" applyFont="1" applyFill="1" applyBorder="1" applyAlignment="1">
      <alignment horizontal="center"/>
    </xf>
    <xf numFmtId="174" fontId="92" fillId="77" borderId="6" xfId="0" applyNumberFormat="1" applyFont="1" applyFill="1" applyBorder="1" applyAlignment="1">
      <alignment horizontal="right"/>
    </xf>
    <xf numFmtId="174" fontId="105" fillId="77" borderId="0" xfId="0" applyNumberFormat="1" applyFont="1" applyFill="1"/>
    <xf numFmtId="174" fontId="91" fillId="77" borderId="0" xfId="0" applyNumberFormat="1" applyFont="1" applyFill="1" applyAlignment="1">
      <alignment horizontal="center" vertical="top"/>
    </xf>
    <xf numFmtId="174" fontId="91" fillId="77" borderId="0" xfId="0" applyNumberFormat="1" applyFont="1" applyFill="1"/>
    <xf numFmtId="174" fontId="91" fillId="77" borderId="0" xfId="0" applyNumberFormat="1" applyFont="1" applyFill="1" applyAlignment="1">
      <alignment horizontal="right" vertical="top"/>
    </xf>
    <xf numFmtId="0" fontId="163" fillId="0" borderId="0" xfId="0" applyFont="1" applyAlignment="1" applyProtection="1">
      <alignment horizontal="left"/>
      <protection locked="0"/>
    </xf>
    <xf numFmtId="174" fontId="101" fillId="0" borderId="0" xfId="0" applyNumberFormat="1" applyFont="1" applyAlignment="1" applyProtection="1">
      <alignment horizontal="center"/>
      <protection locked="0"/>
    </xf>
    <xf numFmtId="0" fontId="32" fillId="0" borderId="0" xfId="6628" applyFont="1"/>
    <xf numFmtId="172" fontId="32" fillId="0" borderId="0" xfId="6628" applyNumberFormat="1" applyFont="1"/>
    <xf numFmtId="0" fontId="91" fillId="76" borderId="1" xfId="0" applyFont="1" applyFill="1" applyBorder="1"/>
    <xf numFmtId="194" fontId="104" fillId="76" borderId="1" xfId="0" applyNumberFormat="1" applyFont="1" applyFill="1" applyBorder="1"/>
    <xf numFmtId="0" fontId="102" fillId="76" borderId="59" xfId="0" applyFont="1" applyFill="1" applyBorder="1"/>
    <xf numFmtId="0" fontId="91" fillId="76" borderId="59" xfId="0" applyFont="1" applyFill="1" applyBorder="1"/>
    <xf numFmtId="194" fontId="104" fillId="76" borderId="59" xfId="0" applyNumberFormat="1" applyFont="1" applyFill="1" applyBorder="1"/>
    <xf numFmtId="0" fontId="92" fillId="77" borderId="59" xfId="0" applyFont="1" applyFill="1" applyBorder="1"/>
    <xf numFmtId="164" fontId="91" fillId="77" borderId="59" xfId="0" applyNumberFormat="1" applyFont="1" applyFill="1" applyBorder="1" applyAlignment="1">
      <alignment horizontal="center" vertical="top"/>
    </xf>
    <xf numFmtId="164" fontId="91" fillId="77" borderId="59" xfId="0" applyNumberFormat="1" applyFont="1" applyFill="1" applyBorder="1" applyAlignment="1">
      <alignment horizontal="right" vertical="top"/>
    </xf>
    <xf numFmtId="0" fontId="92" fillId="77" borderId="0" xfId="0" applyFont="1" applyFill="1"/>
    <xf numFmtId="165" fontId="91" fillId="77" borderId="0" xfId="0" applyNumberFormat="1" applyFont="1" applyFill="1"/>
    <xf numFmtId="194" fontId="104" fillId="77" borderId="59" xfId="0" applyNumberFormat="1" applyFont="1" applyFill="1" applyBorder="1"/>
    <xf numFmtId="175" fontId="91" fillId="0" borderId="0" xfId="0" quotePrefix="1" applyNumberFormat="1" applyFont="1" applyAlignment="1">
      <alignment horizontal="right"/>
    </xf>
    <xf numFmtId="194" fontId="104" fillId="76" borderId="59" xfId="0" applyNumberFormat="1" applyFont="1" applyFill="1" applyBorder="1" applyAlignment="1">
      <alignment horizontal="right"/>
    </xf>
    <xf numFmtId="164" fontId="92" fillId="77" borderId="0" xfId="0" applyNumberFormat="1" applyFont="1" applyFill="1" applyAlignment="1">
      <alignment horizontal="center" vertical="top"/>
    </xf>
    <xf numFmtId="164" fontId="91" fillId="77" borderId="0" xfId="0" applyNumberFormat="1" applyFont="1" applyFill="1" applyAlignment="1">
      <alignment horizontal="center" vertical="top"/>
    </xf>
    <xf numFmtId="164" fontId="91" fillId="77" borderId="0" xfId="0" applyNumberFormat="1" applyFont="1" applyFill="1" applyAlignment="1">
      <alignment horizontal="right" vertical="top"/>
    </xf>
    <xf numFmtId="0" fontId="185" fillId="78" borderId="49" xfId="0" applyFont="1" applyFill="1" applyBorder="1"/>
    <xf numFmtId="0" fontId="102" fillId="78" borderId="0" xfId="0" applyFont="1" applyFill="1"/>
    <xf numFmtId="172" fontId="32" fillId="0" borderId="0" xfId="8" applyNumberFormat="1" applyFont="1"/>
    <xf numFmtId="0" fontId="173" fillId="3" borderId="0" xfId="7" applyFont="1" applyFill="1" applyBorder="1" applyAlignment="1" applyProtection="1"/>
    <xf numFmtId="172" fontId="91" fillId="0" borderId="0" xfId="13330" applyNumberFormat="1" applyFont="1" applyFill="1" applyBorder="1" applyAlignment="1">
      <alignment horizontal="right" vertical="top"/>
    </xf>
    <xf numFmtId="172" fontId="92" fillId="0" borderId="0" xfId="13330" applyNumberFormat="1" applyFont="1" applyFill="1" applyBorder="1" applyAlignment="1">
      <alignment horizontal="right" vertical="top"/>
    </xf>
    <xf numFmtId="0" fontId="92" fillId="76" borderId="51" xfId="0" applyFont="1" applyFill="1" applyBorder="1" applyAlignment="1">
      <alignment wrapText="1"/>
    </xf>
    <xf numFmtId="0" fontId="92" fillId="76" borderId="51" xfId="0" applyFont="1" applyFill="1" applyBorder="1" applyAlignment="1">
      <alignment horizontal="right" wrapText="1"/>
    </xf>
    <xf numFmtId="0" fontId="92" fillId="76" borderId="51" xfId="0" applyFont="1" applyFill="1" applyBorder="1" applyAlignment="1">
      <alignment horizontal="right"/>
    </xf>
    <xf numFmtId="0" fontId="92" fillId="76" borderId="51" xfId="0" applyFont="1" applyFill="1" applyBorder="1" applyAlignment="1">
      <alignment horizontal="center" wrapText="1"/>
    </xf>
    <xf numFmtId="0" fontId="92" fillId="76" borderId="52" xfId="0" applyFont="1" applyFill="1" applyBorder="1" applyAlignment="1">
      <alignment horizontal="center" wrapText="1"/>
    </xf>
    <xf numFmtId="0" fontId="90" fillId="77" borderId="46" xfId="0" applyFont="1" applyFill="1" applyBorder="1" applyAlignment="1" applyProtection="1">
      <alignment horizontal="center"/>
      <protection locked="0"/>
    </xf>
    <xf numFmtId="49" fontId="90" fillId="77" borderId="46" xfId="0" applyNumberFormat="1" applyFont="1" applyFill="1" applyBorder="1" applyAlignment="1" applyProtection="1">
      <alignment horizontal="center"/>
      <protection locked="0"/>
    </xf>
    <xf numFmtId="172" fontId="90" fillId="77" borderId="46" xfId="0" applyNumberFormat="1" applyFont="1" applyFill="1" applyBorder="1" applyProtection="1">
      <protection locked="0"/>
    </xf>
    <xf numFmtId="193" fontId="90" fillId="77" borderId="113" xfId="0" applyNumberFormat="1" applyFont="1" applyFill="1" applyBorder="1" applyAlignment="1" applyProtection="1">
      <alignment horizontal="center"/>
      <protection locked="0"/>
    </xf>
    <xf numFmtId="0" fontId="89" fillId="77" borderId="41" xfId="0" applyFont="1" applyFill="1" applyBorder="1" applyProtection="1">
      <protection locked="0"/>
    </xf>
    <xf numFmtId="0" fontId="90" fillId="77" borderId="41" xfId="0" applyFont="1" applyFill="1" applyBorder="1" applyProtection="1">
      <protection locked="0"/>
    </xf>
    <xf numFmtId="0" fontId="90" fillId="77" borderId="41" xfId="0" applyFont="1" applyFill="1" applyBorder="1" applyAlignment="1" applyProtection="1">
      <alignment horizontal="center"/>
      <protection locked="0"/>
    </xf>
    <xf numFmtId="49" fontId="90" fillId="77" borderId="41" xfId="0" applyNumberFormat="1" applyFont="1" applyFill="1" applyBorder="1" applyAlignment="1" applyProtection="1">
      <alignment horizontal="center"/>
      <protection locked="0"/>
    </xf>
    <xf numFmtId="172" fontId="90" fillId="77" borderId="41" xfId="0" applyNumberFormat="1" applyFont="1" applyFill="1" applyBorder="1" applyProtection="1">
      <protection locked="0"/>
    </xf>
    <xf numFmtId="173" fontId="90" fillId="77" borderId="114" xfId="0" applyNumberFormat="1" applyFont="1" applyFill="1" applyBorder="1" applyAlignment="1" applyProtection="1">
      <alignment horizontal="center"/>
      <protection locked="0"/>
    </xf>
    <xf numFmtId="0" fontId="92" fillId="76" borderId="59" xfId="0" applyFont="1" applyFill="1" applyBorder="1" applyAlignment="1">
      <alignment wrapText="1"/>
    </xf>
    <xf numFmtId="0" fontId="92" fillId="76" borderId="59" xfId="0" applyFont="1" applyFill="1" applyBorder="1" applyAlignment="1">
      <alignment horizontal="center" wrapText="1"/>
    </xf>
    <xf numFmtId="0" fontId="92" fillId="76" borderId="59" xfId="0" applyFont="1" applyFill="1" applyBorder="1" applyAlignment="1">
      <alignment horizontal="right"/>
    </xf>
    <xf numFmtId="0" fontId="92" fillId="76" borderId="59" xfId="0" applyFont="1" applyFill="1" applyBorder="1" applyAlignment="1">
      <alignment horizontal="right" wrapText="1"/>
    </xf>
    <xf numFmtId="0" fontId="92" fillId="76" borderId="53" xfId="0" applyFont="1" applyFill="1" applyBorder="1" applyAlignment="1">
      <alignment horizontal="right"/>
    </xf>
    <xf numFmtId="194" fontId="92" fillId="76" borderId="51" xfId="0" applyNumberFormat="1" applyFont="1" applyFill="1" applyBorder="1" applyAlignment="1">
      <alignment horizontal="right"/>
    </xf>
    <xf numFmtId="194" fontId="92" fillId="76" borderId="52" xfId="0" applyNumberFormat="1" applyFont="1" applyFill="1" applyBorder="1" applyAlignment="1">
      <alignment horizontal="right"/>
    </xf>
    <xf numFmtId="0" fontId="92" fillId="76" borderId="52" xfId="0" applyFont="1" applyFill="1" applyBorder="1" applyAlignment="1">
      <alignment horizontal="right"/>
    </xf>
    <xf numFmtId="0" fontId="92" fillId="76" borderId="10" xfId="0" applyFont="1" applyFill="1" applyBorder="1" applyAlignment="1">
      <alignment horizontal="right"/>
    </xf>
    <xf numFmtId="0" fontId="92" fillId="76" borderId="1" xfId="0" applyFont="1" applyFill="1" applyBorder="1" applyAlignment="1">
      <alignment horizontal="right"/>
    </xf>
    <xf numFmtId="0" fontId="92" fillId="76" borderId="9" xfId="0" applyFont="1" applyFill="1" applyBorder="1" applyAlignment="1">
      <alignment horizontal="right"/>
    </xf>
    <xf numFmtId="0" fontId="188" fillId="78" borderId="0" xfId="0" quotePrefix="1" applyFont="1" applyFill="1"/>
    <xf numFmtId="0" fontId="104" fillId="78" borderId="0" xfId="0" applyFont="1" applyFill="1"/>
    <xf numFmtId="0" fontId="140" fillId="3" borderId="1" xfId="0" applyFont="1" applyFill="1" applyBorder="1"/>
    <xf numFmtId="0" fontId="107" fillId="0" borderId="1" xfId="0" applyFont="1" applyBorder="1" applyAlignment="1">
      <alignment horizontal="center" vertical="top"/>
    </xf>
    <xf numFmtId="0" fontId="102" fillId="0" borderId="0" xfId="7" applyFont="1" applyFill="1" applyBorder="1" applyAlignment="1" applyProtection="1">
      <alignment horizontal="left" wrapText="1" indent="1"/>
    </xf>
    <xf numFmtId="0" fontId="125" fillId="0" borderId="1" xfId="0" applyFont="1" applyBorder="1" applyAlignment="1">
      <alignment horizontal="center"/>
    </xf>
    <xf numFmtId="172" fontId="104" fillId="0" borderId="59" xfId="0" applyNumberFormat="1" applyFont="1" applyBorder="1" applyAlignment="1">
      <alignment horizontal="right" vertical="top"/>
    </xf>
    <xf numFmtId="0" fontId="91" fillId="0" borderId="59" xfId="0" applyFont="1" applyBorder="1"/>
    <xf numFmtId="0" fontId="104" fillId="0" borderId="59" xfId="0" applyFont="1" applyBorder="1" applyAlignment="1">
      <alignment horizontal="center" vertical="top"/>
    </xf>
    <xf numFmtId="0" fontId="92" fillId="76" borderId="0" xfId="0" applyFont="1" applyFill="1"/>
    <xf numFmtId="0" fontId="91" fillId="76" borderId="0" xfId="0" applyFont="1" applyFill="1"/>
    <xf numFmtId="0" fontId="107" fillId="76" borderId="0" xfId="0" applyFont="1" applyFill="1" applyAlignment="1">
      <alignment horizontal="center" vertical="top"/>
    </xf>
    <xf numFmtId="0" fontId="104" fillId="76" borderId="0" xfId="0" applyFont="1" applyFill="1" applyAlignment="1">
      <alignment horizontal="center" vertical="top"/>
    </xf>
    <xf numFmtId="0" fontId="91" fillId="79" borderId="41" xfId="0" applyFont="1" applyFill="1" applyBorder="1"/>
    <xf numFmtId="0" fontId="92" fillId="76" borderId="1" xfId="0" quotePrefix="1" applyFont="1" applyFill="1" applyBorder="1"/>
    <xf numFmtId="0" fontId="91" fillId="76" borderId="1" xfId="0" applyFont="1" applyFill="1" applyBorder="1" applyAlignment="1">
      <alignment horizontal="center"/>
    </xf>
    <xf numFmtId="0" fontId="92" fillId="76" borderId="1" xfId="0" applyFont="1" applyFill="1" applyBorder="1"/>
    <xf numFmtId="221" fontId="92" fillId="77" borderId="63" xfId="0" applyNumberFormat="1" applyFont="1" applyFill="1" applyBorder="1" applyAlignment="1">
      <alignment horizontal="right"/>
    </xf>
    <xf numFmtId="194" fontId="92" fillId="77" borderId="59" xfId="0" applyNumberFormat="1" applyFont="1" applyFill="1" applyBorder="1" applyAlignment="1">
      <alignment horizontal="right"/>
    </xf>
    <xf numFmtId="194" fontId="92" fillId="77" borderId="57" xfId="0" applyNumberFormat="1" applyFont="1" applyFill="1" applyBorder="1" applyAlignment="1">
      <alignment horizontal="right"/>
    </xf>
    <xf numFmtId="0" fontId="92" fillId="77" borderId="98" xfId="0" applyFont="1" applyFill="1" applyBorder="1" applyAlignment="1">
      <alignment horizontal="right"/>
    </xf>
    <xf numFmtId="0" fontId="92" fillId="77" borderId="99" xfId="0" applyFont="1" applyFill="1" applyBorder="1" applyAlignment="1">
      <alignment horizontal="right"/>
    </xf>
    <xf numFmtId="0" fontId="92" fillId="77" borderId="100" xfId="0" applyFont="1" applyFill="1" applyBorder="1" applyAlignment="1">
      <alignment horizontal="right"/>
    </xf>
    <xf numFmtId="0" fontId="92" fillId="77" borderId="1" xfId="0" applyFont="1" applyFill="1" applyBorder="1" applyAlignment="1">
      <alignment horizontal="right"/>
    </xf>
    <xf numFmtId="0" fontId="92" fillId="77" borderId="9" xfId="0" applyFont="1" applyFill="1" applyBorder="1" applyAlignment="1">
      <alignment horizontal="right"/>
    </xf>
    <xf numFmtId="0" fontId="91" fillId="76" borderId="1" xfId="0" applyFont="1" applyFill="1" applyBorder="1" applyAlignment="1">
      <alignment horizontal="right"/>
    </xf>
    <xf numFmtId="9" fontId="92" fillId="76" borderId="1" xfId="9" applyFont="1" applyFill="1" applyBorder="1" applyAlignment="1" applyProtection="1">
      <alignment horizontal="center" vertical="top"/>
    </xf>
    <xf numFmtId="172" fontId="101" fillId="76" borderId="1" xfId="9" applyNumberFormat="1" applyFont="1" applyFill="1" applyBorder="1" applyAlignment="1" applyProtection="1">
      <alignment vertical="top"/>
    </xf>
    <xf numFmtId="9" fontId="92" fillId="0" borderId="41" xfId="9" applyFont="1" applyFill="1" applyBorder="1" applyAlignment="1" applyProtection="1">
      <alignment horizontal="center" vertical="top"/>
    </xf>
    <xf numFmtId="172" fontId="90" fillId="0" borderId="41" xfId="9" applyNumberFormat="1" applyFont="1" applyFill="1" applyBorder="1" applyAlignment="1" applyProtection="1">
      <alignment vertical="top"/>
    </xf>
    <xf numFmtId="175" fontId="91" fillId="76" borderId="1" xfId="0" applyNumberFormat="1" applyFont="1" applyFill="1" applyBorder="1"/>
    <xf numFmtId="9" fontId="92" fillId="76" borderId="0" xfId="9" applyFont="1" applyFill="1" applyBorder="1" applyAlignment="1" applyProtection="1">
      <alignment horizontal="center" vertical="top"/>
    </xf>
    <xf numFmtId="172" fontId="91" fillId="76" borderId="0" xfId="0" applyNumberFormat="1" applyFont="1" applyFill="1"/>
    <xf numFmtId="0" fontId="92" fillId="76" borderId="51" xfId="0" applyFont="1" applyFill="1" applyBorder="1"/>
    <xf numFmtId="0" fontId="105" fillId="4" borderId="41" xfId="0" applyFont="1" applyFill="1" applyBorder="1" applyProtection="1">
      <protection locked="0"/>
    </xf>
    <xf numFmtId="0" fontId="91" fillId="4" borderId="41" xfId="0" applyFont="1" applyFill="1" applyBorder="1" applyProtection="1">
      <protection locked="0"/>
    </xf>
    <xf numFmtId="0" fontId="94" fillId="76" borderId="59" xfId="8" applyFont="1" applyFill="1" applyBorder="1"/>
    <xf numFmtId="44" fontId="94" fillId="76" borderId="108" xfId="6" applyFont="1" applyFill="1" applyBorder="1" applyAlignment="1" applyProtection="1">
      <alignment horizontal="center"/>
    </xf>
    <xf numFmtId="44" fontId="95" fillId="77" borderId="51" xfId="6" applyFont="1" applyFill="1" applyBorder="1" applyAlignment="1" applyProtection="1">
      <alignment horizontal="center"/>
    </xf>
    <xf numFmtId="44" fontId="95" fillId="77" borderId="52" xfId="6" applyFont="1" applyFill="1" applyBorder="1" applyAlignment="1" applyProtection="1">
      <alignment horizontal="center"/>
    </xf>
    <xf numFmtId="225" fontId="94" fillId="77" borderId="1" xfId="6" applyNumberFormat="1" applyFont="1" applyFill="1" applyBorder="1" applyAlignment="1" applyProtection="1">
      <alignment horizontal="center"/>
    </xf>
    <xf numFmtId="226" fontId="94" fillId="77" borderId="9" xfId="6" applyNumberFormat="1" applyFont="1" applyFill="1" applyBorder="1" applyAlignment="1" applyProtection="1">
      <alignment horizontal="center"/>
    </xf>
    <xf numFmtId="0" fontId="94" fillId="77" borderId="59" xfId="8" applyFont="1" applyFill="1" applyBorder="1" applyAlignment="1">
      <alignment horizontal="center"/>
    </xf>
    <xf numFmtId="0" fontId="95" fillId="76" borderId="59" xfId="8" applyFont="1" applyFill="1" applyBorder="1"/>
    <xf numFmtId="44" fontId="95" fillId="76" borderId="59" xfId="6" applyFont="1" applyFill="1" applyBorder="1" applyProtection="1"/>
    <xf numFmtId="0" fontId="94" fillId="76" borderId="0" xfId="8" applyFont="1" applyFill="1"/>
    <xf numFmtId="44" fontId="95" fillId="76" borderId="0" xfId="8" applyNumberFormat="1" applyFont="1" applyFill="1"/>
    <xf numFmtId="173" fontId="95" fillId="76" borderId="0" xfId="8" applyNumberFormat="1" applyFont="1" applyFill="1"/>
    <xf numFmtId="0" fontId="104" fillId="0" borderId="0" xfId="8" applyFont="1"/>
    <xf numFmtId="44" fontId="94" fillId="0" borderId="0" xfId="6" applyFont="1" applyFill="1" applyBorder="1" applyProtection="1"/>
    <xf numFmtId="175" fontId="94" fillId="0" borderId="0" xfId="6" applyNumberFormat="1" applyFont="1" applyFill="1" applyBorder="1" applyProtection="1"/>
    <xf numFmtId="0" fontId="188" fillId="80" borderId="0" xfId="0" applyFont="1" applyFill="1"/>
    <xf numFmtId="0" fontId="186" fillId="80" borderId="0" xfId="0" applyFont="1" applyFill="1"/>
    <xf numFmtId="0" fontId="94" fillId="76" borderId="0" xfId="8" applyFont="1" applyFill="1" applyAlignment="1">
      <alignment horizontal="center" wrapText="1"/>
    </xf>
    <xf numFmtId="44" fontId="94" fillId="76" borderId="0" xfId="6" applyFont="1" applyFill="1" applyBorder="1" applyAlignment="1" applyProtection="1">
      <alignment horizontal="center"/>
    </xf>
    <xf numFmtId="0" fontId="189" fillId="80" borderId="0" xfId="8" applyFont="1" applyFill="1"/>
    <xf numFmtId="38" fontId="190" fillId="80" borderId="0" xfId="6" applyNumberFormat="1" applyFont="1" applyFill="1" applyBorder="1" applyProtection="1"/>
    <xf numFmtId="9" fontId="190" fillId="80" borderId="0" xfId="9" applyFont="1" applyFill="1" applyBorder="1" applyProtection="1"/>
    <xf numFmtId="44" fontId="95" fillId="76" borderId="0" xfId="6" applyFont="1" applyFill="1" applyBorder="1" applyProtection="1"/>
    <xf numFmtId="0" fontId="91" fillId="0" borderId="53" xfId="0" applyFont="1" applyBorder="1"/>
    <xf numFmtId="0" fontId="95" fillId="0" borderId="13" xfId="8" applyFont="1" applyBorder="1"/>
    <xf numFmtId="0" fontId="94" fillId="77" borderId="53" xfId="8" applyFont="1" applyFill="1" applyBorder="1" applyAlignment="1">
      <alignment horizontal="center" wrapText="1"/>
    </xf>
    <xf numFmtId="0" fontId="94" fillId="77" borderId="10" xfId="8" applyFont="1" applyFill="1" applyBorder="1" applyAlignment="1">
      <alignment horizontal="center" wrapText="1"/>
    </xf>
    <xf numFmtId="0" fontId="95" fillId="0" borderId="13" xfId="8" applyFont="1" applyBorder="1" applyAlignment="1">
      <alignment horizontal="center" wrapText="1"/>
    </xf>
    <xf numFmtId="172" fontId="95" fillId="0" borderId="11" xfId="6" applyNumberFormat="1" applyFont="1" applyFill="1" applyBorder="1" applyAlignment="1" applyProtection="1">
      <alignment horizontal="center"/>
    </xf>
    <xf numFmtId="14" fontId="95" fillId="0" borderId="11" xfId="6" applyNumberFormat="1" applyFont="1" applyFill="1" applyBorder="1" applyAlignment="1" applyProtection="1">
      <alignment horizontal="center"/>
    </xf>
    <xf numFmtId="0" fontId="95" fillId="0" borderId="10" xfId="8" quotePrefix="1" applyFont="1" applyBorder="1" applyAlignment="1">
      <alignment horizontal="center" wrapText="1"/>
    </xf>
    <xf numFmtId="220" fontId="95" fillId="0" borderId="1" xfId="8" quotePrefix="1" applyNumberFormat="1" applyFont="1" applyBorder="1" applyAlignment="1">
      <alignment horizontal="center" wrapText="1"/>
    </xf>
    <xf numFmtId="220" fontId="95" fillId="0" borderId="9" xfId="8" quotePrefix="1" applyNumberFormat="1" applyFont="1" applyBorder="1" applyAlignment="1">
      <alignment horizontal="center" wrapText="1"/>
    </xf>
    <xf numFmtId="0" fontId="183" fillId="81" borderId="0" xfId="0" applyFont="1" applyFill="1"/>
    <xf numFmtId="0" fontId="125" fillId="79" borderId="0" xfId="0" applyFont="1" applyFill="1" applyAlignment="1">
      <alignment horizontal="center"/>
    </xf>
    <xf numFmtId="0" fontId="91" fillId="79" borderId="0" xfId="0" applyFont="1" applyFill="1"/>
    <xf numFmtId="172" fontId="90" fillId="79" borderId="54" xfId="0" applyNumberFormat="1" applyFont="1" applyFill="1" applyBorder="1" applyAlignment="1">
      <alignment horizontal="center" vertical="top"/>
    </xf>
    <xf numFmtId="0" fontId="91" fillId="79" borderId="1" xfId="0" applyFont="1" applyFill="1" applyBorder="1"/>
    <xf numFmtId="172" fontId="90" fillId="79" borderId="39" xfId="0" applyNumberFormat="1" applyFont="1" applyFill="1" applyBorder="1" applyAlignment="1">
      <alignment horizontal="center" vertical="top"/>
    </xf>
    <xf numFmtId="172" fontId="90" fillId="79" borderId="35" xfId="0" applyNumberFormat="1" applyFont="1" applyFill="1" applyBorder="1" applyAlignment="1">
      <alignment horizontal="center" vertical="top"/>
    </xf>
    <xf numFmtId="172" fontId="90" fillId="79" borderId="40" xfId="0" applyNumberFormat="1" applyFont="1" applyFill="1" applyBorder="1" applyAlignment="1">
      <alignment horizontal="center" vertical="top"/>
    </xf>
    <xf numFmtId="0" fontId="91" fillId="79" borderId="51" xfId="0" applyFont="1" applyFill="1" applyBorder="1" applyAlignment="1">
      <alignment horizontal="center" vertical="top"/>
    </xf>
    <xf numFmtId="0" fontId="91" fillId="79" borderId="46" xfId="0" applyFont="1" applyFill="1" applyBorder="1"/>
    <xf numFmtId="0" fontId="91" fillId="79" borderId="109" xfId="0" applyFont="1" applyFill="1" applyBorder="1"/>
    <xf numFmtId="172" fontId="91" fillId="79" borderId="97" xfId="0" applyNumberFormat="1" applyFont="1" applyFill="1" applyBorder="1" applyAlignment="1">
      <alignment horizontal="center" vertical="top"/>
    </xf>
    <xf numFmtId="0" fontId="91" fillId="79" borderId="61" xfId="0" applyFont="1" applyFill="1" applyBorder="1"/>
    <xf numFmtId="172" fontId="91" fillId="79" borderId="49" xfId="0" applyNumberFormat="1" applyFont="1" applyFill="1" applyBorder="1" applyAlignment="1">
      <alignment horizontal="center" vertical="top"/>
    </xf>
    <xf numFmtId="0" fontId="91" fillId="79" borderId="69" xfId="0" applyFont="1" applyFill="1" applyBorder="1"/>
    <xf numFmtId="0" fontId="91" fillId="79" borderId="110" xfId="0" applyFont="1" applyFill="1" applyBorder="1"/>
    <xf numFmtId="172" fontId="91" fillId="79" borderId="103" xfId="0" applyNumberFormat="1" applyFont="1" applyFill="1" applyBorder="1" applyAlignment="1">
      <alignment horizontal="center" vertical="top"/>
    </xf>
    <xf numFmtId="0" fontId="95" fillId="0" borderId="46" xfId="8" applyFont="1" applyBorder="1"/>
    <xf numFmtId="0" fontId="95" fillId="0" borderId="41" xfId="8" applyFont="1" applyBorder="1"/>
    <xf numFmtId="0" fontId="95" fillId="0" borderId="44" xfId="8" applyFont="1" applyBorder="1"/>
    <xf numFmtId="44" fontId="94" fillId="76" borderId="136" xfId="6" applyFont="1" applyFill="1" applyBorder="1" applyAlignment="1" applyProtection="1">
      <alignment horizontal="center"/>
    </xf>
    <xf numFmtId="174" fontId="113" fillId="69" borderId="137" xfId="6" quotePrefix="1" applyNumberFormat="1" applyFont="1" applyFill="1" applyBorder="1" applyProtection="1">
      <protection locked="0"/>
    </xf>
    <xf numFmtId="172" fontId="113" fillId="69" borderId="61" xfId="6" applyNumberFormat="1" applyFont="1" applyFill="1" applyBorder="1" applyProtection="1">
      <protection locked="0"/>
    </xf>
    <xf numFmtId="172" fontId="113" fillId="2" borderId="61" xfId="6" applyNumberFormat="1" applyFont="1" applyFill="1" applyBorder="1" applyProtection="1">
      <protection locked="0"/>
    </xf>
    <xf numFmtId="172" fontId="113" fillId="2" borderId="61" xfId="6" applyNumberFormat="1" applyFont="1" applyFill="1" applyBorder="1" applyAlignment="1" applyProtection="1">
      <protection locked="0"/>
    </xf>
    <xf numFmtId="172" fontId="113" fillId="2" borderId="110" xfId="6" applyNumberFormat="1" applyFont="1" applyFill="1" applyBorder="1" applyAlignment="1" applyProtection="1">
      <protection locked="0"/>
    </xf>
    <xf numFmtId="174" fontId="94" fillId="0" borderId="34" xfId="6" applyNumberFormat="1" applyFont="1" applyBorder="1" applyAlignment="1" applyProtection="1">
      <alignment horizontal="right"/>
    </xf>
    <xf numFmtId="172" fontId="94" fillId="0" borderId="34" xfId="8" applyNumberFormat="1" applyFont="1" applyBorder="1"/>
    <xf numFmtId="174" fontId="95" fillId="0" borderId="138" xfId="8" applyNumberFormat="1" applyFont="1" applyBorder="1"/>
    <xf numFmtId="172" fontId="95" fillId="0" borderId="139" xfId="8" applyNumberFormat="1" applyFont="1" applyBorder="1"/>
    <xf numFmtId="172" fontId="95" fillId="0" borderId="140" xfId="8" applyNumberFormat="1" applyFont="1" applyBorder="1"/>
    <xf numFmtId="172" fontId="95" fillId="0" borderId="141" xfId="8" applyNumberFormat="1" applyFont="1" applyBorder="1"/>
    <xf numFmtId="0" fontId="189" fillId="75" borderId="34" xfId="8" applyFont="1" applyFill="1" applyBorder="1" applyAlignment="1">
      <alignment horizontal="center" wrapText="1"/>
    </xf>
    <xf numFmtId="0" fontId="91" fillId="76" borderId="135" xfId="0" applyFont="1" applyFill="1" applyBorder="1"/>
    <xf numFmtId="0" fontId="189" fillId="75" borderId="34" xfId="8" applyFont="1" applyFill="1" applyBorder="1" applyAlignment="1">
      <alignment horizontal="center"/>
    </xf>
    <xf numFmtId="0" fontId="95" fillId="0" borderId="123" xfId="8" applyFont="1" applyBorder="1"/>
    <xf numFmtId="0" fontId="95" fillId="0" borderId="124" xfId="8" applyFont="1" applyBorder="1"/>
    <xf numFmtId="0" fontId="95" fillId="0" borderId="124" xfId="0" applyFont="1" applyBorder="1"/>
    <xf numFmtId="0" fontId="91" fillId="0" borderId="124" xfId="0" applyFont="1" applyBorder="1"/>
    <xf numFmtId="0" fontId="95" fillId="0" borderId="125" xfId="0" applyFont="1" applyBorder="1"/>
    <xf numFmtId="0" fontId="109" fillId="0" borderId="1" xfId="0" applyFont="1" applyBorder="1"/>
    <xf numFmtId="174" fontId="95" fillId="0" borderId="142" xfId="8" applyNumberFormat="1" applyFont="1" applyBorder="1"/>
    <xf numFmtId="174" fontId="94" fillId="0" borderId="34" xfId="8" applyNumberFormat="1" applyFont="1" applyBorder="1"/>
    <xf numFmtId="172" fontId="91" fillId="0" borderId="12" xfId="0" applyNumberFormat="1" applyFont="1" applyBorder="1" applyAlignment="1">
      <alignment horizontal="right"/>
    </xf>
    <xf numFmtId="174" fontId="92" fillId="0" borderId="12" xfId="0" applyNumberFormat="1" applyFont="1" applyBorder="1" applyAlignment="1">
      <alignment horizontal="right"/>
    </xf>
    <xf numFmtId="174" fontId="94" fillId="0" borderId="59" xfId="6" applyNumberFormat="1" applyFont="1" applyFill="1" applyBorder="1" applyProtection="1"/>
    <xf numFmtId="174" fontId="141" fillId="0" borderId="59" xfId="0" applyNumberFormat="1" applyFont="1" applyBorder="1" applyAlignment="1">
      <alignment horizontal="right"/>
    </xf>
    <xf numFmtId="174" fontId="95" fillId="0" borderId="46" xfId="8" applyNumberFormat="1" applyFont="1" applyBorder="1"/>
    <xf numFmtId="172" fontId="95" fillId="0" borderId="41" xfId="8" applyNumberFormat="1" applyFont="1" applyBorder="1"/>
    <xf numFmtId="172" fontId="95" fillId="0" borderId="44" xfId="8" applyNumberFormat="1" applyFont="1" applyBorder="1"/>
    <xf numFmtId="172" fontId="113" fillId="2" borderId="109" xfId="6" applyNumberFormat="1" applyFont="1" applyFill="1" applyBorder="1" applyProtection="1">
      <protection locked="0"/>
    </xf>
    <xf numFmtId="172" fontId="113" fillId="2" borderId="115" xfId="6" applyNumberFormat="1" applyFont="1" applyFill="1" applyBorder="1" applyProtection="1">
      <protection locked="0"/>
    </xf>
    <xf numFmtId="174" fontId="94" fillId="0" borderId="34" xfId="6" applyNumberFormat="1" applyFont="1" applyBorder="1" applyProtection="1"/>
    <xf numFmtId="174" fontId="92" fillId="0" borderId="34" xfId="0" applyNumberFormat="1" applyFont="1" applyBorder="1"/>
    <xf numFmtId="174" fontId="105" fillId="0" borderId="12" xfId="0" applyNumberFormat="1" applyFont="1" applyBorder="1"/>
    <xf numFmtId="172" fontId="32" fillId="82" borderId="97" xfId="8" applyNumberFormat="1" applyFont="1" applyFill="1" applyBorder="1"/>
    <xf numFmtId="175" fontId="95" fillId="82" borderId="49" xfId="6" applyNumberFormat="1" applyFont="1" applyFill="1" applyBorder="1" applyProtection="1"/>
    <xf numFmtId="175" fontId="95" fillId="82" borderId="49" xfId="6" applyNumberFormat="1" applyFont="1" applyFill="1" applyBorder="1" applyAlignment="1" applyProtection="1"/>
    <xf numFmtId="175" fontId="95" fillId="82" borderId="96" xfId="6" applyNumberFormat="1" applyFont="1" applyFill="1" applyBorder="1" applyProtection="1"/>
    <xf numFmtId="175" fontId="95" fillId="82" borderId="96" xfId="6" applyNumberFormat="1" applyFont="1" applyFill="1" applyBorder="1" applyAlignment="1" applyProtection="1"/>
    <xf numFmtId="175" fontId="95" fillId="82" borderId="97" xfId="6" applyNumberFormat="1" applyFont="1" applyFill="1" applyBorder="1" applyAlignment="1" applyProtection="1">
      <alignment horizontal="right"/>
    </xf>
    <xf numFmtId="38" fontId="95" fillId="82" borderId="0" xfId="6" applyNumberFormat="1" applyFont="1" applyFill="1" applyBorder="1" applyProtection="1"/>
    <xf numFmtId="9" fontId="95" fillId="82" borderId="0" xfId="9" applyFont="1" applyFill="1" applyBorder="1" applyProtection="1"/>
    <xf numFmtId="38" fontId="94" fillId="82" borderId="97" xfId="6" applyNumberFormat="1" applyFont="1" applyFill="1" applyBorder="1" applyProtection="1"/>
    <xf numFmtId="172" fontId="94" fillId="82" borderId="97" xfId="6" applyNumberFormat="1" applyFont="1" applyFill="1" applyBorder="1" applyProtection="1"/>
    <xf numFmtId="0" fontId="91" fillId="82" borderId="0" xfId="0" applyFont="1" applyFill="1"/>
    <xf numFmtId="175" fontId="91" fillId="82" borderId="0" xfId="0" applyNumberFormat="1" applyFont="1" applyFill="1"/>
    <xf numFmtId="172" fontId="91" fillId="82" borderId="0" xfId="0" applyNumberFormat="1" applyFont="1" applyFill="1"/>
    <xf numFmtId="174" fontId="91" fillId="82" borderId="0" xfId="0" applyNumberFormat="1" applyFont="1" applyFill="1"/>
    <xf numFmtId="172" fontId="95" fillId="82" borderId="49" xfId="6" applyNumberFormat="1" applyFont="1" applyFill="1" applyBorder="1" applyProtection="1"/>
    <xf numFmtId="174" fontId="94" fillId="82" borderId="51" xfId="8" applyNumberFormat="1" applyFont="1" applyFill="1" applyBorder="1"/>
    <xf numFmtId="0" fontId="185" fillId="81" borderId="0" xfId="0" applyFont="1" applyFill="1"/>
    <xf numFmtId="0" fontId="104" fillId="81" borderId="0" xfId="0" applyFont="1" applyFill="1"/>
    <xf numFmtId="172" fontId="90" fillId="82" borderId="54" xfId="0" applyNumberFormat="1" applyFont="1" applyFill="1" applyBorder="1" applyAlignment="1">
      <alignment horizontal="center" vertical="top"/>
    </xf>
    <xf numFmtId="172" fontId="90" fillId="82" borderId="55" xfId="0" applyNumberFormat="1" applyFont="1" applyFill="1" applyBorder="1" applyAlignment="1">
      <alignment horizontal="center" vertical="top"/>
    </xf>
    <xf numFmtId="172" fontId="90" fillId="82" borderId="56" xfId="0" applyNumberFormat="1" applyFont="1" applyFill="1" applyBorder="1" applyAlignment="1">
      <alignment horizontal="center" vertical="top"/>
    </xf>
    <xf numFmtId="172" fontId="91" fillId="82" borderId="49" xfId="0" applyNumberFormat="1" applyFont="1" applyFill="1" applyBorder="1" applyAlignment="1">
      <alignment horizontal="center" vertical="top"/>
    </xf>
    <xf numFmtId="0" fontId="188" fillId="81" borderId="0" xfId="0" quotePrefix="1" applyFont="1" applyFill="1"/>
    <xf numFmtId="188" fontId="92" fillId="0" borderId="1" xfId="0" applyNumberFormat="1" applyFont="1" applyBorder="1"/>
    <xf numFmtId="183" fontId="92" fillId="0" borderId="1" xfId="4" applyNumberFormat="1" applyFont="1" applyFill="1" applyBorder="1" applyAlignment="1">
      <alignment horizontal="center"/>
    </xf>
    <xf numFmtId="9" fontId="92" fillId="0" borderId="0" xfId="9" applyFont="1" applyFill="1" applyBorder="1" applyAlignment="1">
      <alignment horizontal="center" vertical="top"/>
    </xf>
    <xf numFmtId="0" fontId="92" fillId="76" borderId="0" xfId="0" applyFont="1" applyFill="1" applyAlignment="1">
      <alignment horizontal="right"/>
    </xf>
    <xf numFmtId="194" fontId="92" fillId="76" borderId="0" xfId="0" applyNumberFormat="1" applyFont="1" applyFill="1" applyAlignment="1">
      <alignment horizontal="right"/>
    </xf>
    <xf numFmtId="0" fontId="91" fillId="4" borderId="41" xfId="0" quotePrefix="1" applyFont="1" applyFill="1" applyBorder="1" applyProtection="1">
      <protection locked="0"/>
    </xf>
    <xf numFmtId="164" fontId="91" fillId="0" borderId="0" xfId="0" applyNumberFormat="1" applyFont="1" applyAlignment="1" applyProtection="1">
      <alignment horizontal="center"/>
      <protection locked="0"/>
    </xf>
    <xf numFmtId="0" fontId="92" fillId="76" borderId="0" xfId="0" applyFont="1" applyFill="1" applyAlignment="1">
      <alignment horizontal="left"/>
    </xf>
    <xf numFmtId="0" fontId="92" fillId="76" borderId="0" xfId="0" applyFont="1" applyFill="1" applyAlignment="1">
      <alignment horizontal="center"/>
    </xf>
    <xf numFmtId="0" fontId="91" fillId="76" borderId="0" xfId="0" applyFont="1" applyFill="1" applyAlignment="1">
      <alignment horizontal="center" wrapText="1"/>
    </xf>
    <xf numFmtId="0" fontId="91" fillId="76" borderId="51" xfId="0" applyFont="1" applyFill="1" applyBorder="1" applyAlignment="1">
      <alignment horizontal="center" wrapText="1"/>
    </xf>
    <xf numFmtId="0" fontId="91" fillId="76" borderId="51" xfId="0" applyFont="1" applyFill="1" applyBorder="1"/>
    <xf numFmtId="172" fontId="92" fillId="0" borderId="0" xfId="0" applyNumberFormat="1" applyFont="1" applyAlignment="1" applyProtection="1">
      <alignment horizontal="center" vertical="top"/>
      <protection locked="0"/>
    </xf>
    <xf numFmtId="0" fontId="104" fillId="76" borderId="0" xfId="0" applyFont="1" applyFill="1"/>
    <xf numFmtId="164" fontId="104" fillId="76" borderId="0" xfId="0" applyNumberFormat="1" applyFont="1" applyFill="1" applyAlignment="1">
      <alignment horizontal="center"/>
    </xf>
    <xf numFmtId="172" fontId="104" fillId="76" borderId="0" xfId="0" applyNumberFormat="1" applyFont="1" applyFill="1" applyAlignment="1">
      <alignment horizontal="center"/>
    </xf>
    <xf numFmtId="174" fontId="104" fillId="0" borderId="51" xfId="0" applyNumberFormat="1" applyFont="1" applyBorder="1" applyAlignment="1">
      <alignment horizontal="right"/>
    </xf>
    <xf numFmtId="174" fontId="104" fillId="0" borderId="0" xfId="0" applyNumberFormat="1" applyFont="1" applyAlignment="1">
      <alignment horizontal="right"/>
    </xf>
    <xf numFmtId="174" fontId="104" fillId="0" borderId="0" xfId="0" quotePrefix="1" applyNumberFormat="1" applyFont="1" applyAlignment="1">
      <alignment horizontal="right"/>
    </xf>
    <xf numFmtId="172" fontId="92" fillId="0" borderId="6" xfId="0" applyNumberFormat="1" applyFont="1" applyBorder="1" applyAlignment="1">
      <alignment horizontal="center"/>
    </xf>
    <xf numFmtId="174" fontId="104" fillId="76" borderId="0" xfId="0" applyNumberFormat="1" applyFont="1" applyFill="1" applyAlignment="1">
      <alignment horizontal="right"/>
    </xf>
    <xf numFmtId="0" fontId="104" fillId="76" borderId="0" xfId="0" applyFont="1" applyFill="1" applyAlignment="1">
      <alignment horizontal="right"/>
    </xf>
    <xf numFmtId="164" fontId="104" fillId="76" borderId="0" xfId="0" applyNumberFormat="1" applyFont="1" applyFill="1" applyAlignment="1">
      <alignment horizontal="right"/>
    </xf>
    <xf numFmtId="0" fontId="104" fillId="0" borderId="0" xfId="0" applyFont="1" applyAlignment="1">
      <alignment horizontal="right"/>
    </xf>
    <xf numFmtId="164" fontId="104" fillId="0" borderId="0" xfId="0" applyNumberFormat="1" applyFont="1" applyAlignment="1">
      <alignment horizontal="right"/>
    </xf>
    <xf numFmtId="0" fontId="92" fillId="0" borderId="51" xfId="0" applyFont="1" applyBorder="1" applyProtection="1">
      <protection hidden="1"/>
    </xf>
    <xf numFmtId="174" fontId="92" fillId="0" borderId="51" xfId="0" applyNumberFormat="1" applyFont="1" applyBorder="1" applyAlignment="1" applyProtection="1">
      <alignment horizontal="right"/>
      <protection hidden="1"/>
    </xf>
    <xf numFmtId="0" fontId="91" fillId="0" borderId="51" xfId="0" applyFont="1" applyBorder="1" applyProtection="1">
      <protection hidden="1"/>
    </xf>
    <xf numFmtId="189" fontId="92" fillId="0" borderId="0" xfId="0" applyNumberFormat="1" applyFont="1" applyAlignment="1">
      <alignment horizontal="right"/>
    </xf>
    <xf numFmtId="172" fontId="91" fillId="0" borderId="1" xfId="0" applyNumberFormat="1" applyFont="1" applyBorder="1"/>
    <xf numFmtId="174" fontId="91" fillId="76" borderId="1" xfId="0" applyNumberFormat="1" applyFont="1" applyFill="1" applyBorder="1" applyAlignment="1">
      <alignment horizontal="right"/>
    </xf>
    <xf numFmtId="172" fontId="91" fillId="76" borderId="1" xfId="0" applyNumberFormat="1" applyFont="1" applyFill="1" applyBorder="1"/>
    <xf numFmtId="202" fontId="92" fillId="0" borderId="0" xfId="0" applyNumberFormat="1" applyFont="1" applyAlignment="1">
      <alignment horizontal="right"/>
    </xf>
    <xf numFmtId="172" fontId="162" fillId="0" borderId="0" xfId="0" applyNumberFormat="1" applyFont="1" applyProtection="1">
      <protection locked="0"/>
    </xf>
    <xf numFmtId="173" fontId="92" fillId="0" borderId="0" xfId="0" applyNumberFormat="1" applyFont="1" applyProtection="1">
      <protection locked="0"/>
    </xf>
    <xf numFmtId="172" fontId="92" fillId="0" borderId="0" xfId="0" applyNumberFormat="1" applyFont="1" applyProtection="1">
      <protection locked="0"/>
    </xf>
    <xf numFmtId="172" fontId="113" fillId="83" borderId="97" xfId="6" applyNumberFormat="1" applyFont="1" applyFill="1" applyBorder="1" applyProtection="1">
      <protection locked="0"/>
    </xf>
    <xf numFmtId="172" fontId="113" fillId="83" borderId="49" xfId="6" applyNumberFormat="1" applyFont="1" applyFill="1" applyBorder="1" applyProtection="1">
      <protection locked="0"/>
    </xf>
    <xf numFmtId="172" fontId="113" fillId="83" borderId="96" xfId="6" applyNumberFormat="1" applyFont="1" applyFill="1" applyBorder="1" applyProtection="1">
      <protection locked="0"/>
    </xf>
    <xf numFmtId="172" fontId="96" fillId="4" borderId="97" xfId="0" applyNumberFormat="1" applyFont="1" applyFill="1" applyBorder="1" applyAlignment="1" applyProtection="1">
      <alignment horizontal="right"/>
      <protection locked="0"/>
    </xf>
    <xf numFmtId="172" fontId="96" fillId="4" borderId="49" xfId="0" applyNumberFormat="1" applyFont="1" applyFill="1" applyBorder="1" applyAlignment="1" applyProtection="1">
      <alignment horizontal="right"/>
      <protection locked="0"/>
    </xf>
    <xf numFmtId="172" fontId="96" fillId="4" borderId="103" xfId="0" applyNumberFormat="1" applyFont="1" applyFill="1" applyBorder="1" applyAlignment="1" applyProtection="1">
      <alignment horizontal="right"/>
      <protection locked="0"/>
    </xf>
    <xf numFmtId="0" fontId="92" fillId="79" borderId="51" xfId="0" applyFont="1" applyFill="1" applyBorder="1"/>
    <xf numFmtId="174" fontId="92" fillId="79" borderId="51" xfId="0" applyNumberFormat="1" applyFont="1" applyFill="1" applyBorder="1" applyAlignment="1">
      <alignment horizontal="right"/>
    </xf>
    <xf numFmtId="172" fontId="92" fillId="79" borderId="51" xfId="0" applyNumberFormat="1" applyFont="1" applyFill="1" applyBorder="1" applyAlignment="1">
      <alignment horizontal="center"/>
    </xf>
    <xf numFmtId="172" fontId="92" fillId="79" borderId="51" xfId="0" applyNumberFormat="1" applyFont="1" applyFill="1" applyBorder="1" applyAlignment="1">
      <alignment horizontal="right"/>
    </xf>
    <xf numFmtId="172" fontId="91" fillId="79" borderId="51" xfId="0" applyNumberFormat="1" applyFont="1" applyFill="1" applyBorder="1" applyAlignment="1">
      <alignment horizontal="center"/>
    </xf>
    <xf numFmtId="172" fontId="92" fillId="79" borderId="51" xfId="0" applyNumberFormat="1" applyFont="1" applyFill="1" applyBorder="1" applyAlignment="1">
      <alignment horizontal="left"/>
    </xf>
    <xf numFmtId="3" fontId="96" fillId="4" borderId="0" xfId="11" applyNumberFormat="1" applyFont="1" applyBorder="1" applyAlignment="1" applyProtection="1">
      <alignment horizontal="center"/>
      <protection locked="0"/>
    </xf>
    <xf numFmtId="0" fontId="92" fillId="77" borderId="10" xfId="0" applyFont="1" applyFill="1" applyBorder="1" applyAlignment="1">
      <alignment horizontal="right"/>
    </xf>
    <xf numFmtId="0" fontId="92" fillId="84" borderId="1" xfId="0" applyFont="1" applyFill="1" applyBorder="1"/>
    <xf numFmtId="0" fontId="91" fillId="84" borderId="1" xfId="0" applyFont="1" applyFill="1" applyBorder="1"/>
    <xf numFmtId="3" fontId="92" fillId="84" borderId="1" xfId="11" applyNumberFormat="1" applyFont="1" applyFill="1" applyBorder="1" applyAlignment="1" applyProtection="1">
      <alignment horizontal="center"/>
    </xf>
    <xf numFmtId="0" fontId="107" fillId="73" borderId="12" xfId="0" applyFont="1" applyFill="1" applyBorder="1" applyAlignment="1">
      <alignment horizontal="right" vertical="top"/>
    </xf>
    <xf numFmtId="0" fontId="107" fillId="73" borderId="54" xfId="0" applyFont="1" applyFill="1" applyBorder="1" applyAlignment="1">
      <alignment horizontal="right" vertical="top"/>
    </xf>
    <xf numFmtId="0" fontId="107" fillId="73" borderId="55" xfId="0" applyFont="1" applyFill="1" applyBorder="1" applyAlignment="1">
      <alignment horizontal="right" vertical="top"/>
    </xf>
    <xf numFmtId="0" fontId="107" fillId="73" borderId="56" xfId="0" applyFont="1" applyFill="1" applyBorder="1" applyAlignment="1">
      <alignment horizontal="right" vertical="top"/>
    </xf>
    <xf numFmtId="0" fontId="104" fillId="73" borderId="34" xfId="0" applyFont="1" applyFill="1" applyBorder="1" applyAlignment="1">
      <alignment horizontal="right" vertical="top"/>
    </xf>
    <xf numFmtId="0" fontId="104" fillId="73" borderId="39" xfId="0" applyFont="1" applyFill="1" applyBorder="1" applyAlignment="1">
      <alignment horizontal="right" vertical="top"/>
    </xf>
    <xf numFmtId="0" fontId="104" fillId="73" borderId="35" xfId="0" applyFont="1" applyFill="1" applyBorder="1" applyAlignment="1">
      <alignment horizontal="right" vertical="top"/>
    </xf>
    <xf numFmtId="0" fontId="104" fillId="73" borderId="40" xfId="0" applyFont="1" applyFill="1" applyBorder="1" applyAlignment="1">
      <alignment horizontal="right" vertical="top"/>
    </xf>
    <xf numFmtId="0" fontId="185" fillId="78" borderId="0" xfId="0" applyFont="1" applyFill="1"/>
    <xf numFmtId="0" fontId="104" fillId="78" borderId="0" xfId="0" applyFont="1" applyFill="1" applyProtection="1">
      <protection locked="0"/>
    </xf>
    <xf numFmtId="0" fontId="92" fillId="85" borderId="1" xfId="0" applyFont="1" applyFill="1" applyBorder="1"/>
    <xf numFmtId="0" fontId="91" fillId="85" borderId="1" xfId="0" applyFont="1" applyFill="1" applyBorder="1"/>
    <xf numFmtId="0" fontId="107" fillId="85" borderId="1" xfId="0" applyFont="1" applyFill="1" applyBorder="1" applyAlignment="1">
      <alignment horizontal="right" vertical="top"/>
    </xf>
    <xf numFmtId="0" fontId="104" fillId="85" borderId="1" xfId="0" applyFont="1" applyFill="1" applyBorder="1" applyAlignment="1">
      <alignment horizontal="right" vertical="top"/>
    </xf>
    <xf numFmtId="172" fontId="96" fillId="79" borderId="69" xfId="0" applyNumberFormat="1" applyFont="1" applyFill="1" applyBorder="1" applyAlignment="1">
      <alignment horizontal="right" vertical="top"/>
    </xf>
    <xf numFmtId="172" fontId="90" fillId="79" borderId="69" xfId="0" applyNumberFormat="1" applyFont="1" applyFill="1" applyBorder="1" applyAlignment="1">
      <alignment horizontal="right" vertical="top"/>
    </xf>
    <xf numFmtId="0" fontId="92" fillId="85" borderId="0" xfId="0" applyFont="1" applyFill="1"/>
    <xf numFmtId="174" fontId="92" fillId="85" borderId="0" xfId="0" applyNumberFormat="1" applyFont="1" applyFill="1" applyAlignment="1">
      <alignment horizontal="right"/>
    </xf>
    <xf numFmtId="0" fontId="92" fillId="85" borderId="0" xfId="0" applyFont="1" applyFill="1" applyAlignment="1">
      <alignment horizontal="center"/>
    </xf>
    <xf numFmtId="174" fontId="92" fillId="76" borderId="0" xfId="0" applyNumberFormat="1" applyFont="1" applyFill="1" applyAlignment="1">
      <alignment horizontal="right"/>
    </xf>
    <xf numFmtId="0" fontId="105" fillId="76" borderId="0" xfId="0" applyFont="1" applyFill="1" applyAlignment="1">
      <alignment horizontal="center"/>
    </xf>
    <xf numFmtId="172" fontId="91" fillId="4" borderId="0" xfId="0" applyNumberFormat="1" applyFont="1" applyFill="1" applyAlignment="1">
      <alignment horizontal="right" vertical="top"/>
    </xf>
    <xf numFmtId="0" fontId="92" fillId="0" borderId="47" xfId="0" applyFont="1" applyBorder="1"/>
    <xf numFmtId="174" fontId="92" fillId="0" borderId="47" xfId="0" applyNumberFormat="1" applyFont="1" applyBorder="1" applyAlignment="1">
      <alignment horizontal="right"/>
    </xf>
    <xf numFmtId="184" fontId="92" fillId="0" borderId="47" xfId="0" applyNumberFormat="1" applyFont="1" applyBorder="1" applyAlignment="1">
      <alignment horizontal="right"/>
    </xf>
    <xf numFmtId="174" fontId="92" fillId="76" borderId="1" xfId="0" applyNumberFormat="1" applyFont="1" applyFill="1" applyBorder="1" applyAlignment="1">
      <alignment horizontal="right"/>
    </xf>
    <xf numFmtId="0" fontId="105" fillId="76" borderId="1" xfId="0" applyFont="1" applyFill="1" applyBorder="1"/>
    <xf numFmtId="174" fontId="91" fillId="76" borderId="1" xfId="0" applyNumberFormat="1" applyFont="1" applyFill="1" applyBorder="1" applyAlignment="1">
      <alignment horizontal="right" vertical="top"/>
    </xf>
    <xf numFmtId="174" fontId="91" fillId="76" borderId="0" xfId="0" applyNumberFormat="1" applyFont="1" applyFill="1" applyAlignment="1">
      <alignment horizontal="right" vertical="top"/>
    </xf>
    <xf numFmtId="0" fontId="91" fillId="4" borderId="0" xfId="0" applyFont="1" applyFill="1"/>
    <xf numFmtId="174" fontId="91" fillId="76" borderId="0" xfId="0" applyNumberFormat="1" applyFont="1" applyFill="1" applyAlignment="1">
      <alignment horizontal="right"/>
    </xf>
    <xf numFmtId="10" fontId="91" fillId="0" borderId="0" xfId="9" applyNumberFormat="1" applyFont="1" applyFill="1" applyBorder="1" applyAlignment="1" applyProtection="1">
      <alignment horizontal="center" vertical="top"/>
    </xf>
    <xf numFmtId="10" fontId="91" fillId="0" borderId="0" xfId="9" applyNumberFormat="1" applyFont="1" applyFill="1" applyBorder="1" applyAlignment="1" applyProtection="1">
      <alignment horizontal="center"/>
    </xf>
    <xf numFmtId="0" fontId="92" fillId="0" borderId="143" xfId="0" applyFont="1" applyBorder="1"/>
    <xf numFmtId="164" fontId="91" fillId="76" borderId="0" xfId="0" applyNumberFormat="1" applyFont="1" applyFill="1" applyAlignment="1">
      <alignment horizontal="center"/>
    </xf>
    <xf numFmtId="0" fontId="104" fillId="77" borderId="53" xfId="0" applyFont="1" applyFill="1" applyBorder="1"/>
    <xf numFmtId="0" fontId="92" fillId="77" borderId="51" xfId="0" applyFont="1" applyFill="1" applyBorder="1" applyAlignment="1">
      <alignment horizontal="center"/>
    </xf>
    <xf numFmtId="0" fontId="92" fillId="77" borderId="34" xfId="0" applyFont="1" applyFill="1" applyBorder="1" applyAlignment="1">
      <alignment horizontal="center"/>
    </xf>
    <xf numFmtId="188" fontId="92" fillId="77" borderId="57" xfId="0" applyNumberFormat="1" applyFont="1" applyFill="1" applyBorder="1" applyAlignment="1">
      <alignment horizontal="center"/>
    </xf>
    <xf numFmtId="194" fontId="92" fillId="77" borderId="51" xfId="0" applyNumberFormat="1" applyFont="1" applyFill="1" applyBorder="1" applyAlignment="1">
      <alignment horizontal="center"/>
    </xf>
    <xf numFmtId="194" fontId="92" fillId="77" borderId="52" xfId="0" applyNumberFormat="1" applyFont="1" applyFill="1" applyBorder="1" applyAlignment="1">
      <alignment horizontal="center"/>
    </xf>
    <xf numFmtId="0" fontId="104" fillId="77" borderId="13" xfId="0" applyFont="1" applyFill="1" applyBorder="1"/>
    <xf numFmtId="0" fontId="92" fillId="77" borderId="0" xfId="0" applyFont="1" applyFill="1" applyAlignment="1">
      <alignment horizontal="center"/>
    </xf>
    <xf numFmtId="188" fontId="92" fillId="77" borderId="9" xfId="0" applyNumberFormat="1" applyFont="1" applyFill="1" applyBorder="1" applyAlignment="1">
      <alignment horizontal="center"/>
    </xf>
    <xf numFmtId="0" fontId="92" fillId="77" borderId="98" xfId="0" applyFont="1" applyFill="1" applyBorder="1" applyAlignment="1">
      <alignment horizontal="center"/>
    </xf>
    <xf numFmtId="0" fontId="92" fillId="77" borderId="99" xfId="0" applyFont="1" applyFill="1" applyBorder="1" applyAlignment="1">
      <alignment horizontal="center"/>
    </xf>
    <xf numFmtId="0" fontId="92" fillId="77" borderId="100" xfId="0" applyFont="1" applyFill="1" applyBorder="1" applyAlignment="1">
      <alignment horizontal="center"/>
    </xf>
    <xf numFmtId="0" fontId="104" fillId="77" borderId="10" xfId="0" applyFont="1" applyFill="1" applyBorder="1"/>
    <xf numFmtId="0" fontId="92" fillId="77" borderId="1" xfId="0" applyFont="1" applyFill="1" applyBorder="1" applyAlignment="1">
      <alignment horizontal="center"/>
    </xf>
    <xf numFmtId="0" fontId="92" fillId="77" borderId="12" xfId="0" quotePrefix="1" applyFont="1" applyFill="1" applyBorder="1" applyAlignment="1">
      <alignment horizontal="center"/>
    </xf>
    <xf numFmtId="0" fontId="92" fillId="77" borderId="10" xfId="0" applyFont="1" applyFill="1" applyBorder="1" applyAlignment="1">
      <alignment horizontal="center"/>
    </xf>
    <xf numFmtId="0" fontId="92" fillId="77" borderId="9" xfId="0" applyFont="1" applyFill="1" applyBorder="1" applyAlignment="1">
      <alignment horizontal="center"/>
    </xf>
    <xf numFmtId="0" fontId="91" fillId="85" borderId="0" xfId="0" applyFont="1" applyFill="1"/>
    <xf numFmtId="0" fontId="92" fillId="0" borderId="143" xfId="0" applyFont="1" applyBorder="1" applyAlignment="1">
      <alignment wrapText="1"/>
    </xf>
    <xf numFmtId="164" fontId="91" fillId="0" borderId="0" xfId="0" applyNumberFormat="1" applyFont="1"/>
    <xf numFmtId="0" fontId="92" fillId="76" borderId="0" xfId="0" applyFont="1" applyFill="1" applyAlignment="1">
      <alignment horizontal="right" wrapText="1"/>
    </xf>
    <xf numFmtId="188" fontId="92" fillId="76" borderId="0" xfId="0" applyNumberFormat="1" applyFont="1" applyFill="1" applyAlignment="1">
      <alignment horizontal="center" wrapText="1"/>
    </xf>
    <xf numFmtId="221" fontId="92" fillId="77" borderId="10" xfId="0" applyNumberFormat="1" applyFont="1" applyFill="1" applyBorder="1" applyAlignment="1">
      <alignment horizontal="right"/>
    </xf>
    <xf numFmtId="0" fontId="104" fillId="77" borderId="54" xfId="0" applyFont="1" applyFill="1" applyBorder="1" applyAlignment="1">
      <alignment horizontal="center" vertical="top"/>
    </xf>
    <xf numFmtId="0" fontId="104" fillId="77" borderId="54" xfId="0" quotePrefix="1" applyFont="1" applyFill="1" applyBorder="1" applyAlignment="1">
      <alignment horizontal="center" vertical="top"/>
    </xf>
    <xf numFmtId="0" fontId="104" fillId="77" borderId="55" xfId="0" applyFont="1" applyFill="1" applyBorder="1" applyAlignment="1">
      <alignment horizontal="center" vertical="top"/>
    </xf>
    <xf numFmtId="0" fontId="104" fillId="77" borderId="56" xfId="0" applyFont="1" applyFill="1" applyBorder="1" applyAlignment="1">
      <alignment horizontal="center" vertical="top"/>
    </xf>
    <xf numFmtId="0" fontId="104" fillId="77" borderId="39" xfId="0" applyFont="1" applyFill="1" applyBorder="1" applyAlignment="1">
      <alignment horizontal="center" vertical="top"/>
    </xf>
    <xf numFmtId="0" fontId="104" fillId="77" borderId="35" xfId="0" applyFont="1" applyFill="1" applyBorder="1" applyAlignment="1">
      <alignment horizontal="center" vertical="top"/>
    </xf>
    <xf numFmtId="0" fontId="104" fillId="77" borderId="40" xfId="0" applyFont="1" applyFill="1" applyBorder="1" applyAlignment="1">
      <alignment horizontal="center" vertical="top"/>
    </xf>
    <xf numFmtId="0" fontId="92" fillId="4" borderId="41" xfId="0" applyFont="1" applyFill="1" applyBorder="1" applyAlignment="1" applyProtection="1">
      <alignment horizontal="center" vertical="top"/>
      <protection locked="0"/>
    </xf>
    <xf numFmtId="9" fontId="91" fillId="0" borderId="0" xfId="9" applyFont="1" applyFill="1" applyBorder="1" applyAlignment="1" applyProtection="1">
      <alignment horizontal="center" vertical="top"/>
    </xf>
    <xf numFmtId="9" fontId="91" fillId="0" borderId="0" xfId="9" applyFont="1" applyFill="1" applyBorder="1" applyAlignment="1">
      <alignment horizontal="center" vertical="top"/>
    </xf>
    <xf numFmtId="0" fontId="92" fillId="77" borderId="63" xfId="0" applyFont="1" applyFill="1" applyBorder="1" applyAlignment="1">
      <alignment horizontal="right"/>
    </xf>
    <xf numFmtId="0" fontId="92" fillId="77" borderId="59" xfId="0" applyFont="1" applyFill="1" applyBorder="1" applyAlignment="1">
      <alignment horizontal="right"/>
    </xf>
    <xf numFmtId="0" fontId="92" fillId="77" borderId="57" xfId="0" applyFont="1" applyFill="1" applyBorder="1" applyAlignment="1">
      <alignment horizontal="right"/>
    </xf>
    <xf numFmtId="0" fontId="104" fillId="77" borderId="13" xfId="0" applyFont="1" applyFill="1" applyBorder="1" applyAlignment="1">
      <alignment horizontal="right" vertical="top"/>
    </xf>
    <xf numFmtId="0" fontId="104" fillId="77" borderId="0" xfId="0" quotePrefix="1" applyFont="1" applyFill="1" applyAlignment="1">
      <alignment horizontal="right" vertical="top"/>
    </xf>
    <xf numFmtId="0" fontId="104" fillId="77" borderId="0" xfId="0" applyFont="1" applyFill="1" applyAlignment="1">
      <alignment horizontal="right" vertical="top"/>
    </xf>
    <xf numFmtId="0" fontId="104" fillId="77" borderId="11" xfId="0" applyFont="1" applyFill="1" applyBorder="1" applyAlignment="1">
      <alignment horizontal="right" vertical="top"/>
    </xf>
    <xf numFmtId="0" fontId="104" fillId="77" borderId="10" xfId="0" applyFont="1" applyFill="1" applyBorder="1" applyAlignment="1">
      <alignment horizontal="right" vertical="top"/>
    </xf>
    <xf numFmtId="0" fontId="104" fillId="77" borderId="1" xfId="0" applyFont="1" applyFill="1" applyBorder="1" applyAlignment="1">
      <alignment horizontal="right" vertical="top"/>
    </xf>
    <xf numFmtId="0" fontId="104" fillId="77" borderId="9" xfId="0" applyFont="1" applyFill="1" applyBorder="1" applyAlignment="1">
      <alignment horizontal="right" vertical="top"/>
    </xf>
    <xf numFmtId="9" fontId="101" fillId="4" borderId="0" xfId="0" applyNumberFormat="1" applyFont="1" applyFill="1" applyAlignment="1">
      <alignment horizontal="center"/>
    </xf>
    <xf numFmtId="194" fontId="92" fillId="77" borderId="51" xfId="0" applyNumberFormat="1" applyFont="1" applyFill="1" applyBorder="1" applyAlignment="1">
      <alignment horizontal="right"/>
    </xf>
    <xf numFmtId="0" fontId="92" fillId="77" borderId="51" xfId="0" applyFont="1" applyFill="1" applyBorder="1" applyAlignment="1">
      <alignment horizontal="right"/>
    </xf>
    <xf numFmtId="0" fontId="92" fillId="77" borderId="133" xfId="0" applyFont="1" applyFill="1" applyBorder="1" applyAlignment="1">
      <alignment horizontal="right"/>
    </xf>
    <xf numFmtId="0" fontId="90" fillId="0" borderId="0" xfId="0" applyFont="1"/>
    <xf numFmtId="193" fontId="91" fillId="0" borderId="0" xfId="0" quotePrefix="1" applyNumberFormat="1" applyFont="1" applyAlignment="1" applyProtection="1">
      <alignment horizontal="center"/>
      <protection locked="0"/>
    </xf>
    <xf numFmtId="0" fontId="91" fillId="0" borderId="7" xfId="0" applyFont="1" applyBorder="1"/>
    <xf numFmtId="10" fontId="91" fillId="0" borderId="0" xfId="9" quotePrefix="1" applyNumberFormat="1" applyFont="1" applyFill="1" applyBorder="1" applyAlignment="1">
      <alignment horizontal="left" vertical="top"/>
    </xf>
    <xf numFmtId="174" fontId="162" fillId="86" borderId="49" xfId="0" applyNumberFormat="1" applyFont="1" applyFill="1" applyBorder="1" applyAlignment="1" applyProtection="1">
      <alignment horizontal="right" vertical="top"/>
      <protection locked="0"/>
    </xf>
    <xf numFmtId="172" fontId="96" fillId="79" borderId="49" xfId="0" applyNumberFormat="1" applyFont="1" applyFill="1" applyBorder="1" applyAlignment="1" applyProtection="1">
      <alignment horizontal="right"/>
      <protection locked="0"/>
    </xf>
    <xf numFmtId="172" fontId="96" fillId="79" borderId="96" xfId="0" applyNumberFormat="1" applyFont="1" applyFill="1" applyBorder="1" applyAlignment="1" applyProtection="1">
      <alignment horizontal="right"/>
      <protection locked="0"/>
    </xf>
    <xf numFmtId="0" fontId="91" fillId="0" borderId="97" xfId="0" applyFont="1" applyBorder="1" applyProtection="1">
      <protection locked="0"/>
    </xf>
    <xf numFmtId="9" fontId="154" fillId="0" borderId="49" xfId="9" applyFont="1" applyFill="1" applyBorder="1" applyAlignment="1" applyProtection="1">
      <alignment horizontal="center" vertical="top"/>
      <protection locked="0"/>
    </xf>
    <xf numFmtId="172" fontId="145" fillId="0" borderId="49" xfId="9" applyNumberFormat="1" applyFont="1" applyFill="1" applyBorder="1" applyAlignment="1" applyProtection="1">
      <alignment horizontal="center" vertical="top"/>
      <protection locked="0"/>
    </xf>
    <xf numFmtId="172" fontId="154" fillId="0" borderId="49" xfId="9" applyNumberFormat="1" applyFont="1" applyFill="1" applyBorder="1" applyAlignment="1" applyProtection="1">
      <alignment horizontal="center" vertical="top"/>
      <protection locked="0"/>
    </xf>
    <xf numFmtId="9" fontId="154" fillId="0" borderId="96" xfId="9" applyFont="1" applyFill="1" applyBorder="1" applyAlignment="1" applyProtection="1">
      <alignment horizontal="center" vertical="top"/>
      <protection locked="0"/>
    </xf>
    <xf numFmtId="0" fontId="96" fillId="0" borderId="97" xfId="0" applyFont="1" applyBorder="1" applyAlignment="1" applyProtection="1">
      <alignment horizontal="center" vertical="top"/>
      <protection locked="0"/>
    </xf>
    <xf numFmtId="0" fontId="96" fillId="0" borderId="49" xfId="0" applyFont="1" applyBorder="1" applyAlignment="1" applyProtection="1">
      <alignment horizontal="center" vertical="top"/>
      <protection locked="0"/>
    </xf>
    <xf numFmtId="1" fontId="96" fillId="0" borderId="96" xfId="0" applyNumberFormat="1" applyFont="1" applyBorder="1" applyAlignment="1" applyProtection="1">
      <alignment horizontal="center" vertical="top"/>
      <protection locked="0"/>
    </xf>
    <xf numFmtId="1" fontId="96" fillId="0" borderId="97" xfId="0" applyNumberFormat="1" applyFont="1" applyBorder="1" applyAlignment="1" applyProtection="1">
      <alignment horizontal="center" vertical="top"/>
      <protection locked="0"/>
    </xf>
    <xf numFmtId="1" fontId="96" fillId="0" borderId="49" xfId="0" applyNumberFormat="1" applyFont="1" applyBorder="1" applyAlignment="1" applyProtection="1">
      <alignment horizontal="center" vertical="top"/>
      <protection locked="0"/>
    </xf>
    <xf numFmtId="1" fontId="96" fillId="0" borderId="103" xfId="0" applyNumberFormat="1" applyFont="1" applyBorder="1" applyAlignment="1" applyProtection="1">
      <alignment horizontal="center" vertical="top"/>
      <protection locked="0"/>
    </xf>
    <xf numFmtId="223" fontId="91" fillId="0" borderId="0" xfId="0" applyNumberFormat="1" applyFont="1" applyAlignment="1">
      <alignment horizontal="right"/>
    </xf>
    <xf numFmtId="175" fontId="92" fillId="0" borderId="51" xfId="0" applyNumberFormat="1" applyFont="1" applyBorder="1" applyAlignment="1">
      <alignment horizontal="right"/>
    </xf>
    <xf numFmtId="172" fontId="92" fillId="0" borderId="1" xfId="0" applyNumberFormat="1" applyFont="1" applyBorder="1" applyAlignment="1">
      <alignment horizontal="center"/>
    </xf>
    <xf numFmtId="175" fontId="92" fillId="0" borderId="1" xfId="0" applyNumberFormat="1" applyFont="1" applyBorder="1" applyAlignment="1">
      <alignment horizontal="right"/>
    </xf>
    <xf numFmtId="172" fontId="96" fillId="4" borderId="41" xfId="0" applyNumberFormat="1" applyFont="1" applyFill="1" applyBorder="1" applyProtection="1">
      <protection locked="0"/>
    </xf>
    <xf numFmtId="0" fontId="192" fillId="87" borderId="144" xfId="0" applyFont="1" applyFill="1" applyBorder="1" applyAlignment="1">
      <alignment horizontal="center" vertical="top" wrapText="1"/>
    </xf>
    <xf numFmtId="0" fontId="0" fillId="73" borderId="145" xfId="0" applyFill="1" applyBorder="1" applyAlignment="1">
      <alignment horizontal="center" vertical="top" wrapText="1"/>
    </xf>
    <xf numFmtId="0" fontId="0" fillId="0" borderId="0" xfId="0" applyAlignment="1">
      <alignment vertical="top" wrapText="1"/>
    </xf>
    <xf numFmtId="0" fontId="193" fillId="80" borderId="144" xfId="0" applyFont="1" applyFill="1" applyBorder="1" applyAlignment="1">
      <alignment horizontal="center" vertical="top" wrapText="1"/>
    </xf>
    <xf numFmtId="0" fontId="194" fillId="73" borderId="146" xfId="0" applyFont="1" applyFill="1" applyBorder="1" applyAlignment="1">
      <alignment horizontal="left" vertical="top" wrapText="1"/>
    </xf>
    <xf numFmtId="0" fontId="194" fillId="73" borderId="145" xfId="0" applyFont="1" applyFill="1" applyBorder="1" applyAlignment="1">
      <alignment horizontal="left" vertical="top" wrapText="1"/>
    </xf>
    <xf numFmtId="0" fontId="0" fillId="0" borderId="0" xfId="0" applyAlignment="1">
      <alignment horizontal="left" vertical="top" wrapText="1"/>
    </xf>
    <xf numFmtId="0" fontId="11" fillId="76" borderId="146" xfId="0" applyFont="1" applyFill="1" applyBorder="1" applyAlignment="1">
      <alignment horizontal="left" vertical="top" wrapText="1"/>
    </xf>
    <xf numFmtId="0" fontId="0" fillId="74" borderId="146" xfId="0" applyFill="1" applyBorder="1" applyAlignment="1">
      <alignment horizontal="left" vertical="top" wrapText="1"/>
    </xf>
    <xf numFmtId="0" fontId="191" fillId="74" borderId="146" xfId="0" applyFont="1" applyFill="1" applyBorder="1" applyAlignment="1">
      <alignment vertical="top" wrapText="1"/>
    </xf>
    <xf numFmtId="0" fontId="196" fillId="74" borderId="146" xfId="7" applyFont="1" applyFill="1" applyBorder="1" applyAlignment="1" applyProtection="1">
      <alignment horizontal="center" vertical="top" wrapText="1"/>
    </xf>
    <xf numFmtId="0" fontId="194" fillId="74" borderId="146" xfId="0" applyFont="1" applyFill="1" applyBorder="1" applyAlignment="1">
      <alignment horizontal="left" vertical="top" wrapText="1"/>
    </xf>
    <xf numFmtId="0" fontId="191" fillId="74" borderId="146" xfId="0" applyFont="1" applyFill="1" applyBorder="1" applyAlignment="1">
      <alignment horizontal="left" vertical="top" wrapText="1"/>
    </xf>
    <xf numFmtId="0" fontId="194" fillId="74" borderId="146" xfId="0" applyFont="1" applyFill="1" applyBorder="1" applyAlignment="1">
      <alignment horizontal="left" vertical="top"/>
    </xf>
    <xf numFmtId="0" fontId="0" fillId="74" borderId="145" xfId="0" applyFill="1" applyBorder="1" applyAlignment="1">
      <alignment horizontal="left" vertical="top" wrapText="1"/>
    </xf>
    <xf numFmtId="0" fontId="139" fillId="4" borderId="34" xfId="0" applyFont="1" applyFill="1" applyBorder="1" applyAlignment="1" applyProtection="1">
      <alignment horizontal="center"/>
      <protection locked="0"/>
    </xf>
    <xf numFmtId="0" fontId="139" fillId="4" borderId="34" xfId="0" applyFont="1" applyFill="1" applyBorder="1" applyProtection="1">
      <protection locked="0"/>
    </xf>
    <xf numFmtId="0" fontId="187" fillId="75" borderId="41" xfId="0" applyFont="1" applyFill="1" applyBorder="1" applyAlignment="1">
      <alignment horizontal="center"/>
    </xf>
    <xf numFmtId="195" fontId="90" fillId="4" borderId="41" xfId="0" applyNumberFormat="1" applyFont="1" applyFill="1" applyBorder="1" applyAlignment="1" applyProtection="1">
      <alignment horizontal="center"/>
      <protection locked="0"/>
    </xf>
    <xf numFmtId="195" fontId="162" fillId="4" borderId="44" xfId="0" applyNumberFormat="1" applyFont="1" applyFill="1" applyBorder="1" applyAlignment="1" applyProtection="1">
      <alignment horizontal="center"/>
      <protection locked="0"/>
    </xf>
    <xf numFmtId="189" fontId="139" fillId="0" borderId="49" xfId="11" applyNumberFormat="1" applyFont="1" applyFill="1" applyBorder="1" applyAlignment="1" applyProtection="1">
      <alignment horizontal="center" vertical="top"/>
    </xf>
    <xf numFmtId="164" fontId="90" fillId="0" borderId="49" xfId="11" applyNumberFormat="1" applyFont="1" applyFill="1" applyBorder="1" applyAlignment="1" applyProtection="1">
      <alignment horizontal="center" vertical="top"/>
    </xf>
    <xf numFmtId="172" fontId="96" fillId="72" borderId="49" xfId="0" applyNumberFormat="1" applyFont="1" applyFill="1" applyBorder="1" applyAlignment="1">
      <alignment horizontal="right" wrapText="1"/>
    </xf>
    <xf numFmtId="172" fontId="96" fillId="72" borderId="49" xfId="0" applyNumberFormat="1" applyFont="1" applyFill="1" applyBorder="1" applyAlignment="1">
      <alignment horizontal="right"/>
    </xf>
    <xf numFmtId="0" fontId="92" fillId="4" borderId="0" xfId="0" applyFont="1" applyFill="1" applyProtection="1">
      <protection locked="0"/>
    </xf>
    <xf numFmtId="175" fontId="91" fillId="2" borderId="0" xfId="0" applyNumberFormat="1" applyFont="1" applyFill="1" applyAlignment="1" applyProtection="1">
      <alignment horizontal="center" vertical="top"/>
      <protection locked="0"/>
    </xf>
    <xf numFmtId="0" fontId="194" fillId="74" borderId="146" xfId="0" applyFont="1" applyFill="1" applyBorder="1" applyAlignment="1">
      <alignment horizontal="left" vertical="top" wrapText="1" indent="2"/>
    </xf>
    <xf numFmtId="0" fontId="89" fillId="79" borderId="34" xfId="0" applyFont="1" applyFill="1" applyBorder="1" applyAlignment="1" applyProtection="1">
      <alignment horizontal="center"/>
      <protection locked="0"/>
    </xf>
    <xf numFmtId="195" fontId="162" fillId="4" borderId="41" xfId="0" applyNumberFormat="1" applyFont="1" applyFill="1" applyBorder="1" applyProtection="1">
      <protection locked="0"/>
    </xf>
    <xf numFmtId="0" fontId="139" fillId="73" borderId="34" xfId="0" applyFont="1" applyFill="1" applyBorder="1" applyAlignment="1">
      <alignment horizontal="center"/>
    </xf>
    <xf numFmtId="0" fontId="115" fillId="2" borderId="41" xfId="0" applyFont="1" applyFill="1" applyBorder="1" applyAlignment="1" applyProtection="1">
      <alignment horizontal="left"/>
      <protection locked="0"/>
    </xf>
    <xf numFmtId="0" fontId="123" fillId="2" borderId="34"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46" xfId="0" applyFont="1" applyFill="1" applyBorder="1" applyAlignment="1" applyProtection="1">
      <alignment horizontal="left"/>
      <protection locked="0"/>
    </xf>
    <xf numFmtId="0" fontId="91" fillId="2" borderId="46" xfId="7" applyFont="1" applyFill="1" applyBorder="1" applyAlignment="1" applyProtection="1">
      <alignment horizontal="left" wrapText="1"/>
      <protection locked="0"/>
    </xf>
    <xf numFmtId="0" fontId="96" fillId="2" borderId="41" xfId="0" applyFont="1" applyFill="1" applyBorder="1" applyAlignment="1" applyProtection="1">
      <alignment horizontal="left"/>
      <protection locked="0"/>
    </xf>
    <xf numFmtId="0" fontId="91" fillId="2" borderId="41" xfId="7" applyFont="1" applyFill="1" applyBorder="1" applyAlignment="1" applyProtection="1">
      <alignment horizontal="left" wrapText="1"/>
      <protection locked="0"/>
    </xf>
    <xf numFmtId="0" fontId="115" fillId="2" borderId="46" xfId="0" applyFont="1" applyFill="1" applyBorder="1" applyAlignment="1" applyProtection="1">
      <alignment horizontal="left"/>
      <protection locked="0"/>
    </xf>
    <xf numFmtId="0" fontId="139" fillId="4" borderId="63" xfId="0" applyFont="1" applyFill="1" applyBorder="1" applyAlignment="1" applyProtection="1">
      <alignment horizontal="center"/>
      <protection locked="0"/>
    </xf>
    <xf numFmtId="0" fontId="139" fillId="4" borderId="59" xfId="0" applyFont="1" applyFill="1" applyBorder="1" applyAlignment="1" applyProtection="1">
      <alignment horizontal="center"/>
      <protection locked="0"/>
    </xf>
    <xf numFmtId="0" fontId="139" fillId="4" borderId="57" xfId="0" applyFont="1" applyFill="1" applyBorder="1" applyAlignment="1" applyProtection="1">
      <alignment horizontal="center"/>
      <protection locked="0"/>
    </xf>
    <xf numFmtId="0" fontId="107" fillId="0" borderId="124" xfId="0" applyFont="1" applyBorder="1" applyAlignment="1">
      <alignment horizontal="left" vertical="center" wrapText="1"/>
    </xf>
    <xf numFmtId="0" fontId="107" fillId="0" borderId="41" xfId="0" applyFont="1" applyBorder="1" applyAlignment="1">
      <alignment horizontal="left" vertical="center" wrapText="1"/>
    </xf>
    <xf numFmtId="0" fontId="96" fillId="2" borderId="44" xfId="0" applyFont="1" applyFill="1" applyBorder="1" applyProtection="1">
      <protection locked="0"/>
    </xf>
    <xf numFmtId="0" fontId="89" fillId="77" borderId="46" xfId="0" applyFont="1" applyFill="1" applyBorder="1" applyProtection="1">
      <protection locked="0"/>
    </xf>
    <xf numFmtId="0" fontId="96" fillId="2" borderId="41" xfId="0" applyFont="1" applyFill="1" applyBorder="1" applyProtection="1">
      <protection locked="0"/>
    </xf>
    <xf numFmtId="0" fontId="92" fillId="76" borderId="51" xfId="0" applyFont="1" applyFill="1" applyBorder="1" applyAlignment="1">
      <alignment wrapText="1"/>
    </xf>
    <xf numFmtId="0" fontId="89" fillId="59" borderId="63" xfId="0" applyFont="1" applyFill="1" applyBorder="1" applyAlignment="1">
      <alignment horizontal="center" vertical="center" wrapText="1"/>
    </xf>
    <xf numFmtId="0" fontId="89" fillId="59" borderId="59" xfId="0" applyFont="1" applyFill="1" applyBorder="1" applyAlignment="1">
      <alignment horizontal="center" vertical="center" wrapText="1"/>
    </xf>
    <xf numFmtId="0" fontId="89" fillId="59" borderId="57" xfId="0" applyFont="1" applyFill="1" applyBorder="1" applyAlignment="1">
      <alignment horizontal="center" vertical="center" wrapText="1"/>
    </xf>
    <xf numFmtId="0" fontId="96" fillId="2" borderId="102" xfId="0" applyFont="1" applyFill="1" applyBorder="1" applyProtection="1">
      <protection locked="0"/>
    </xf>
    <xf numFmtId="10" fontId="179" fillId="0" borderId="41" xfId="9" applyNumberFormat="1" applyFont="1" applyFill="1" applyBorder="1" applyAlignment="1" applyProtection="1">
      <alignment horizontal="left" vertical="top"/>
      <protection locked="0"/>
    </xf>
    <xf numFmtId="0" fontId="89" fillId="0" borderId="51" xfId="0" applyFont="1" applyBorder="1" applyAlignment="1">
      <alignment horizontal="left"/>
    </xf>
    <xf numFmtId="0" fontId="89" fillId="0" borderId="59" xfId="0" applyFont="1" applyBorder="1" applyAlignment="1">
      <alignment horizontal="left"/>
    </xf>
    <xf numFmtId="0" fontId="100" fillId="0" borderId="1" xfId="7" applyFont="1" applyFill="1" applyBorder="1" applyAlignment="1" applyProtection="1">
      <alignment horizontal="right" wrapText="1" indent="1"/>
    </xf>
    <xf numFmtId="0" fontId="100" fillId="0" borderId="9" xfId="7" applyFont="1" applyFill="1" applyBorder="1" applyAlignment="1" applyProtection="1">
      <alignment horizontal="right" wrapText="1" indent="1"/>
    </xf>
    <xf numFmtId="0" fontId="91" fillId="0" borderId="0" xfId="0" applyFont="1"/>
    <xf numFmtId="0" fontId="185" fillId="78" borderId="0" xfId="0" applyFont="1" applyFill="1" applyAlignment="1">
      <alignment wrapText="1"/>
    </xf>
    <xf numFmtId="0" fontId="102" fillId="85" borderId="0" xfId="0" applyFont="1" applyFill="1" applyAlignment="1">
      <alignment horizontal="left"/>
    </xf>
    <xf numFmtId="0" fontId="188" fillId="78" borderId="0" xfId="0" quotePrefix="1" applyFont="1" applyFill="1" applyAlignment="1">
      <alignment wrapText="1"/>
    </xf>
    <xf numFmtId="0" fontId="92" fillId="0" borderId="63" xfId="0" applyFont="1" applyBorder="1" applyAlignment="1">
      <alignment horizontal="center"/>
    </xf>
    <xf numFmtId="0" fontId="92" fillId="0" borderId="59" xfId="0" applyFont="1" applyBorder="1" applyAlignment="1">
      <alignment horizontal="center"/>
    </xf>
    <xf numFmtId="0" fontId="92" fillId="0" borderId="57" xfId="0" applyFont="1" applyBorder="1" applyAlignment="1">
      <alignment horizontal="center"/>
    </xf>
    <xf numFmtId="0" fontId="130" fillId="0" borderId="0" xfId="0" applyFont="1" applyAlignment="1">
      <alignment horizontal="center"/>
    </xf>
    <xf numFmtId="0" fontId="64" fillId="5" borderId="0" xfId="0" applyFont="1" applyFill="1"/>
    <xf numFmtId="0" fontId="64" fillId="61" borderId="92" xfId="33111" applyFont="1" applyFill="1" applyBorder="1" applyAlignment="1" applyProtection="1">
      <alignment horizontal="center" vertical="top" wrapText="1"/>
      <protection locked="0"/>
    </xf>
    <xf numFmtId="0" fontId="64" fillId="61" borderId="93" xfId="33111" applyFont="1" applyFill="1" applyBorder="1" applyAlignment="1" applyProtection="1">
      <alignment horizontal="center" vertical="top" wrapText="1"/>
      <protection locked="0"/>
    </xf>
    <xf numFmtId="172" fontId="15" fillId="0" borderId="51"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B590000}"/>
    <cellStyle name="Currency 10 2" xfId="9833" xr:uid="{00000000-0005-0000-0000-00003C590000}"/>
    <cellStyle name="Currency 10 3" xfId="21915" xr:uid="{00000000-0005-0000-0000-00003D590000}"/>
    <cellStyle name="Currency 11" xfId="5853" xr:uid="{00000000-0005-0000-0000-00003E590000}"/>
    <cellStyle name="Currency 11 2" xfId="5854" xr:uid="{00000000-0005-0000-0000-00003F590000}"/>
    <cellStyle name="Currency 11 2 2" xfId="9835" xr:uid="{00000000-0005-0000-0000-000040590000}"/>
    <cellStyle name="Currency 11 2 3" xfId="21913" xr:uid="{00000000-0005-0000-0000-000041590000}"/>
    <cellStyle name="Currency 11 3" xfId="5855" xr:uid="{00000000-0005-0000-0000-000042590000}"/>
    <cellStyle name="Currency 11 3 2" xfId="13158" xr:uid="{00000000-0005-0000-0000-000043590000}"/>
    <cellStyle name="Currency 11 3 3" xfId="21912" xr:uid="{00000000-0005-0000-0000-000044590000}"/>
    <cellStyle name="Currency 11 4" xfId="9834" xr:uid="{00000000-0005-0000-0000-000045590000}"/>
    <cellStyle name="Currency 11 5" xfId="21914" xr:uid="{00000000-0005-0000-0000-000046590000}"/>
    <cellStyle name="Currency 12" xfId="5856" xr:uid="{00000000-0005-0000-0000-000047590000}"/>
    <cellStyle name="Currency 12 2" xfId="13159" xr:uid="{00000000-0005-0000-0000-000048590000}"/>
    <cellStyle name="Currency 12 3" xfId="21911" xr:uid="{00000000-0005-0000-0000-000049590000}"/>
    <cellStyle name="Currency 2" xfId="6" xr:uid="{00000000-0005-0000-0000-00004A590000}"/>
    <cellStyle name="Currency 2 2" xfId="5858" xr:uid="{00000000-0005-0000-0000-00004B590000}"/>
    <cellStyle name="Currency 2 2 2" xfId="5859" xr:uid="{00000000-0005-0000-0000-00004C590000}"/>
    <cellStyle name="Currency 2 2 2 2" xfId="9837" xr:uid="{00000000-0005-0000-0000-00004D590000}"/>
    <cellStyle name="Currency 2 2 2 3" xfId="21908" xr:uid="{00000000-0005-0000-0000-00004E590000}"/>
    <cellStyle name="Currency 2 2 3" xfId="5860" xr:uid="{00000000-0005-0000-0000-00004F590000}"/>
    <cellStyle name="Currency 2 2 3 2" xfId="13160" xr:uid="{00000000-0005-0000-0000-000050590000}"/>
    <cellStyle name="Currency 2 2 3 3" xfId="21907" xr:uid="{00000000-0005-0000-0000-000051590000}"/>
    <cellStyle name="Currency 2 2 4" xfId="5861" xr:uid="{00000000-0005-0000-0000-000052590000}"/>
    <cellStyle name="Currency 2 2 4 2" xfId="17025" xr:uid="{00000000-0005-0000-0000-000053590000}"/>
    <cellStyle name="Currency 2 2 4 2 2" xfId="30432" xr:uid="{00000000-0005-0000-0000-000054590000}"/>
    <cellStyle name="Currency 2 2 4 3" xfId="21906" xr:uid="{00000000-0005-0000-0000-000055590000}"/>
    <cellStyle name="Currency 2 2 5" xfId="8679" xr:uid="{00000000-0005-0000-0000-000056590000}"/>
    <cellStyle name="Currency 2 2 6" xfId="21909" xr:uid="{00000000-0005-0000-0000-000057590000}"/>
    <cellStyle name="Currency 2 3" xfId="5862" xr:uid="{00000000-0005-0000-0000-000058590000}"/>
    <cellStyle name="Currency 2 3 2" xfId="5863" xr:uid="{00000000-0005-0000-0000-000059590000}"/>
    <cellStyle name="Currency 2 3 2 2" xfId="13161" xr:uid="{00000000-0005-0000-0000-00005A590000}"/>
    <cellStyle name="Currency 2 3 2 3" xfId="21904" xr:uid="{00000000-0005-0000-0000-00005B590000}"/>
    <cellStyle name="Currency 2 3 3" xfId="5864" xr:uid="{00000000-0005-0000-0000-00005C590000}"/>
    <cellStyle name="Currency 2 3 3 2" xfId="17026" xr:uid="{00000000-0005-0000-0000-00005D590000}"/>
    <cellStyle name="Currency 2 3 3 2 2" xfId="30433" xr:uid="{00000000-0005-0000-0000-00005E590000}"/>
    <cellStyle name="Currency 2 3 3 3" xfId="21903" xr:uid="{00000000-0005-0000-0000-00005F590000}"/>
    <cellStyle name="Currency 2 3 4" xfId="5865" xr:uid="{00000000-0005-0000-0000-000060590000}"/>
    <cellStyle name="Currency 2 3 4 2" xfId="17368" xr:uid="{00000000-0005-0000-0000-000061590000}"/>
    <cellStyle name="Currency 2 3 4 3" xfId="21902" xr:uid="{00000000-0005-0000-0000-000062590000}"/>
    <cellStyle name="Currency 2 3 5" xfId="8738" xr:uid="{00000000-0005-0000-0000-000063590000}"/>
    <cellStyle name="Currency 2 3 6" xfId="10516" xr:uid="{00000000-0005-0000-0000-000064590000}"/>
    <cellStyle name="Currency 2 3 7" xfId="21905" xr:uid="{00000000-0005-0000-0000-000065590000}"/>
    <cellStyle name="Currency 2 4" xfId="8653" xr:uid="{00000000-0005-0000-0000-000066590000}"/>
    <cellStyle name="Currency 2 4 2" xfId="9836" xr:uid="{00000000-0005-0000-0000-000067590000}"/>
    <cellStyle name="Currency 2 5" xfId="17301" xr:uid="{00000000-0005-0000-0000-000068590000}"/>
    <cellStyle name="Currency 2 6" xfId="21910" xr:uid="{00000000-0005-0000-0000-000069590000}"/>
    <cellStyle name="Currency 2 7" xfId="32974" xr:uid="{00000000-0005-0000-0000-00006A590000}"/>
    <cellStyle name="Currency 2 8" xfId="5857" xr:uid="{00000000-0005-0000-0000-00006B590000}"/>
    <cellStyle name="Currency 3" xfId="5866" xr:uid="{00000000-0005-0000-0000-00006C590000}"/>
    <cellStyle name="Currency 3 10" xfId="5867" xr:uid="{00000000-0005-0000-0000-00006D590000}"/>
    <cellStyle name="Currency 3 10 2" xfId="9839" xr:uid="{00000000-0005-0000-0000-00006E590000}"/>
    <cellStyle name="Currency 3 10 3" xfId="21900" xr:uid="{00000000-0005-0000-0000-00006F590000}"/>
    <cellStyle name="Currency 3 11" xfId="5868" xr:uid="{00000000-0005-0000-0000-000070590000}"/>
    <cellStyle name="Currency 3 11 2" xfId="5869" xr:uid="{00000000-0005-0000-0000-000071590000}"/>
    <cellStyle name="Currency 3 11 2 2" xfId="13162" xr:uid="{00000000-0005-0000-0000-000072590000}"/>
    <cellStyle name="Currency 3 11 2 3" xfId="21898" xr:uid="{00000000-0005-0000-0000-000073590000}"/>
    <cellStyle name="Currency 3 11 3" xfId="5870" xr:uid="{00000000-0005-0000-0000-000074590000}"/>
    <cellStyle name="Currency 3 11 3 2" xfId="17027" xr:uid="{00000000-0005-0000-0000-000075590000}"/>
    <cellStyle name="Currency 3 11 3 2 2" xfId="30434" xr:uid="{00000000-0005-0000-0000-000076590000}"/>
    <cellStyle name="Currency 3 11 3 3" xfId="21897" xr:uid="{00000000-0005-0000-0000-000077590000}"/>
    <cellStyle name="Currency 3 11 4" xfId="9840" xr:uid="{00000000-0005-0000-0000-000078590000}"/>
    <cellStyle name="Currency 3 11 5" xfId="21899" xr:uid="{00000000-0005-0000-0000-000079590000}"/>
    <cellStyle name="Currency 3 12" xfId="5871" xr:uid="{00000000-0005-0000-0000-00007A590000}"/>
    <cellStyle name="Currency 3 12 2" xfId="5872" xr:uid="{00000000-0005-0000-0000-00007B590000}"/>
    <cellStyle name="Currency 3 12 2 2" xfId="13164" xr:uid="{00000000-0005-0000-0000-00007C590000}"/>
    <cellStyle name="Currency 3 12 2 3" xfId="21895" xr:uid="{00000000-0005-0000-0000-00007D590000}"/>
    <cellStyle name="Currency 3 12 3" xfId="5873" xr:uid="{00000000-0005-0000-0000-00007E590000}"/>
    <cellStyle name="Currency 3 12 3 2" xfId="13163" xr:uid="{00000000-0005-0000-0000-00007F590000}"/>
    <cellStyle name="Currency 3 12 3 2 2" xfId="26875" xr:uid="{00000000-0005-0000-0000-000080590000}"/>
    <cellStyle name="Currency 3 12 3 3" xfId="21894" xr:uid="{00000000-0005-0000-0000-000081590000}"/>
    <cellStyle name="Currency 3 12 4" xfId="5874" xr:uid="{00000000-0005-0000-0000-000082590000}"/>
    <cellStyle name="Currency 3 12 4 2" xfId="17109" xr:uid="{00000000-0005-0000-0000-000083590000}"/>
    <cellStyle name="Currency 3 12 4 2 2" xfId="30468" xr:uid="{00000000-0005-0000-0000-000084590000}"/>
    <cellStyle name="Currency 3 12 4 3" xfId="21893" xr:uid="{00000000-0005-0000-0000-000085590000}"/>
    <cellStyle name="Currency 3 12 5" xfId="9841" xr:uid="{00000000-0005-0000-0000-000086590000}"/>
    <cellStyle name="Currency 3 12 6" xfId="21896" xr:uid="{00000000-0005-0000-0000-000087590000}"/>
    <cellStyle name="Currency 3 13" xfId="5875" xr:uid="{00000000-0005-0000-0000-000088590000}"/>
    <cellStyle name="Currency 3 13 2" xfId="5876" xr:uid="{00000000-0005-0000-0000-000089590000}"/>
    <cellStyle name="Currency 3 13 2 2" xfId="17198" xr:uid="{00000000-0005-0000-0000-00008A590000}"/>
    <cellStyle name="Currency 3 13 2 2 2" xfId="30557" xr:uid="{00000000-0005-0000-0000-00008B590000}"/>
    <cellStyle name="Currency 3 13 2 3" xfId="21891" xr:uid="{00000000-0005-0000-0000-00008C590000}"/>
    <cellStyle name="Currency 3 13 3" xfId="9842" xr:uid="{00000000-0005-0000-0000-00008D590000}"/>
    <cellStyle name="Currency 3 13 4" xfId="21892" xr:uid="{00000000-0005-0000-0000-00008E590000}"/>
    <cellStyle name="Currency 3 14" xfId="5877" xr:uid="{00000000-0005-0000-0000-00008F590000}"/>
    <cellStyle name="Currency 3 14 2" xfId="5878" xr:uid="{00000000-0005-0000-0000-000090590000}"/>
    <cellStyle name="Currency 3 14 2 2" xfId="5879" xr:uid="{00000000-0005-0000-0000-000091590000}"/>
    <cellStyle name="Currency 3 14 2 2 2" xfId="11359" xr:uid="{00000000-0005-0000-0000-000092590000}"/>
    <cellStyle name="Currency 3 14 2 2 3" xfId="21888" xr:uid="{00000000-0005-0000-0000-000093590000}"/>
    <cellStyle name="Currency 3 14 2 3" xfId="9844" xr:uid="{00000000-0005-0000-0000-000094590000}"/>
    <cellStyle name="Currency 3 14 2 4" xfId="21889" xr:uid="{00000000-0005-0000-0000-000095590000}"/>
    <cellStyle name="Currency 3 14 3" xfId="5880" xr:uid="{00000000-0005-0000-0000-000096590000}"/>
    <cellStyle name="Currency 3 14 3 2" xfId="11358" xr:uid="{00000000-0005-0000-0000-000097590000}"/>
    <cellStyle name="Currency 3 14 3 3" xfId="21887" xr:uid="{00000000-0005-0000-0000-000098590000}"/>
    <cellStyle name="Currency 3 14 4" xfId="5881" xr:uid="{00000000-0005-0000-0000-000099590000}"/>
    <cellStyle name="Currency 3 14 4 2" xfId="17287" xr:uid="{00000000-0005-0000-0000-00009A590000}"/>
    <cellStyle name="Currency 3 14 4 2 2" xfId="30646" xr:uid="{00000000-0005-0000-0000-00009B590000}"/>
    <cellStyle name="Currency 3 14 4 3" xfId="21886" xr:uid="{00000000-0005-0000-0000-00009C590000}"/>
    <cellStyle name="Currency 3 14 5" xfId="9843" xr:uid="{00000000-0005-0000-0000-00009D590000}"/>
    <cellStyle name="Currency 3 14 6" xfId="21890" xr:uid="{00000000-0005-0000-0000-00009E590000}"/>
    <cellStyle name="Currency 3 15" xfId="5882" xr:uid="{00000000-0005-0000-0000-00009F590000}"/>
    <cellStyle name="Currency 3 15 2" xfId="5883" xr:uid="{00000000-0005-0000-0000-0000A0590000}"/>
    <cellStyle name="Currency 3 15 2 2" xfId="11360" xr:uid="{00000000-0005-0000-0000-0000A1590000}"/>
    <cellStyle name="Currency 3 15 2 3" xfId="21884" xr:uid="{00000000-0005-0000-0000-0000A2590000}"/>
    <cellStyle name="Currency 3 15 3" xfId="5884" xr:uid="{00000000-0005-0000-0000-0000A3590000}"/>
    <cellStyle name="Currency 3 15 3 2" xfId="16439" xr:uid="{00000000-0005-0000-0000-0000A4590000}"/>
    <cellStyle name="Currency 3 15 3 2 2" xfId="29846" xr:uid="{00000000-0005-0000-0000-0000A5590000}"/>
    <cellStyle name="Currency 3 15 3 3" xfId="21883" xr:uid="{00000000-0005-0000-0000-0000A6590000}"/>
    <cellStyle name="Currency 3 15 4" xfId="9845" xr:uid="{00000000-0005-0000-0000-0000A7590000}"/>
    <cellStyle name="Currency 3 15 5" xfId="21885" xr:uid="{00000000-0005-0000-0000-0000A8590000}"/>
    <cellStyle name="Currency 3 16" xfId="5885" xr:uid="{00000000-0005-0000-0000-0000A9590000}"/>
    <cellStyle name="Currency 3 16 2" xfId="5886" xr:uid="{00000000-0005-0000-0000-0000AA590000}"/>
    <cellStyle name="Currency 3 16 2 2" xfId="11361" xr:uid="{00000000-0005-0000-0000-0000AB590000}"/>
    <cellStyle name="Currency 3 16 2 3" xfId="21881" xr:uid="{00000000-0005-0000-0000-0000AC590000}"/>
    <cellStyle name="Currency 3 16 3" xfId="9846" xr:uid="{00000000-0005-0000-0000-0000AD590000}"/>
    <cellStyle name="Currency 3 16 4" xfId="21882" xr:uid="{00000000-0005-0000-0000-0000AE590000}"/>
    <cellStyle name="Currency 3 17" xfId="5887" xr:uid="{00000000-0005-0000-0000-0000AF590000}"/>
    <cellStyle name="Currency 3 17 2" xfId="5888" xr:uid="{00000000-0005-0000-0000-0000B0590000}"/>
    <cellStyle name="Currency 3 17 2 2" xfId="11362" xr:uid="{00000000-0005-0000-0000-0000B1590000}"/>
    <cellStyle name="Currency 3 17 2 3" xfId="21879" xr:uid="{00000000-0005-0000-0000-0000B2590000}"/>
    <cellStyle name="Currency 3 17 3" xfId="9847" xr:uid="{00000000-0005-0000-0000-0000B3590000}"/>
    <cellStyle name="Currency 3 17 4" xfId="21880" xr:uid="{00000000-0005-0000-0000-0000B4590000}"/>
    <cellStyle name="Currency 3 18" xfId="5889" xr:uid="{00000000-0005-0000-0000-0000B5590000}"/>
    <cellStyle name="Currency 3 18 2" xfId="5890" xr:uid="{00000000-0005-0000-0000-0000B6590000}"/>
    <cellStyle name="Currency 3 18 2 2" xfId="11363" xr:uid="{00000000-0005-0000-0000-0000B7590000}"/>
    <cellStyle name="Currency 3 18 2 3" xfId="21877" xr:uid="{00000000-0005-0000-0000-0000B8590000}"/>
    <cellStyle name="Currency 3 18 3" xfId="9848" xr:uid="{00000000-0005-0000-0000-0000B9590000}"/>
    <cellStyle name="Currency 3 18 4" xfId="21878" xr:uid="{00000000-0005-0000-0000-0000BA590000}"/>
    <cellStyle name="Currency 3 19" xfId="5891" xr:uid="{00000000-0005-0000-0000-0000BB590000}"/>
    <cellStyle name="Currency 3 19 2" xfId="5892" xr:uid="{00000000-0005-0000-0000-0000BC590000}"/>
    <cellStyle name="Currency 3 19 2 2" xfId="11364" xr:uid="{00000000-0005-0000-0000-0000BD590000}"/>
    <cellStyle name="Currency 3 19 2 3" xfId="21875" xr:uid="{00000000-0005-0000-0000-0000BE590000}"/>
    <cellStyle name="Currency 3 19 3" xfId="9849" xr:uid="{00000000-0005-0000-0000-0000BF590000}"/>
    <cellStyle name="Currency 3 19 4" xfId="21876" xr:uid="{00000000-0005-0000-0000-0000C0590000}"/>
    <cellStyle name="Currency 3 2" xfId="5893" xr:uid="{00000000-0005-0000-0000-0000C1590000}"/>
    <cellStyle name="Currency 3 2 10" xfId="5894" xr:uid="{00000000-0005-0000-0000-0000C2590000}"/>
    <cellStyle name="Currency 3 2 10 2" xfId="11365" xr:uid="{00000000-0005-0000-0000-0000C3590000}"/>
    <cellStyle name="Currency 3 2 10 3" xfId="21873" xr:uid="{00000000-0005-0000-0000-0000C4590000}"/>
    <cellStyle name="Currency 3 2 11" xfId="5895" xr:uid="{00000000-0005-0000-0000-0000C5590000}"/>
    <cellStyle name="Currency 3 2 11 2" xfId="5896" xr:uid="{00000000-0005-0000-0000-0000C6590000}"/>
    <cellStyle name="Currency 3 2 11 2 2" xfId="13165" xr:uid="{00000000-0005-0000-0000-0000C7590000}"/>
    <cellStyle name="Currency 3 2 11 2 2 2" xfId="26877" xr:uid="{00000000-0005-0000-0000-0000C8590000}"/>
    <cellStyle name="Currency 3 2 11 2 3" xfId="21871" xr:uid="{00000000-0005-0000-0000-0000C9590000}"/>
    <cellStyle name="Currency 3 2 11 3" xfId="5897" xr:uid="{00000000-0005-0000-0000-0000CA590000}"/>
    <cellStyle name="Currency 3 2 11 3 2" xfId="15624" xr:uid="{00000000-0005-0000-0000-0000CB590000}"/>
    <cellStyle name="Currency 3 2 11 3 3" xfId="21870" xr:uid="{00000000-0005-0000-0000-0000CC590000}"/>
    <cellStyle name="Currency 3 2 11 4" xfId="11699" xr:uid="{00000000-0005-0000-0000-0000CD590000}"/>
    <cellStyle name="Currency 3 2 11 5" xfId="21872" xr:uid="{00000000-0005-0000-0000-0000CE590000}"/>
    <cellStyle name="Currency 3 2 12" xfId="5898" xr:uid="{00000000-0005-0000-0000-0000CF590000}"/>
    <cellStyle name="Currency 3 2 12 2" xfId="11855" xr:uid="{00000000-0005-0000-0000-0000D0590000}"/>
    <cellStyle name="Currency 3 2 12 2 2" xfId="25570" xr:uid="{00000000-0005-0000-0000-0000D1590000}"/>
    <cellStyle name="Currency 3 2 12 3" xfId="21869" xr:uid="{00000000-0005-0000-0000-0000D2590000}"/>
    <cellStyle name="Currency 3 2 13" xfId="5899" xr:uid="{00000000-0005-0000-0000-0000D3590000}"/>
    <cellStyle name="Currency 3 2 13 2" xfId="13448" xr:uid="{00000000-0005-0000-0000-0000D4590000}"/>
    <cellStyle name="Currency 3 2 13 2 2" xfId="26997" xr:uid="{00000000-0005-0000-0000-0000D5590000}"/>
    <cellStyle name="Currency 3 2 13 3" xfId="21868" xr:uid="{00000000-0005-0000-0000-0000D6590000}"/>
    <cellStyle name="Currency 3 2 14" xfId="5900" xr:uid="{00000000-0005-0000-0000-0000D7590000}"/>
    <cellStyle name="Currency 3 2 14 2" xfId="14029" xr:uid="{00000000-0005-0000-0000-0000D8590000}"/>
    <cellStyle name="Currency 3 2 14 2 2" xfId="27578" xr:uid="{00000000-0005-0000-0000-0000D9590000}"/>
    <cellStyle name="Currency 3 2 14 3" xfId="21867" xr:uid="{00000000-0005-0000-0000-0000DA590000}"/>
    <cellStyle name="Currency 3 2 15" xfId="5901" xr:uid="{00000000-0005-0000-0000-0000DB590000}"/>
    <cellStyle name="Currency 3 2 15 2" xfId="15915" xr:uid="{00000000-0005-0000-0000-0000DC590000}"/>
    <cellStyle name="Currency 3 2 15 2 2" xfId="29322" xr:uid="{00000000-0005-0000-0000-0000DD590000}"/>
    <cellStyle name="Currency 3 2 15 3" xfId="21866" xr:uid="{00000000-0005-0000-0000-0000DE590000}"/>
    <cellStyle name="Currency 3 2 16" xfId="5902" xr:uid="{00000000-0005-0000-0000-0000DF590000}"/>
    <cellStyle name="Currency 3 2 16 2" xfId="9850" xr:uid="{00000000-0005-0000-0000-0000E0590000}"/>
    <cellStyle name="Currency 3 2 16 3" xfId="21865" xr:uid="{00000000-0005-0000-0000-0000E1590000}"/>
    <cellStyle name="Currency 3 2 17" xfId="8715" xr:uid="{00000000-0005-0000-0000-0000E2590000}"/>
    <cellStyle name="Currency 3 2 18" xfId="21874" xr:uid="{00000000-0005-0000-0000-0000E3590000}"/>
    <cellStyle name="Currency 3 2 2" xfId="5903" xr:uid="{00000000-0005-0000-0000-0000E4590000}"/>
    <cellStyle name="Currency 3 2 2 10" xfId="9851" xr:uid="{00000000-0005-0000-0000-0000E5590000}"/>
    <cellStyle name="Currency 3 2 2 11" xfId="21864" xr:uid="{00000000-0005-0000-0000-0000E6590000}"/>
    <cellStyle name="Currency 3 2 2 2" xfId="5904" xr:uid="{00000000-0005-0000-0000-0000E7590000}"/>
    <cellStyle name="Currency 3 2 2 2 2" xfId="5905" xr:uid="{00000000-0005-0000-0000-0000E8590000}"/>
    <cellStyle name="Currency 3 2 2 2 2 2" xfId="5906" xr:uid="{00000000-0005-0000-0000-0000E9590000}"/>
    <cellStyle name="Currency 3 2 2 2 2 2 2" xfId="5907" xr:uid="{00000000-0005-0000-0000-0000EA590000}"/>
    <cellStyle name="Currency 3 2 2 2 2 2 2 2" xfId="11366" xr:uid="{00000000-0005-0000-0000-0000EB590000}"/>
    <cellStyle name="Currency 3 2 2 2 2 2 2 3" xfId="21860" xr:uid="{00000000-0005-0000-0000-0000EC590000}"/>
    <cellStyle name="Currency 3 2 2 2 2 2 3" xfId="5908" xr:uid="{00000000-0005-0000-0000-0000ED590000}"/>
    <cellStyle name="Currency 3 2 2 2 2 2 3 2" xfId="16974" xr:uid="{00000000-0005-0000-0000-0000EE590000}"/>
    <cellStyle name="Currency 3 2 2 2 2 2 3 2 2" xfId="30381" xr:uid="{00000000-0005-0000-0000-0000EF590000}"/>
    <cellStyle name="Currency 3 2 2 2 2 2 3 3" xfId="21859" xr:uid="{00000000-0005-0000-0000-0000F0590000}"/>
    <cellStyle name="Currency 3 2 2 2 2 2 4" xfId="9854" xr:uid="{00000000-0005-0000-0000-0000F1590000}"/>
    <cellStyle name="Currency 3 2 2 2 2 2 5" xfId="21861" xr:uid="{00000000-0005-0000-0000-0000F2590000}"/>
    <cellStyle name="Currency 3 2 2 2 2 3" xfId="5909" xr:uid="{00000000-0005-0000-0000-0000F3590000}"/>
    <cellStyle name="Currency 3 2 2 2 2 3 2" xfId="5910" xr:uid="{00000000-0005-0000-0000-0000F4590000}"/>
    <cellStyle name="Currency 3 2 2 2 2 3 2 2" xfId="13166" xr:uid="{00000000-0005-0000-0000-0000F5590000}"/>
    <cellStyle name="Currency 3 2 2 2 2 3 2 3" xfId="21857" xr:uid="{00000000-0005-0000-0000-0000F6590000}"/>
    <cellStyle name="Currency 3 2 2 2 2 3 3" xfId="12362" xr:uid="{00000000-0005-0000-0000-0000F7590000}"/>
    <cellStyle name="Currency 3 2 2 2 2 3 3 2" xfId="26074" xr:uid="{00000000-0005-0000-0000-0000F8590000}"/>
    <cellStyle name="Currency 3 2 2 2 2 3 4" xfId="21858" xr:uid="{00000000-0005-0000-0000-0000F9590000}"/>
    <cellStyle name="Currency 3 2 2 2 2 4" xfId="5911" xr:uid="{00000000-0005-0000-0000-0000FA590000}"/>
    <cellStyle name="Currency 3 2 2 2 2 4 2" xfId="5912" xr:uid="{00000000-0005-0000-0000-0000FB590000}"/>
    <cellStyle name="Currency 3 2 2 2 2 4 2 2" xfId="15625" xr:uid="{00000000-0005-0000-0000-0000FC590000}"/>
    <cellStyle name="Currency 3 2 2 2 2 4 2 3" xfId="21855" xr:uid="{00000000-0005-0000-0000-0000FD590000}"/>
    <cellStyle name="Currency 3 2 2 2 2 4 3" xfId="13926" xr:uid="{00000000-0005-0000-0000-0000FE590000}"/>
    <cellStyle name="Currency 3 2 2 2 2 4 3 2" xfId="27475" xr:uid="{00000000-0005-0000-0000-0000FF590000}"/>
    <cellStyle name="Currency 3 2 2 2 2 4 4" xfId="21856" xr:uid="{00000000-0005-0000-0000-0000005A0000}"/>
    <cellStyle name="Currency 3 2 2 2 2 5" xfId="5913" xr:uid="{00000000-0005-0000-0000-0000015A0000}"/>
    <cellStyle name="Currency 3 2 2 2 2 5 2" xfId="14507" xr:uid="{00000000-0005-0000-0000-0000025A0000}"/>
    <cellStyle name="Currency 3 2 2 2 2 5 2 2" xfId="28056" xr:uid="{00000000-0005-0000-0000-0000035A0000}"/>
    <cellStyle name="Currency 3 2 2 2 2 5 3" xfId="21854" xr:uid="{00000000-0005-0000-0000-0000045A0000}"/>
    <cellStyle name="Currency 3 2 2 2 2 6" xfId="5914" xr:uid="{00000000-0005-0000-0000-0000055A0000}"/>
    <cellStyle name="Currency 3 2 2 2 2 6 2" xfId="16393" xr:uid="{00000000-0005-0000-0000-0000065A0000}"/>
    <cellStyle name="Currency 3 2 2 2 2 6 2 2" xfId="29800" xr:uid="{00000000-0005-0000-0000-0000075A0000}"/>
    <cellStyle name="Currency 3 2 2 2 2 6 3" xfId="21853" xr:uid="{00000000-0005-0000-0000-0000085A0000}"/>
    <cellStyle name="Currency 3 2 2 2 2 7" xfId="9853" xr:uid="{00000000-0005-0000-0000-0000095A0000}"/>
    <cellStyle name="Currency 3 2 2 2 2 8" xfId="21862" xr:uid="{00000000-0005-0000-0000-00000A5A0000}"/>
    <cellStyle name="Currency 3 2 2 2 3" xfId="5915" xr:uid="{00000000-0005-0000-0000-00000B5A0000}"/>
    <cellStyle name="Currency 3 2 2 2 3 2" xfId="5916" xr:uid="{00000000-0005-0000-0000-00000C5A0000}"/>
    <cellStyle name="Currency 3 2 2 2 3 2 2" xfId="11367" xr:uid="{00000000-0005-0000-0000-00000D5A0000}"/>
    <cellStyle name="Currency 3 2 2 2 3 2 3" xfId="21851" xr:uid="{00000000-0005-0000-0000-00000E5A0000}"/>
    <cellStyle name="Currency 3 2 2 2 3 3" xfId="5917" xr:uid="{00000000-0005-0000-0000-00000F5A0000}"/>
    <cellStyle name="Currency 3 2 2 2 3 3 2" xfId="16685" xr:uid="{00000000-0005-0000-0000-0000105A0000}"/>
    <cellStyle name="Currency 3 2 2 2 3 3 2 2" xfId="30092" xr:uid="{00000000-0005-0000-0000-0000115A0000}"/>
    <cellStyle name="Currency 3 2 2 2 3 3 3" xfId="21850" xr:uid="{00000000-0005-0000-0000-0000125A0000}"/>
    <cellStyle name="Currency 3 2 2 2 3 4" xfId="9855" xr:uid="{00000000-0005-0000-0000-0000135A0000}"/>
    <cellStyle name="Currency 3 2 2 2 3 5" xfId="21852" xr:uid="{00000000-0005-0000-0000-0000145A0000}"/>
    <cellStyle name="Currency 3 2 2 2 4" xfId="5918" xr:uid="{00000000-0005-0000-0000-0000155A0000}"/>
    <cellStyle name="Currency 3 2 2 2 4 2" xfId="5919" xr:uid="{00000000-0005-0000-0000-0000165A0000}"/>
    <cellStyle name="Currency 3 2 2 2 4 2 2" xfId="13167" xr:uid="{00000000-0005-0000-0000-0000175A0000}"/>
    <cellStyle name="Currency 3 2 2 2 4 2 3" xfId="21848" xr:uid="{00000000-0005-0000-0000-0000185A0000}"/>
    <cellStyle name="Currency 3 2 2 2 4 3" xfId="12062" xr:uid="{00000000-0005-0000-0000-0000195A0000}"/>
    <cellStyle name="Currency 3 2 2 2 4 3 2" xfId="25777" xr:uid="{00000000-0005-0000-0000-00001A5A0000}"/>
    <cellStyle name="Currency 3 2 2 2 4 4" xfId="21849" xr:uid="{00000000-0005-0000-0000-00001B5A0000}"/>
    <cellStyle name="Currency 3 2 2 2 5" xfId="5920" xr:uid="{00000000-0005-0000-0000-00001C5A0000}"/>
    <cellStyle name="Currency 3 2 2 2 5 2" xfId="5921" xr:uid="{00000000-0005-0000-0000-00001D5A0000}"/>
    <cellStyle name="Currency 3 2 2 2 5 2 2" xfId="15626" xr:uid="{00000000-0005-0000-0000-00001E5A0000}"/>
    <cellStyle name="Currency 3 2 2 2 5 2 3" xfId="21846" xr:uid="{00000000-0005-0000-0000-00001F5A0000}"/>
    <cellStyle name="Currency 3 2 2 2 5 3" xfId="13637" xr:uid="{00000000-0005-0000-0000-0000205A0000}"/>
    <cellStyle name="Currency 3 2 2 2 5 3 2" xfId="27186" xr:uid="{00000000-0005-0000-0000-0000215A0000}"/>
    <cellStyle name="Currency 3 2 2 2 5 4" xfId="21847" xr:uid="{00000000-0005-0000-0000-0000225A0000}"/>
    <cellStyle name="Currency 3 2 2 2 6" xfId="5922" xr:uid="{00000000-0005-0000-0000-0000235A0000}"/>
    <cellStyle name="Currency 3 2 2 2 6 2" xfId="14218" xr:uid="{00000000-0005-0000-0000-0000245A0000}"/>
    <cellStyle name="Currency 3 2 2 2 6 2 2" xfId="27767" xr:uid="{00000000-0005-0000-0000-0000255A0000}"/>
    <cellStyle name="Currency 3 2 2 2 6 3" xfId="21845" xr:uid="{00000000-0005-0000-0000-0000265A0000}"/>
    <cellStyle name="Currency 3 2 2 2 7" xfId="5923" xr:uid="{00000000-0005-0000-0000-0000275A0000}"/>
    <cellStyle name="Currency 3 2 2 2 7 2" xfId="16104" xr:uid="{00000000-0005-0000-0000-0000285A0000}"/>
    <cellStyle name="Currency 3 2 2 2 7 2 2" xfId="29511" xr:uid="{00000000-0005-0000-0000-0000295A0000}"/>
    <cellStyle name="Currency 3 2 2 2 7 3" xfId="21844" xr:uid="{00000000-0005-0000-0000-00002A5A0000}"/>
    <cellStyle name="Currency 3 2 2 2 8" xfId="9852" xr:uid="{00000000-0005-0000-0000-00002B5A0000}"/>
    <cellStyle name="Currency 3 2 2 2 9" xfId="21863" xr:uid="{00000000-0005-0000-0000-00002C5A0000}"/>
    <cellStyle name="Currency 3 2 2 3" xfId="5924" xr:uid="{00000000-0005-0000-0000-00002D5A0000}"/>
    <cellStyle name="Currency 3 2 2 3 2" xfId="5925" xr:uid="{00000000-0005-0000-0000-00002E5A0000}"/>
    <cellStyle name="Currency 3 2 2 3 2 2" xfId="5926" xr:uid="{00000000-0005-0000-0000-00002F5A0000}"/>
    <cellStyle name="Currency 3 2 2 3 2 2 2" xfId="11368" xr:uid="{00000000-0005-0000-0000-0000305A0000}"/>
    <cellStyle name="Currency 3 2 2 3 2 2 3" xfId="21841" xr:uid="{00000000-0005-0000-0000-0000315A0000}"/>
    <cellStyle name="Currency 3 2 2 3 2 3" xfId="5927" xr:uid="{00000000-0005-0000-0000-0000325A0000}"/>
    <cellStyle name="Currency 3 2 2 3 2 3 2" xfId="16831" xr:uid="{00000000-0005-0000-0000-0000335A0000}"/>
    <cellStyle name="Currency 3 2 2 3 2 3 2 2" xfId="30238" xr:uid="{00000000-0005-0000-0000-0000345A0000}"/>
    <cellStyle name="Currency 3 2 2 3 2 3 3" xfId="21840" xr:uid="{00000000-0005-0000-0000-0000355A0000}"/>
    <cellStyle name="Currency 3 2 2 3 2 4" xfId="9857" xr:uid="{00000000-0005-0000-0000-0000365A0000}"/>
    <cellStyle name="Currency 3 2 2 3 2 5" xfId="21842" xr:uid="{00000000-0005-0000-0000-0000375A0000}"/>
    <cellStyle name="Currency 3 2 2 3 3" xfId="5928" xr:uid="{00000000-0005-0000-0000-0000385A0000}"/>
    <cellStyle name="Currency 3 2 2 3 3 2" xfId="5929" xr:uid="{00000000-0005-0000-0000-0000395A0000}"/>
    <cellStyle name="Currency 3 2 2 3 3 2 2" xfId="13168" xr:uid="{00000000-0005-0000-0000-00003A5A0000}"/>
    <cellStyle name="Currency 3 2 2 3 3 2 3" xfId="21838" xr:uid="{00000000-0005-0000-0000-00003B5A0000}"/>
    <cellStyle name="Currency 3 2 2 3 3 3" xfId="12219" xr:uid="{00000000-0005-0000-0000-00003C5A0000}"/>
    <cellStyle name="Currency 3 2 2 3 3 3 2" xfId="25931" xr:uid="{00000000-0005-0000-0000-00003D5A0000}"/>
    <cellStyle name="Currency 3 2 2 3 3 4" xfId="21839" xr:uid="{00000000-0005-0000-0000-00003E5A0000}"/>
    <cellStyle name="Currency 3 2 2 3 4" xfId="5930" xr:uid="{00000000-0005-0000-0000-00003F5A0000}"/>
    <cellStyle name="Currency 3 2 2 3 4 2" xfId="5931" xr:uid="{00000000-0005-0000-0000-0000405A0000}"/>
    <cellStyle name="Currency 3 2 2 3 4 2 2" xfId="15627" xr:uid="{00000000-0005-0000-0000-0000415A0000}"/>
    <cellStyle name="Currency 3 2 2 3 4 2 3" xfId="21836" xr:uid="{00000000-0005-0000-0000-0000425A0000}"/>
    <cellStyle name="Currency 3 2 2 3 4 3" xfId="13783" xr:uid="{00000000-0005-0000-0000-0000435A0000}"/>
    <cellStyle name="Currency 3 2 2 3 4 3 2" xfId="27332" xr:uid="{00000000-0005-0000-0000-0000445A0000}"/>
    <cellStyle name="Currency 3 2 2 3 4 4" xfId="21837" xr:uid="{00000000-0005-0000-0000-0000455A0000}"/>
    <cellStyle name="Currency 3 2 2 3 5" xfId="5932" xr:uid="{00000000-0005-0000-0000-0000465A0000}"/>
    <cellStyle name="Currency 3 2 2 3 5 2" xfId="14364" xr:uid="{00000000-0005-0000-0000-0000475A0000}"/>
    <cellStyle name="Currency 3 2 2 3 5 2 2" xfId="27913" xr:uid="{00000000-0005-0000-0000-0000485A0000}"/>
    <cellStyle name="Currency 3 2 2 3 5 3" xfId="21835" xr:uid="{00000000-0005-0000-0000-0000495A0000}"/>
    <cellStyle name="Currency 3 2 2 3 6" xfId="5933" xr:uid="{00000000-0005-0000-0000-00004A5A0000}"/>
    <cellStyle name="Currency 3 2 2 3 6 2" xfId="16250" xr:uid="{00000000-0005-0000-0000-00004B5A0000}"/>
    <cellStyle name="Currency 3 2 2 3 6 2 2" xfId="29657" xr:uid="{00000000-0005-0000-0000-00004C5A0000}"/>
    <cellStyle name="Currency 3 2 2 3 6 3" xfId="21834" xr:uid="{00000000-0005-0000-0000-00004D5A0000}"/>
    <cellStyle name="Currency 3 2 2 3 7" xfId="9856" xr:uid="{00000000-0005-0000-0000-00004E5A0000}"/>
    <cellStyle name="Currency 3 2 2 3 8" xfId="21843" xr:uid="{00000000-0005-0000-0000-00004F5A0000}"/>
    <cellStyle name="Currency 3 2 2 4" xfId="5934" xr:uid="{00000000-0005-0000-0000-0000505A0000}"/>
    <cellStyle name="Currency 3 2 2 4 2" xfId="5935" xr:uid="{00000000-0005-0000-0000-0000515A0000}"/>
    <cellStyle name="Currency 3 2 2 4 2 2" xfId="17178" xr:uid="{00000000-0005-0000-0000-0000525A0000}"/>
    <cellStyle name="Currency 3 2 2 4 2 2 2" xfId="30537" xr:uid="{00000000-0005-0000-0000-0000535A0000}"/>
    <cellStyle name="Currency 3 2 2 4 2 3" xfId="21832" xr:uid="{00000000-0005-0000-0000-0000545A0000}"/>
    <cellStyle name="Currency 3 2 2 4 3" xfId="9858" xr:uid="{00000000-0005-0000-0000-0000555A0000}"/>
    <cellStyle name="Currency 3 2 2 4 4" xfId="21833" xr:uid="{00000000-0005-0000-0000-0000565A0000}"/>
    <cellStyle name="Currency 3 2 2 5" xfId="5936" xr:uid="{00000000-0005-0000-0000-0000575A0000}"/>
    <cellStyle name="Currency 3 2 2 5 2" xfId="5937" xr:uid="{00000000-0005-0000-0000-0000585A0000}"/>
    <cellStyle name="Currency 3 2 2 5 2 2" xfId="11369" xr:uid="{00000000-0005-0000-0000-0000595A0000}"/>
    <cellStyle name="Currency 3 2 2 5 2 3" xfId="21830" xr:uid="{00000000-0005-0000-0000-00005A5A0000}"/>
    <cellStyle name="Currency 3 2 2 5 3" xfId="5938" xr:uid="{00000000-0005-0000-0000-00005B5A0000}"/>
    <cellStyle name="Currency 3 2 2 5 3 2" xfId="17267" xr:uid="{00000000-0005-0000-0000-00005C5A0000}"/>
    <cellStyle name="Currency 3 2 2 5 3 2 2" xfId="30626" xr:uid="{00000000-0005-0000-0000-00005D5A0000}"/>
    <cellStyle name="Currency 3 2 2 5 3 3" xfId="21829" xr:uid="{00000000-0005-0000-0000-00005E5A0000}"/>
    <cellStyle name="Currency 3 2 2 5 4" xfId="9859" xr:uid="{00000000-0005-0000-0000-00005F5A0000}"/>
    <cellStyle name="Currency 3 2 2 5 5" xfId="21831" xr:uid="{00000000-0005-0000-0000-0000605A0000}"/>
    <cellStyle name="Currency 3 2 2 6" xfId="5939" xr:uid="{00000000-0005-0000-0000-0000615A0000}"/>
    <cellStyle name="Currency 3 2 2 6 2" xfId="5940" xr:uid="{00000000-0005-0000-0000-0000625A0000}"/>
    <cellStyle name="Currency 3 2 2 6 2 2" xfId="13169" xr:uid="{00000000-0005-0000-0000-0000635A0000}"/>
    <cellStyle name="Currency 3 2 2 6 2 3" xfId="21827" xr:uid="{00000000-0005-0000-0000-0000645A0000}"/>
    <cellStyle name="Currency 3 2 2 6 3" xfId="5941" xr:uid="{00000000-0005-0000-0000-0000655A0000}"/>
    <cellStyle name="Currency 3 2 2 6 3 2" xfId="16542" xr:uid="{00000000-0005-0000-0000-0000665A0000}"/>
    <cellStyle name="Currency 3 2 2 6 3 2 2" xfId="29949" xr:uid="{00000000-0005-0000-0000-0000675A0000}"/>
    <cellStyle name="Currency 3 2 2 6 3 3" xfId="21826" xr:uid="{00000000-0005-0000-0000-0000685A0000}"/>
    <cellStyle name="Currency 3 2 2 6 4" xfId="11917" xr:uid="{00000000-0005-0000-0000-0000695A0000}"/>
    <cellStyle name="Currency 3 2 2 6 4 2" xfId="25632" xr:uid="{00000000-0005-0000-0000-00006A5A0000}"/>
    <cellStyle name="Currency 3 2 2 6 5" xfId="21828" xr:uid="{00000000-0005-0000-0000-00006B5A0000}"/>
    <cellStyle name="Currency 3 2 2 7" xfId="5942" xr:uid="{00000000-0005-0000-0000-00006C5A0000}"/>
    <cellStyle name="Currency 3 2 2 7 2" xfId="5943" xr:uid="{00000000-0005-0000-0000-00006D5A0000}"/>
    <cellStyle name="Currency 3 2 2 7 2 2" xfId="15628" xr:uid="{00000000-0005-0000-0000-00006E5A0000}"/>
    <cellStyle name="Currency 3 2 2 7 2 3" xfId="21824" xr:uid="{00000000-0005-0000-0000-00006F5A0000}"/>
    <cellStyle name="Currency 3 2 2 7 3" xfId="13494" xr:uid="{00000000-0005-0000-0000-0000705A0000}"/>
    <cellStyle name="Currency 3 2 2 7 3 2" xfId="27043" xr:uid="{00000000-0005-0000-0000-0000715A0000}"/>
    <cellStyle name="Currency 3 2 2 7 4" xfId="21825" xr:uid="{00000000-0005-0000-0000-0000725A0000}"/>
    <cellStyle name="Currency 3 2 2 8" xfId="5944" xr:uid="{00000000-0005-0000-0000-0000735A0000}"/>
    <cellStyle name="Currency 3 2 2 8 2" xfId="14075" xr:uid="{00000000-0005-0000-0000-0000745A0000}"/>
    <cellStyle name="Currency 3 2 2 8 2 2" xfId="27624" xr:uid="{00000000-0005-0000-0000-0000755A0000}"/>
    <cellStyle name="Currency 3 2 2 8 3" xfId="21823" xr:uid="{00000000-0005-0000-0000-0000765A0000}"/>
    <cellStyle name="Currency 3 2 2 9" xfId="5945" xr:uid="{00000000-0005-0000-0000-0000775A0000}"/>
    <cellStyle name="Currency 3 2 2 9 2" xfId="15961" xr:uid="{00000000-0005-0000-0000-0000785A0000}"/>
    <cellStyle name="Currency 3 2 2 9 2 2" xfId="29368" xr:uid="{00000000-0005-0000-0000-0000795A0000}"/>
    <cellStyle name="Currency 3 2 2 9 3" xfId="21822" xr:uid="{00000000-0005-0000-0000-00007A5A0000}"/>
    <cellStyle name="Currency 3 2 3" xfId="5946" xr:uid="{00000000-0005-0000-0000-00007B5A0000}"/>
    <cellStyle name="Currency 3 2 3 2" xfId="5947" xr:uid="{00000000-0005-0000-0000-00007C5A0000}"/>
    <cellStyle name="Currency 3 2 3 2 2" xfId="5948" xr:uid="{00000000-0005-0000-0000-00007D5A0000}"/>
    <cellStyle name="Currency 3 2 3 2 2 2" xfId="5949" xr:uid="{00000000-0005-0000-0000-00007E5A0000}"/>
    <cellStyle name="Currency 3 2 3 2 2 2 2" xfId="11370" xr:uid="{00000000-0005-0000-0000-00007F5A0000}"/>
    <cellStyle name="Currency 3 2 3 2 2 2 3" xfId="21818" xr:uid="{00000000-0005-0000-0000-0000805A0000}"/>
    <cellStyle name="Currency 3 2 3 2 2 3" xfId="5950" xr:uid="{00000000-0005-0000-0000-0000815A0000}"/>
    <cellStyle name="Currency 3 2 3 2 2 3 2" xfId="16928" xr:uid="{00000000-0005-0000-0000-0000825A0000}"/>
    <cellStyle name="Currency 3 2 3 2 2 3 2 2" xfId="30335" xr:uid="{00000000-0005-0000-0000-0000835A0000}"/>
    <cellStyle name="Currency 3 2 3 2 2 3 3" xfId="21817" xr:uid="{00000000-0005-0000-0000-0000845A0000}"/>
    <cellStyle name="Currency 3 2 3 2 2 4" xfId="9862" xr:uid="{00000000-0005-0000-0000-0000855A0000}"/>
    <cellStyle name="Currency 3 2 3 2 2 5" xfId="21819" xr:uid="{00000000-0005-0000-0000-0000865A0000}"/>
    <cellStyle name="Currency 3 2 3 2 3" xfId="5951" xr:uid="{00000000-0005-0000-0000-0000875A0000}"/>
    <cellStyle name="Currency 3 2 3 2 3 2" xfId="5952" xr:uid="{00000000-0005-0000-0000-0000885A0000}"/>
    <cellStyle name="Currency 3 2 3 2 3 2 2" xfId="13170" xr:uid="{00000000-0005-0000-0000-0000895A0000}"/>
    <cellStyle name="Currency 3 2 3 2 3 2 3" xfId="21815" xr:uid="{00000000-0005-0000-0000-00008A5A0000}"/>
    <cellStyle name="Currency 3 2 3 2 3 3" xfId="12316" xr:uid="{00000000-0005-0000-0000-00008B5A0000}"/>
    <cellStyle name="Currency 3 2 3 2 3 3 2" xfId="26028" xr:uid="{00000000-0005-0000-0000-00008C5A0000}"/>
    <cellStyle name="Currency 3 2 3 2 3 4" xfId="21816" xr:uid="{00000000-0005-0000-0000-00008D5A0000}"/>
    <cellStyle name="Currency 3 2 3 2 4" xfId="5953" xr:uid="{00000000-0005-0000-0000-00008E5A0000}"/>
    <cellStyle name="Currency 3 2 3 2 4 2" xfId="5954" xr:uid="{00000000-0005-0000-0000-00008F5A0000}"/>
    <cellStyle name="Currency 3 2 3 2 4 2 2" xfId="15629" xr:uid="{00000000-0005-0000-0000-0000905A0000}"/>
    <cellStyle name="Currency 3 2 3 2 4 2 3" xfId="21813" xr:uid="{00000000-0005-0000-0000-0000915A0000}"/>
    <cellStyle name="Currency 3 2 3 2 4 3" xfId="13880" xr:uid="{00000000-0005-0000-0000-0000925A0000}"/>
    <cellStyle name="Currency 3 2 3 2 4 3 2" xfId="27429" xr:uid="{00000000-0005-0000-0000-0000935A0000}"/>
    <cellStyle name="Currency 3 2 3 2 4 4" xfId="21814" xr:uid="{00000000-0005-0000-0000-0000945A0000}"/>
    <cellStyle name="Currency 3 2 3 2 5" xfId="5955" xr:uid="{00000000-0005-0000-0000-0000955A0000}"/>
    <cellStyle name="Currency 3 2 3 2 5 2" xfId="14461" xr:uid="{00000000-0005-0000-0000-0000965A0000}"/>
    <cellStyle name="Currency 3 2 3 2 5 2 2" xfId="28010" xr:uid="{00000000-0005-0000-0000-0000975A0000}"/>
    <cellStyle name="Currency 3 2 3 2 5 3" xfId="21812" xr:uid="{00000000-0005-0000-0000-0000985A0000}"/>
    <cellStyle name="Currency 3 2 3 2 6" xfId="5956" xr:uid="{00000000-0005-0000-0000-0000995A0000}"/>
    <cellStyle name="Currency 3 2 3 2 6 2" xfId="16347" xr:uid="{00000000-0005-0000-0000-00009A5A0000}"/>
    <cellStyle name="Currency 3 2 3 2 6 2 2" xfId="29754" xr:uid="{00000000-0005-0000-0000-00009B5A0000}"/>
    <cellStyle name="Currency 3 2 3 2 6 3" xfId="21811" xr:uid="{00000000-0005-0000-0000-00009C5A0000}"/>
    <cellStyle name="Currency 3 2 3 2 7" xfId="9861" xr:uid="{00000000-0005-0000-0000-00009D5A0000}"/>
    <cellStyle name="Currency 3 2 3 2 8" xfId="21820" xr:uid="{00000000-0005-0000-0000-00009E5A0000}"/>
    <cellStyle name="Currency 3 2 3 3" xfId="5957" xr:uid="{00000000-0005-0000-0000-00009F5A0000}"/>
    <cellStyle name="Currency 3 2 3 3 2" xfId="5958" xr:uid="{00000000-0005-0000-0000-0000A05A0000}"/>
    <cellStyle name="Currency 3 2 3 3 2 2" xfId="11371" xr:uid="{00000000-0005-0000-0000-0000A15A0000}"/>
    <cellStyle name="Currency 3 2 3 3 2 3" xfId="21809" xr:uid="{00000000-0005-0000-0000-0000A25A0000}"/>
    <cellStyle name="Currency 3 2 3 3 3" xfId="5959" xr:uid="{00000000-0005-0000-0000-0000A35A0000}"/>
    <cellStyle name="Currency 3 2 3 3 3 2" xfId="16639" xr:uid="{00000000-0005-0000-0000-0000A45A0000}"/>
    <cellStyle name="Currency 3 2 3 3 3 2 2" xfId="30046" xr:uid="{00000000-0005-0000-0000-0000A55A0000}"/>
    <cellStyle name="Currency 3 2 3 3 3 3" xfId="21808" xr:uid="{00000000-0005-0000-0000-0000A65A0000}"/>
    <cellStyle name="Currency 3 2 3 3 4" xfId="9863" xr:uid="{00000000-0005-0000-0000-0000A75A0000}"/>
    <cellStyle name="Currency 3 2 3 3 5" xfId="21810" xr:uid="{00000000-0005-0000-0000-0000A85A0000}"/>
    <cellStyle name="Currency 3 2 3 4" xfId="5960" xr:uid="{00000000-0005-0000-0000-0000A95A0000}"/>
    <cellStyle name="Currency 3 2 3 4 2" xfId="5961" xr:uid="{00000000-0005-0000-0000-0000AA5A0000}"/>
    <cellStyle name="Currency 3 2 3 4 2 2" xfId="13171" xr:uid="{00000000-0005-0000-0000-0000AB5A0000}"/>
    <cellStyle name="Currency 3 2 3 4 2 3" xfId="21806" xr:uid="{00000000-0005-0000-0000-0000AC5A0000}"/>
    <cellStyle name="Currency 3 2 3 4 3" xfId="12016" xr:uid="{00000000-0005-0000-0000-0000AD5A0000}"/>
    <cellStyle name="Currency 3 2 3 4 3 2" xfId="25731" xr:uid="{00000000-0005-0000-0000-0000AE5A0000}"/>
    <cellStyle name="Currency 3 2 3 4 4" xfId="21807" xr:uid="{00000000-0005-0000-0000-0000AF5A0000}"/>
    <cellStyle name="Currency 3 2 3 5" xfId="5962" xr:uid="{00000000-0005-0000-0000-0000B05A0000}"/>
    <cellStyle name="Currency 3 2 3 5 2" xfId="5963" xr:uid="{00000000-0005-0000-0000-0000B15A0000}"/>
    <cellStyle name="Currency 3 2 3 5 2 2" xfId="15630" xr:uid="{00000000-0005-0000-0000-0000B25A0000}"/>
    <cellStyle name="Currency 3 2 3 5 2 3" xfId="21804" xr:uid="{00000000-0005-0000-0000-0000B35A0000}"/>
    <cellStyle name="Currency 3 2 3 5 3" xfId="13591" xr:uid="{00000000-0005-0000-0000-0000B45A0000}"/>
    <cellStyle name="Currency 3 2 3 5 3 2" xfId="27140" xr:uid="{00000000-0005-0000-0000-0000B55A0000}"/>
    <cellStyle name="Currency 3 2 3 5 4" xfId="21805" xr:uid="{00000000-0005-0000-0000-0000B65A0000}"/>
    <cellStyle name="Currency 3 2 3 6" xfId="5964" xr:uid="{00000000-0005-0000-0000-0000B75A0000}"/>
    <cellStyle name="Currency 3 2 3 6 2" xfId="14172" xr:uid="{00000000-0005-0000-0000-0000B85A0000}"/>
    <cellStyle name="Currency 3 2 3 6 2 2" xfId="27721" xr:uid="{00000000-0005-0000-0000-0000B95A0000}"/>
    <cellStyle name="Currency 3 2 3 6 3" xfId="21803" xr:uid="{00000000-0005-0000-0000-0000BA5A0000}"/>
    <cellStyle name="Currency 3 2 3 7" xfId="5965" xr:uid="{00000000-0005-0000-0000-0000BB5A0000}"/>
    <cellStyle name="Currency 3 2 3 7 2" xfId="16058" xr:uid="{00000000-0005-0000-0000-0000BC5A0000}"/>
    <cellStyle name="Currency 3 2 3 7 2 2" xfId="29465" xr:uid="{00000000-0005-0000-0000-0000BD5A0000}"/>
    <cellStyle name="Currency 3 2 3 7 3" xfId="21802" xr:uid="{00000000-0005-0000-0000-0000BE5A0000}"/>
    <cellStyle name="Currency 3 2 3 8" xfId="9860" xr:uid="{00000000-0005-0000-0000-0000BF5A0000}"/>
    <cellStyle name="Currency 3 2 3 9" xfId="21821" xr:uid="{00000000-0005-0000-0000-0000C05A0000}"/>
    <cellStyle name="Currency 3 2 4" xfId="5966" xr:uid="{00000000-0005-0000-0000-0000C15A0000}"/>
    <cellStyle name="Currency 3 2 4 2" xfId="5967" xr:uid="{00000000-0005-0000-0000-0000C25A0000}"/>
    <cellStyle name="Currency 3 2 4 2 2" xfId="5968" xr:uid="{00000000-0005-0000-0000-0000C35A0000}"/>
    <cellStyle name="Currency 3 2 4 2 2 2" xfId="11372" xr:uid="{00000000-0005-0000-0000-0000C45A0000}"/>
    <cellStyle name="Currency 3 2 4 2 2 3" xfId="21799" xr:uid="{00000000-0005-0000-0000-0000C55A0000}"/>
    <cellStyle name="Currency 3 2 4 2 3" xfId="5969" xr:uid="{00000000-0005-0000-0000-0000C65A0000}"/>
    <cellStyle name="Currency 3 2 4 2 3 2" xfId="16785" xr:uid="{00000000-0005-0000-0000-0000C75A0000}"/>
    <cellStyle name="Currency 3 2 4 2 3 2 2" xfId="30192" xr:uid="{00000000-0005-0000-0000-0000C85A0000}"/>
    <cellStyle name="Currency 3 2 4 2 3 3" xfId="21798" xr:uid="{00000000-0005-0000-0000-0000C95A0000}"/>
    <cellStyle name="Currency 3 2 4 2 4" xfId="9865" xr:uid="{00000000-0005-0000-0000-0000CA5A0000}"/>
    <cellStyle name="Currency 3 2 4 2 5" xfId="21800" xr:uid="{00000000-0005-0000-0000-0000CB5A0000}"/>
    <cellStyle name="Currency 3 2 4 3" xfId="5970" xr:uid="{00000000-0005-0000-0000-0000CC5A0000}"/>
    <cellStyle name="Currency 3 2 4 3 2" xfId="5971" xr:uid="{00000000-0005-0000-0000-0000CD5A0000}"/>
    <cellStyle name="Currency 3 2 4 3 2 2" xfId="13172" xr:uid="{00000000-0005-0000-0000-0000CE5A0000}"/>
    <cellStyle name="Currency 3 2 4 3 2 3" xfId="21796" xr:uid="{00000000-0005-0000-0000-0000CF5A0000}"/>
    <cellStyle name="Currency 3 2 4 3 3" xfId="12173" xr:uid="{00000000-0005-0000-0000-0000D05A0000}"/>
    <cellStyle name="Currency 3 2 4 3 3 2" xfId="25885" xr:uid="{00000000-0005-0000-0000-0000D15A0000}"/>
    <cellStyle name="Currency 3 2 4 3 4" xfId="21797" xr:uid="{00000000-0005-0000-0000-0000D25A0000}"/>
    <cellStyle name="Currency 3 2 4 4" xfId="5972" xr:uid="{00000000-0005-0000-0000-0000D35A0000}"/>
    <cellStyle name="Currency 3 2 4 4 2" xfId="5973" xr:uid="{00000000-0005-0000-0000-0000D45A0000}"/>
    <cellStyle name="Currency 3 2 4 4 2 2" xfId="15631" xr:uid="{00000000-0005-0000-0000-0000D55A0000}"/>
    <cellStyle name="Currency 3 2 4 4 2 3" xfId="21794" xr:uid="{00000000-0005-0000-0000-0000D65A0000}"/>
    <cellStyle name="Currency 3 2 4 4 3" xfId="13737" xr:uid="{00000000-0005-0000-0000-0000D75A0000}"/>
    <cellStyle name="Currency 3 2 4 4 3 2" xfId="27286" xr:uid="{00000000-0005-0000-0000-0000D85A0000}"/>
    <cellStyle name="Currency 3 2 4 4 4" xfId="21795" xr:uid="{00000000-0005-0000-0000-0000D95A0000}"/>
    <cellStyle name="Currency 3 2 4 5" xfId="5974" xr:uid="{00000000-0005-0000-0000-0000DA5A0000}"/>
    <cellStyle name="Currency 3 2 4 5 2" xfId="14318" xr:uid="{00000000-0005-0000-0000-0000DB5A0000}"/>
    <cellStyle name="Currency 3 2 4 5 2 2" xfId="27867" xr:uid="{00000000-0005-0000-0000-0000DC5A0000}"/>
    <cellStyle name="Currency 3 2 4 5 3" xfId="21793" xr:uid="{00000000-0005-0000-0000-0000DD5A0000}"/>
    <cellStyle name="Currency 3 2 4 6" xfId="5975" xr:uid="{00000000-0005-0000-0000-0000DE5A0000}"/>
    <cellStyle name="Currency 3 2 4 6 2" xfId="16204" xr:uid="{00000000-0005-0000-0000-0000DF5A0000}"/>
    <cellStyle name="Currency 3 2 4 6 2 2" xfId="29611" xr:uid="{00000000-0005-0000-0000-0000E05A0000}"/>
    <cellStyle name="Currency 3 2 4 6 3" xfId="21792" xr:uid="{00000000-0005-0000-0000-0000E15A0000}"/>
    <cellStyle name="Currency 3 2 4 7" xfId="9864" xr:uid="{00000000-0005-0000-0000-0000E25A0000}"/>
    <cellStyle name="Currency 3 2 4 8" xfId="21801" xr:uid="{00000000-0005-0000-0000-0000E35A0000}"/>
    <cellStyle name="Currency 3 2 5" xfId="5976" xr:uid="{00000000-0005-0000-0000-0000E45A0000}"/>
    <cellStyle name="Currency 3 2 5 2" xfId="5977" xr:uid="{00000000-0005-0000-0000-0000E55A0000}"/>
    <cellStyle name="Currency 3 2 5 2 2" xfId="5978" xr:uid="{00000000-0005-0000-0000-0000E65A0000}"/>
    <cellStyle name="Currency 3 2 5 2 2 2" xfId="11374" xr:uid="{00000000-0005-0000-0000-0000E75A0000}"/>
    <cellStyle name="Currency 3 2 5 2 2 3" xfId="21789" xr:uid="{00000000-0005-0000-0000-0000E85A0000}"/>
    <cellStyle name="Currency 3 2 5 2 3" xfId="9867" xr:uid="{00000000-0005-0000-0000-0000E95A0000}"/>
    <cellStyle name="Currency 3 2 5 2 4" xfId="21790" xr:uid="{00000000-0005-0000-0000-0000EA5A0000}"/>
    <cellStyle name="Currency 3 2 5 3" xfId="5979" xr:uid="{00000000-0005-0000-0000-0000EB5A0000}"/>
    <cellStyle name="Currency 3 2 5 3 2" xfId="11373" xr:uid="{00000000-0005-0000-0000-0000EC5A0000}"/>
    <cellStyle name="Currency 3 2 5 3 3" xfId="21788" xr:uid="{00000000-0005-0000-0000-0000ED5A0000}"/>
    <cellStyle name="Currency 3 2 5 4" xfId="5980" xr:uid="{00000000-0005-0000-0000-0000EE5A0000}"/>
    <cellStyle name="Currency 3 2 5 4 2" xfId="17028" xr:uid="{00000000-0005-0000-0000-0000EF5A0000}"/>
    <cellStyle name="Currency 3 2 5 4 2 2" xfId="30435" xr:uid="{00000000-0005-0000-0000-0000F05A0000}"/>
    <cellStyle name="Currency 3 2 5 4 3" xfId="21787" xr:uid="{00000000-0005-0000-0000-0000F15A0000}"/>
    <cellStyle name="Currency 3 2 5 5" xfId="9866" xr:uid="{00000000-0005-0000-0000-0000F25A0000}"/>
    <cellStyle name="Currency 3 2 5 6" xfId="21791" xr:uid="{00000000-0005-0000-0000-0000F35A0000}"/>
    <cellStyle name="Currency 3 2 6" xfId="5981" xr:uid="{00000000-0005-0000-0000-0000F45A0000}"/>
    <cellStyle name="Currency 3 2 6 2" xfId="5982" xr:uid="{00000000-0005-0000-0000-0000F55A0000}"/>
    <cellStyle name="Currency 3 2 6 2 2" xfId="17132" xr:uid="{00000000-0005-0000-0000-0000F65A0000}"/>
    <cellStyle name="Currency 3 2 6 2 2 2" xfId="30491" xr:uid="{00000000-0005-0000-0000-0000F75A0000}"/>
    <cellStyle name="Currency 3 2 6 2 3" xfId="21785" xr:uid="{00000000-0005-0000-0000-0000F85A0000}"/>
    <cellStyle name="Currency 3 2 6 3" xfId="9868" xr:uid="{00000000-0005-0000-0000-0000F95A0000}"/>
    <cellStyle name="Currency 3 2 6 4" xfId="21786" xr:uid="{00000000-0005-0000-0000-0000FA5A0000}"/>
    <cellStyle name="Currency 3 2 7" xfId="5983" xr:uid="{00000000-0005-0000-0000-0000FB5A0000}"/>
    <cellStyle name="Currency 3 2 7 2" xfId="5984" xr:uid="{00000000-0005-0000-0000-0000FC5A0000}"/>
    <cellStyle name="Currency 3 2 7 2 2" xfId="11375" xr:uid="{00000000-0005-0000-0000-0000FD5A0000}"/>
    <cellStyle name="Currency 3 2 7 2 3" xfId="21783" xr:uid="{00000000-0005-0000-0000-0000FE5A0000}"/>
    <cellStyle name="Currency 3 2 7 3" xfId="5985" xr:uid="{00000000-0005-0000-0000-0000FF5A0000}"/>
    <cellStyle name="Currency 3 2 7 3 2" xfId="17221" xr:uid="{00000000-0005-0000-0000-0000005B0000}"/>
    <cellStyle name="Currency 3 2 7 3 2 2" xfId="30580" xr:uid="{00000000-0005-0000-0000-0000015B0000}"/>
    <cellStyle name="Currency 3 2 7 3 3" xfId="21782" xr:uid="{00000000-0005-0000-0000-0000025B0000}"/>
    <cellStyle name="Currency 3 2 7 4" xfId="9869" xr:uid="{00000000-0005-0000-0000-0000035B0000}"/>
    <cellStyle name="Currency 3 2 7 5" xfId="21784" xr:uid="{00000000-0005-0000-0000-0000045B0000}"/>
    <cellStyle name="Currency 3 2 8" xfId="5986" xr:uid="{00000000-0005-0000-0000-0000055B0000}"/>
    <cellStyle name="Currency 3 2 8 2" xfId="5987" xr:uid="{00000000-0005-0000-0000-0000065B0000}"/>
    <cellStyle name="Currency 3 2 8 2 2" xfId="11376" xr:uid="{00000000-0005-0000-0000-0000075B0000}"/>
    <cellStyle name="Currency 3 2 8 2 3" xfId="21780" xr:uid="{00000000-0005-0000-0000-0000085B0000}"/>
    <cellStyle name="Currency 3 2 8 3" xfId="5988" xr:uid="{00000000-0005-0000-0000-0000095B0000}"/>
    <cellStyle name="Currency 3 2 8 3 2" xfId="16496" xr:uid="{00000000-0005-0000-0000-00000A5B0000}"/>
    <cellStyle name="Currency 3 2 8 3 2 2" xfId="29903" xr:uid="{00000000-0005-0000-0000-00000B5B0000}"/>
    <cellStyle name="Currency 3 2 8 3 3" xfId="21779" xr:uid="{00000000-0005-0000-0000-00000C5B0000}"/>
    <cellStyle name="Currency 3 2 8 4" xfId="9870" xr:uid="{00000000-0005-0000-0000-00000D5B0000}"/>
    <cellStyle name="Currency 3 2 8 5" xfId="21781" xr:uid="{00000000-0005-0000-0000-00000E5B0000}"/>
    <cellStyle name="Currency 3 2 9" xfId="5989" xr:uid="{00000000-0005-0000-0000-00000F5B0000}"/>
    <cellStyle name="Currency 3 2 9 2" xfId="5990" xr:uid="{00000000-0005-0000-0000-0000105B0000}"/>
    <cellStyle name="Currency 3 2 9 2 2" xfId="13173" xr:uid="{00000000-0005-0000-0000-0000115B0000}"/>
    <cellStyle name="Currency 3 2 9 2 2 2" xfId="26878" xr:uid="{00000000-0005-0000-0000-0000125B0000}"/>
    <cellStyle name="Currency 3 2 9 2 3" xfId="21777" xr:uid="{00000000-0005-0000-0000-0000135B0000}"/>
    <cellStyle name="Currency 3 2 9 3" xfId="5991" xr:uid="{00000000-0005-0000-0000-0000145B0000}"/>
    <cellStyle name="Currency 3 2 9 3 2" xfId="15632" xr:uid="{00000000-0005-0000-0000-0000155B0000}"/>
    <cellStyle name="Currency 3 2 9 3 3" xfId="21776" xr:uid="{00000000-0005-0000-0000-0000165B0000}"/>
    <cellStyle name="Currency 3 2 9 4" xfId="10541" xr:uid="{00000000-0005-0000-0000-0000175B0000}"/>
    <cellStyle name="Currency 3 2 9 4 2" xfId="24483" xr:uid="{00000000-0005-0000-0000-0000185B0000}"/>
    <cellStyle name="Currency 3 2 9 5" xfId="21778" xr:uid="{00000000-0005-0000-0000-0000195B0000}"/>
    <cellStyle name="Currency 3 20" xfId="5992" xr:uid="{00000000-0005-0000-0000-00001A5B0000}"/>
    <cellStyle name="Currency 3 20 2" xfId="5993" xr:uid="{00000000-0005-0000-0000-00001B5B0000}"/>
    <cellStyle name="Currency 3 20 2 2" xfId="11377" xr:uid="{00000000-0005-0000-0000-00001C5B0000}"/>
    <cellStyle name="Currency 3 20 2 3" xfId="21774" xr:uid="{00000000-0005-0000-0000-00001D5B0000}"/>
    <cellStyle name="Currency 3 20 3" xfId="9871" xr:uid="{00000000-0005-0000-0000-00001E5B0000}"/>
    <cellStyle name="Currency 3 20 4" xfId="21775" xr:uid="{00000000-0005-0000-0000-00001F5B0000}"/>
    <cellStyle name="Currency 3 21" xfId="5994" xr:uid="{00000000-0005-0000-0000-0000205B0000}"/>
    <cellStyle name="Currency 3 21 2" xfId="5995" xr:uid="{00000000-0005-0000-0000-0000215B0000}"/>
    <cellStyle name="Currency 3 21 2 2" xfId="11723" xr:uid="{00000000-0005-0000-0000-0000225B0000}"/>
    <cellStyle name="Currency 3 21 2 2 2" xfId="25443" xr:uid="{00000000-0005-0000-0000-0000235B0000}"/>
    <cellStyle name="Currency 3 21 2 3" xfId="21772" xr:uid="{00000000-0005-0000-0000-0000245B0000}"/>
    <cellStyle name="Currency 3 21 3" xfId="5996" xr:uid="{00000000-0005-0000-0000-0000255B0000}"/>
    <cellStyle name="Currency 3 21 3 2" xfId="13174" xr:uid="{00000000-0005-0000-0000-0000265B0000}"/>
    <cellStyle name="Currency 3 21 3 2 2" xfId="26879" xr:uid="{00000000-0005-0000-0000-0000275B0000}"/>
    <cellStyle name="Currency 3 21 3 3" xfId="21771" xr:uid="{00000000-0005-0000-0000-0000285B0000}"/>
    <cellStyle name="Currency 3 21 4" xfId="5997" xr:uid="{00000000-0005-0000-0000-0000295B0000}"/>
    <cellStyle name="Currency 3 21 4 2" xfId="15633" xr:uid="{00000000-0005-0000-0000-00002A5B0000}"/>
    <cellStyle name="Currency 3 21 4 3" xfId="21770" xr:uid="{00000000-0005-0000-0000-00002B5B0000}"/>
    <cellStyle name="Currency 3 21 5" xfId="10488" xr:uid="{00000000-0005-0000-0000-00002C5B0000}"/>
    <cellStyle name="Currency 3 21 5 2" xfId="24447" xr:uid="{00000000-0005-0000-0000-00002D5B0000}"/>
    <cellStyle name="Currency 3 21 6" xfId="21773" xr:uid="{00000000-0005-0000-0000-00002E5B0000}"/>
    <cellStyle name="Currency 3 22" xfId="5998" xr:uid="{00000000-0005-0000-0000-00002F5B0000}"/>
    <cellStyle name="Currency 3 22 2" xfId="5999" xr:uid="{00000000-0005-0000-0000-0000305B0000}"/>
    <cellStyle name="Currency 3 22 2 2" xfId="13175" xr:uid="{00000000-0005-0000-0000-0000315B0000}"/>
    <cellStyle name="Currency 3 22 2 2 2" xfId="26880" xr:uid="{00000000-0005-0000-0000-0000325B0000}"/>
    <cellStyle name="Currency 3 22 2 3" xfId="21768" xr:uid="{00000000-0005-0000-0000-0000335B0000}"/>
    <cellStyle name="Currency 3 22 3" xfId="6000" xr:uid="{00000000-0005-0000-0000-0000345B0000}"/>
    <cellStyle name="Currency 3 22 3 2" xfId="15634" xr:uid="{00000000-0005-0000-0000-0000355B0000}"/>
    <cellStyle name="Currency 3 22 3 3" xfId="21767" xr:uid="{00000000-0005-0000-0000-0000365B0000}"/>
    <cellStyle name="Currency 3 22 4" xfId="10518" xr:uid="{00000000-0005-0000-0000-0000375B0000}"/>
    <cellStyle name="Currency 3 22 4 2" xfId="24466" xr:uid="{00000000-0005-0000-0000-0000385B0000}"/>
    <cellStyle name="Currency 3 22 5" xfId="21769" xr:uid="{00000000-0005-0000-0000-0000395B0000}"/>
    <cellStyle name="Currency 3 23" xfId="6001" xr:uid="{00000000-0005-0000-0000-00003A5B0000}"/>
    <cellStyle name="Currency 3 23 2" xfId="11357" xr:uid="{00000000-0005-0000-0000-00003B5B0000}"/>
    <cellStyle name="Currency 3 23 3" xfId="21766" xr:uid="{00000000-0005-0000-0000-00003C5B0000}"/>
    <cellStyle name="Currency 3 24" xfId="6002" xr:uid="{00000000-0005-0000-0000-00003D5B0000}"/>
    <cellStyle name="Currency 3 24 2" xfId="11763" xr:uid="{00000000-0005-0000-0000-00003E5B0000}"/>
    <cellStyle name="Currency 3 24 2 2" xfId="25478" xr:uid="{00000000-0005-0000-0000-00003F5B0000}"/>
    <cellStyle name="Currency 3 24 3" xfId="21765" xr:uid="{00000000-0005-0000-0000-0000405B0000}"/>
    <cellStyle name="Currency 3 25" xfId="6003" xr:uid="{00000000-0005-0000-0000-0000415B0000}"/>
    <cellStyle name="Currency 3 25 2" xfId="13391" xr:uid="{00000000-0005-0000-0000-0000425B0000}"/>
    <cellStyle name="Currency 3 25 2 2" xfId="26940" xr:uid="{00000000-0005-0000-0000-0000435B0000}"/>
    <cellStyle name="Currency 3 25 3" xfId="21764" xr:uid="{00000000-0005-0000-0000-0000445B0000}"/>
    <cellStyle name="Currency 3 26" xfId="6004" xr:uid="{00000000-0005-0000-0000-0000455B0000}"/>
    <cellStyle name="Currency 3 26 2" xfId="13972" xr:uid="{00000000-0005-0000-0000-0000465B0000}"/>
    <cellStyle name="Currency 3 26 2 2" xfId="27521" xr:uid="{00000000-0005-0000-0000-0000475B0000}"/>
    <cellStyle name="Currency 3 26 3" xfId="21763" xr:uid="{00000000-0005-0000-0000-0000485B0000}"/>
    <cellStyle name="Currency 3 27" xfId="6005" xr:uid="{00000000-0005-0000-0000-0000495B0000}"/>
    <cellStyle name="Currency 3 27 2" xfId="15828" xr:uid="{00000000-0005-0000-0000-00004A5B0000}"/>
    <cellStyle name="Currency 3 27 2 2" xfId="29235" xr:uid="{00000000-0005-0000-0000-00004B5B0000}"/>
    <cellStyle name="Currency 3 27 3" xfId="21762" xr:uid="{00000000-0005-0000-0000-00004C5B0000}"/>
    <cellStyle name="Currency 3 28" xfId="6006" xr:uid="{00000000-0005-0000-0000-00004D5B0000}"/>
    <cellStyle name="Currency 3 28 2" xfId="15858" xr:uid="{00000000-0005-0000-0000-00004E5B0000}"/>
    <cellStyle name="Currency 3 28 2 2" xfId="29265" xr:uid="{00000000-0005-0000-0000-00004F5B0000}"/>
    <cellStyle name="Currency 3 28 3" xfId="21761" xr:uid="{00000000-0005-0000-0000-0000505B0000}"/>
    <cellStyle name="Currency 3 29" xfId="8656" xr:uid="{00000000-0005-0000-0000-0000515B0000}"/>
    <cellStyle name="Currency 3 29 2" xfId="9838" xr:uid="{00000000-0005-0000-0000-0000525B0000}"/>
    <cellStyle name="Currency 3 3" xfId="6007" xr:uid="{00000000-0005-0000-0000-0000535B0000}"/>
    <cellStyle name="Currency 3 3 10" xfId="6008" xr:uid="{00000000-0005-0000-0000-0000545B0000}"/>
    <cellStyle name="Currency 3 3 10 2" xfId="17334" xr:uid="{00000000-0005-0000-0000-0000555B0000}"/>
    <cellStyle name="Currency 3 3 10 3" xfId="21759" xr:uid="{00000000-0005-0000-0000-0000565B0000}"/>
    <cellStyle name="Currency 3 3 11" xfId="8735" xr:uid="{00000000-0005-0000-0000-0000575B0000}"/>
    <cellStyle name="Currency 3 3 12" xfId="9872" xr:uid="{00000000-0005-0000-0000-0000585B0000}"/>
    <cellStyle name="Currency 3 3 13" xfId="21760" xr:uid="{00000000-0005-0000-0000-0000595B0000}"/>
    <cellStyle name="Currency 3 3 2" xfId="6009" xr:uid="{00000000-0005-0000-0000-00005A5B0000}"/>
    <cellStyle name="Currency 3 3 2 2" xfId="6010" xr:uid="{00000000-0005-0000-0000-00005B5B0000}"/>
    <cellStyle name="Currency 3 3 2 2 2" xfId="6011" xr:uid="{00000000-0005-0000-0000-00005C5B0000}"/>
    <cellStyle name="Currency 3 3 2 2 2 2" xfId="6012" xr:uid="{00000000-0005-0000-0000-00005D5B0000}"/>
    <cellStyle name="Currency 3 3 2 2 2 2 2" xfId="11378" xr:uid="{00000000-0005-0000-0000-00005E5B0000}"/>
    <cellStyle name="Currency 3 3 2 2 2 2 3" xfId="21755" xr:uid="{00000000-0005-0000-0000-00005F5B0000}"/>
    <cellStyle name="Currency 3 3 2 2 2 3" xfId="6013" xr:uid="{00000000-0005-0000-0000-0000605B0000}"/>
    <cellStyle name="Currency 3 3 2 2 2 3 2" xfId="16951" xr:uid="{00000000-0005-0000-0000-0000615B0000}"/>
    <cellStyle name="Currency 3 3 2 2 2 3 2 2" xfId="30358" xr:uid="{00000000-0005-0000-0000-0000625B0000}"/>
    <cellStyle name="Currency 3 3 2 2 2 3 3" xfId="21754" xr:uid="{00000000-0005-0000-0000-0000635B0000}"/>
    <cellStyle name="Currency 3 3 2 2 2 4" xfId="9875" xr:uid="{00000000-0005-0000-0000-0000645B0000}"/>
    <cellStyle name="Currency 3 3 2 2 2 5" xfId="21756" xr:uid="{00000000-0005-0000-0000-0000655B0000}"/>
    <cellStyle name="Currency 3 3 2 2 3" xfId="6014" xr:uid="{00000000-0005-0000-0000-0000665B0000}"/>
    <cellStyle name="Currency 3 3 2 2 3 2" xfId="6015" xr:uid="{00000000-0005-0000-0000-0000675B0000}"/>
    <cellStyle name="Currency 3 3 2 2 3 2 2" xfId="13176" xr:uid="{00000000-0005-0000-0000-0000685B0000}"/>
    <cellStyle name="Currency 3 3 2 2 3 2 3" xfId="21752" xr:uid="{00000000-0005-0000-0000-0000695B0000}"/>
    <cellStyle name="Currency 3 3 2 2 3 3" xfId="12339" xr:uid="{00000000-0005-0000-0000-00006A5B0000}"/>
    <cellStyle name="Currency 3 3 2 2 3 3 2" xfId="26051" xr:uid="{00000000-0005-0000-0000-00006B5B0000}"/>
    <cellStyle name="Currency 3 3 2 2 3 4" xfId="21753" xr:uid="{00000000-0005-0000-0000-00006C5B0000}"/>
    <cellStyle name="Currency 3 3 2 2 4" xfId="6016" xr:uid="{00000000-0005-0000-0000-00006D5B0000}"/>
    <cellStyle name="Currency 3 3 2 2 4 2" xfId="6017" xr:uid="{00000000-0005-0000-0000-00006E5B0000}"/>
    <cellStyle name="Currency 3 3 2 2 4 2 2" xfId="15635" xr:uid="{00000000-0005-0000-0000-00006F5B0000}"/>
    <cellStyle name="Currency 3 3 2 2 4 2 3" xfId="21750" xr:uid="{00000000-0005-0000-0000-0000705B0000}"/>
    <cellStyle name="Currency 3 3 2 2 4 3" xfId="13903" xr:uid="{00000000-0005-0000-0000-0000715B0000}"/>
    <cellStyle name="Currency 3 3 2 2 4 3 2" xfId="27452" xr:uid="{00000000-0005-0000-0000-0000725B0000}"/>
    <cellStyle name="Currency 3 3 2 2 4 4" xfId="21751" xr:uid="{00000000-0005-0000-0000-0000735B0000}"/>
    <cellStyle name="Currency 3 3 2 2 5" xfId="6018" xr:uid="{00000000-0005-0000-0000-0000745B0000}"/>
    <cellStyle name="Currency 3 3 2 2 5 2" xfId="14484" xr:uid="{00000000-0005-0000-0000-0000755B0000}"/>
    <cellStyle name="Currency 3 3 2 2 5 2 2" xfId="28033" xr:uid="{00000000-0005-0000-0000-0000765B0000}"/>
    <cellStyle name="Currency 3 3 2 2 5 3" xfId="21749" xr:uid="{00000000-0005-0000-0000-0000775B0000}"/>
    <cellStyle name="Currency 3 3 2 2 6" xfId="6019" xr:uid="{00000000-0005-0000-0000-0000785B0000}"/>
    <cellStyle name="Currency 3 3 2 2 6 2" xfId="16370" xr:uid="{00000000-0005-0000-0000-0000795B0000}"/>
    <cellStyle name="Currency 3 3 2 2 6 2 2" xfId="29777" xr:uid="{00000000-0005-0000-0000-00007A5B0000}"/>
    <cellStyle name="Currency 3 3 2 2 6 3" xfId="21748" xr:uid="{00000000-0005-0000-0000-00007B5B0000}"/>
    <cellStyle name="Currency 3 3 2 2 7" xfId="9874" xr:uid="{00000000-0005-0000-0000-00007C5B0000}"/>
    <cellStyle name="Currency 3 3 2 2 8" xfId="21757" xr:uid="{00000000-0005-0000-0000-00007D5B0000}"/>
    <cellStyle name="Currency 3 3 2 3" xfId="6020" xr:uid="{00000000-0005-0000-0000-00007E5B0000}"/>
    <cellStyle name="Currency 3 3 2 3 2" xfId="6021" xr:uid="{00000000-0005-0000-0000-00007F5B0000}"/>
    <cellStyle name="Currency 3 3 2 3 2 2" xfId="11379" xr:uid="{00000000-0005-0000-0000-0000805B0000}"/>
    <cellStyle name="Currency 3 3 2 3 2 3" xfId="21746" xr:uid="{00000000-0005-0000-0000-0000815B0000}"/>
    <cellStyle name="Currency 3 3 2 3 3" xfId="6022" xr:uid="{00000000-0005-0000-0000-0000825B0000}"/>
    <cellStyle name="Currency 3 3 2 3 3 2" xfId="16662" xr:uid="{00000000-0005-0000-0000-0000835B0000}"/>
    <cellStyle name="Currency 3 3 2 3 3 2 2" xfId="30069" xr:uid="{00000000-0005-0000-0000-0000845B0000}"/>
    <cellStyle name="Currency 3 3 2 3 3 3" xfId="21745" xr:uid="{00000000-0005-0000-0000-0000855B0000}"/>
    <cellStyle name="Currency 3 3 2 3 4" xfId="9876" xr:uid="{00000000-0005-0000-0000-0000865B0000}"/>
    <cellStyle name="Currency 3 3 2 3 5" xfId="21747" xr:uid="{00000000-0005-0000-0000-0000875B0000}"/>
    <cellStyle name="Currency 3 3 2 4" xfId="6023" xr:uid="{00000000-0005-0000-0000-0000885B0000}"/>
    <cellStyle name="Currency 3 3 2 4 2" xfId="6024" xr:uid="{00000000-0005-0000-0000-0000895B0000}"/>
    <cellStyle name="Currency 3 3 2 4 2 2" xfId="13177" xr:uid="{00000000-0005-0000-0000-00008A5B0000}"/>
    <cellStyle name="Currency 3 3 2 4 2 3" xfId="21743" xr:uid="{00000000-0005-0000-0000-00008B5B0000}"/>
    <cellStyle name="Currency 3 3 2 4 3" xfId="12039" xr:uid="{00000000-0005-0000-0000-00008C5B0000}"/>
    <cellStyle name="Currency 3 3 2 4 3 2" xfId="25754" xr:uid="{00000000-0005-0000-0000-00008D5B0000}"/>
    <cellStyle name="Currency 3 3 2 4 4" xfId="21744" xr:uid="{00000000-0005-0000-0000-00008E5B0000}"/>
    <cellStyle name="Currency 3 3 2 5" xfId="6025" xr:uid="{00000000-0005-0000-0000-00008F5B0000}"/>
    <cellStyle name="Currency 3 3 2 5 2" xfId="6026" xr:uid="{00000000-0005-0000-0000-0000905B0000}"/>
    <cellStyle name="Currency 3 3 2 5 2 2" xfId="15636" xr:uid="{00000000-0005-0000-0000-0000915B0000}"/>
    <cellStyle name="Currency 3 3 2 5 2 3" xfId="21741" xr:uid="{00000000-0005-0000-0000-0000925B0000}"/>
    <cellStyle name="Currency 3 3 2 5 3" xfId="13614" xr:uid="{00000000-0005-0000-0000-0000935B0000}"/>
    <cellStyle name="Currency 3 3 2 5 3 2" xfId="27163" xr:uid="{00000000-0005-0000-0000-0000945B0000}"/>
    <cellStyle name="Currency 3 3 2 5 4" xfId="21742" xr:uid="{00000000-0005-0000-0000-0000955B0000}"/>
    <cellStyle name="Currency 3 3 2 6" xfId="6027" xr:uid="{00000000-0005-0000-0000-0000965B0000}"/>
    <cellStyle name="Currency 3 3 2 6 2" xfId="14195" xr:uid="{00000000-0005-0000-0000-0000975B0000}"/>
    <cellStyle name="Currency 3 3 2 6 2 2" xfId="27744" xr:uid="{00000000-0005-0000-0000-0000985B0000}"/>
    <cellStyle name="Currency 3 3 2 6 3" xfId="21740" xr:uid="{00000000-0005-0000-0000-0000995B0000}"/>
    <cellStyle name="Currency 3 3 2 7" xfId="6028" xr:uid="{00000000-0005-0000-0000-00009A5B0000}"/>
    <cellStyle name="Currency 3 3 2 7 2" xfId="16081" xr:uid="{00000000-0005-0000-0000-00009B5B0000}"/>
    <cellStyle name="Currency 3 3 2 7 2 2" xfId="29488" xr:uid="{00000000-0005-0000-0000-00009C5B0000}"/>
    <cellStyle name="Currency 3 3 2 7 3" xfId="21739" xr:uid="{00000000-0005-0000-0000-00009D5B0000}"/>
    <cellStyle name="Currency 3 3 2 8" xfId="9873" xr:uid="{00000000-0005-0000-0000-00009E5B0000}"/>
    <cellStyle name="Currency 3 3 2 9" xfId="21758" xr:uid="{00000000-0005-0000-0000-00009F5B0000}"/>
    <cellStyle name="Currency 3 3 3" xfId="6029" xr:uid="{00000000-0005-0000-0000-0000A05B0000}"/>
    <cellStyle name="Currency 3 3 3 2" xfId="6030" xr:uid="{00000000-0005-0000-0000-0000A15B0000}"/>
    <cellStyle name="Currency 3 3 3 2 2" xfId="6031" xr:uid="{00000000-0005-0000-0000-0000A25B0000}"/>
    <cellStyle name="Currency 3 3 3 2 2 2" xfId="11380" xr:uid="{00000000-0005-0000-0000-0000A35B0000}"/>
    <cellStyle name="Currency 3 3 3 2 2 3" xfId="21736" xr:uid="{00000000-0005-0000-0000-0000A45B0000}"/>
    <cellStyle name="Currency 3 3 3 2 3" xfId="6032" xr:uid="{00000000-0005-0000-0000-0000A55B0000}"/>
    <cellStyle name="Currency 3 3 3 2 3 2" xfId="16808" xr:uid="{00000000-0005-0000-0000-0000A65B0000}"/>
    <cellStyle name="Currency 3 3 3 2 3 2 2" xfId="30215" xr:uid="{00000000-0005-0000-0000-0000A75B0000}"/>
    <cellStyle name="Currency 3 3 3 2 3 3" xfId="21735" xr:uid="{00000000-0005-0000-0000-0000A85B0000}"/>
    <cellStyle name="Currency 3 3 3 2 4" xfId="9878" xr:uid="{00000000-0005-0000-0000-0000A95B0000}"/>
    <cellStyle name="Currency 3 3 3 2 5" xfId="21737" xr:uid="{00000000-0005-0000-0000-0000AA5B0000}"/>
    <cellStyle name="Currency 3 3 3 3" xfId="6033" xr:uid="{00000000-0005-0000-0000-0000AB5B0000}"/>
    <cellStyle name="Currency 3 3 3 3 2" xfId="6034" xr:uid="{00000000-0005-0000-0000-0000AC5B0000}"/>
    <cellStyle name="Currency 3 3 3 3 2 2" xfId="13178" xr:uid="{00000000-0005-0000-0000-0000AD5B0000}"/>
    <cellStyle name="Currency 3 3 3 3 2 3" xfId="21733" xr:uid="{00000000-0005-0000-0000-0000AE5B0000}"/>
    <cellStyle name="Currency 3 3 3 3 3" xfId="12196" xr:uid="{00000000-0005-0000-0000-0000AF5B0000}"/>
    <cellStyle name="Currency 3 3 3 3 3 2" xfId="25908" xr:uid="{00000000-0005-0000-0000-0000B05B0000}"/>
    <cellStyle name="Currency 3 3 3 3 4" xfId="21734" xr:uid="{00000000-0005-0000-0000-0000B15B0000}"/>
    <cellStyle name="Currency 3 3 3 4" xfId="6035" xr:uid="{00000000-0005-0000-0000-0000B25B0000}"/>
    <cellStyle name="Currency 3 3 3 4 2" xfId="6036" xr:uid="{00000000-0005-0000-0000-0000B35B0000}"/>
    <cellStyle name="Currency 3 3 3 4 2 2" xfId="15637" xr:uid="{00000000-0005-0000-0000-0000B45B0000}"/>
    <cellStyle name="Currency 3 3 3 4 2 3" xfId="21731" xr:uid="{00000000-0005-0000-0000-0000B55B0000}"/>
    <cellStyle name="Currency 3 3 3 4 3" xfId="13760" xr:uid="{00000000-0005-0000-0000-0000B65B0000}"/>
    <cellStyle name="Currency 3 3 3 4 3 2" xfId="27309" xr:uid="{00000000-0005-0000-0000-0000B75B0000}"/>
    <cellStyle name="Currency 3 3 3 4 4" xfId="21732" xr:uid="{00000000-0005-0000-0000-0000B85B0000}"/>
    <cellStyle name="Currency 3 3 3 5" xfId="6037" xr:uid="{00000000-0005-0000-0000-0000B95B0000}"/>
    <cellStyle name="Currency 3 3 3 5 2" xfId="14341" xr:uid="{00000000-0005-0000-0000-0000BA5B0000}"/>
    <cellStyle name="Currency 3 3 3 5 2 2" xfId="27890" xr:uid="{00000000-0005-0000-0000-0000BB5B0000}"/>
    <cellStyle name="Currency 3 3 3 5 3" xfId="21730" xr:uid="{00000000-0005-0000-0000-0000BC5B0000}"/>
    <cellStyle name="Currency 3 3 3 6" xfId="6038" xr:uid="{00000000-0005-0000-0000-0000BD5B0000}"/>
    <cellStyle name="Currency 3 3 3 6 2" xfId="16227" xr:uid="{00000000-0005-0000-0000-0000BE5B0000}"/>
    <cellStyle name="Currency 3 3 3 6 2 2" xfId="29634" xr:uid="{00000000-0005-0000-0000-0000BF5B0000}"/>
    <cellStyle name="Currency 3 3 3 6 3" xfId="21729" xr:uid="{00000000-0005-0000-0000-0000C05B0000}"/>
    <cellStyle name="Currency 3 3 3 7" xfId="9877" xr:uid="{00000000-0005-0000-0000-0000C15B0000}"/>
    <cellStyle name="Currency 3 3 3 8" xfId="21738" xr:uid="{00000000-0005-0000-0000-0000C25B0000}"/>
    <cellStyle name="Currency 3 3 4" xfId="6039" xr:uid="{00000000-0005-0000-0000-0000C35B0000}"/>
    <cellStyle name="Currency 3 3 4 2" xfId="6040" xr:uid="{00000000-0005-0000-0000-0000C45B0000}"/>
    <cellStyle name="Currency 3 3 4 2 2" xfId="13179" xr:uid="{00000000-0005-0000-0000-0000C55B0000}"/>
    <cellStyle name="Currency 3 3 4 2 3" xfId="21727" xr:uid="{00000000-0005-0000-0000-0000C65B0000}"/>
    <cellStyle name="Currency 3 3 4 3" xfId="6041" xr:uid="{00000000-0005-0000-0000-0000C75B0000}"/>
    <cellStyle name="Currency 3 3 4 3 2" xfId="17029" xr:uid="{00000000-0005-0000-0000-0000C85B0000}"/>
    <cellStyle name="Currency 3 3 4 3 3" xfId="21726" xr:uid="{00000000-0005-0000-0000-0000C95B0000}"/>
    <cellStyle name="Currency 3 3 4 4" xfId="9879" xr:uid="{00000000-0005-0000-0000-0000CA5B0000}"/>
    <cellStyle name="Currency 3 3 4 5" xfId="21728" xr:uid="{00000000-0005-0000-0000-0000CB5B0000}"/>
    <cellStyle name="Currency 3 3 5" xfId="6042" xr:uid="{00000000-0005-0000-0000-0000CC5B0000}"/>
    <cellStyle name="Currency 3 3 5 2" xfId="6043" xr:uid="{00000000-0005-0000-0000-0000CD5B0000}"/>
    <cellStyle name="Currency 3 3 5 2 2" xfId="11381" xr:uid="{00000000-0005-0000-0000-0000CE5B0000}"/>
    <cellStyle name="Currency 3 3 5 2 3" xfId="21724" xr:uid="{00000000-0005-0000-0000-0000CF5B0000}"/>
    <cellStyle name="Currency 3 3 5 3" xfId="6044" xr:uid="{00000000-0005-0000-0000-0000D05B0000}"/>
    <cellStyle name="Currency 3 3 5 3 2" xfId="17155" xr:uid="{00000000-0005-0000-0000-0000D15B0000}"/>
    <cellStyle name="Currency 3 3 5 3 2 2" xfId="30514" xr:uid="{00000000-0005-0000-0000-0000D25B0000}"/>
    <cellStyle name="Currency 3 3 5 3 3" xfId="21723" xr:uid="{00000000-0005-0000-0000-0000D35B0000}"/>
    <cellStyle name="Currency 3 3 5 4" xfId="9880" xr:uid="{00000000-0005-0000-0000-0000D45B0000}"/>
    <cellStyle name="Currency 3 3 5 5" xfId="21725" xr:uid="{00000000-0005-0000-0000-0000D55B0000}"/>
    <cellStyle name="Currency 3 3 6" xfId="6045" xr:uid="{00000000-0005-0000-0000-0000D65B0000}"/>
    <cellStyle name="Currency 3 3 6 2" xfId="6046" xr:uid="{00000000-0005-0000-0000-0000D75B0000}"/>
    <cellStyle name="Currency 3 3 6 2 2" xfId="15638" xr:uid="{00000000-0005-0000-0000-0000D85B0000}"/>
    <cellStyle name="Currency 3 3 6 2 3" xfId="21721" xr:uid="{00000000-0005-0000-0000-0000D95B0000}"/>
    <cellStyle name="Currency 3 3 6 3" xfId="6047" xr:uid="{00000000-0005-0000-0000-0000DA5B0000}"/>
    <cellStyle name="Currency 3 3 6 3 2" xfId="17244" xr:uid="{00000000-0005-0000-0000-0000DB5B0000}"/>
    <cellStyle name="Currency 3 3 6 3 2 2" xfId="30603" xr:uid="{00000000-0005-0000-0000-0000DC5B0000}"/>
    <cellStyle name="Currency 3 3 6 3 3" xfId="21720" xr:uid="{00000000-0005-0000-0000-0000DD5B0000}"/>
    <cellStyle name="Currency 3 3 6 4" xfId="11892" xr:uid="{00000000-0005-0000-0000-0000DE5B0000}"/>
    <cellStyle name="Currency 3 3 6 4 2" xfId="25607" xr:uid="{00000000-0005-0000-0000-0000DF5B0000}"/>
    <cellStyle name="Currency 3 3 6 5" xfId="21722" xr:uid="{00000000-0005-0000-0000-0000E05B0000}"/>
    <cellStyle name="Currency 3 3 7" xfId="6048" xr:uid="{00000000-0005-0000-0000-0000E15B0000}"/>
    <cellStyle name="Currency 3 3 7 2" xfId="6049" xr:uid="{00000000-0005-0000-0000-0000E25B0000}"/>
    <cellStyle name="Currency 3 3 7 2 2" xfId="16519" xr:uid="{00000000-0005-0000-0000-0000E35B0000}"/>
    <cellStyle name="Currency 3 3 7 2 2 2" xfId="29926" xr:uid="{00000000-0005-0000-0000-0000E45B0000}"/>
    <cellStyle name="Currency 3 3 7 2 3" xfId="21718" xr:uid="{00000000-0005-0000-0000-0000E55B0000}"/>
    <cellStyle name="Currency 3 3 7 3" xfId="13471" xr:uid="{00000000-0005-0000-0000-0000E65B0000}"/>
    <cellStyle name="Currency 3 3 7 3 2" xfId="27020" xr:uid="{00000000-0005-0000-0000-0000E75B0000}"/>
    <cellStyle name="Currency 3 3 7 4" xfId="21719" xr:uid="{00000000-0005-0000-0000-0000E85B0000}"/>
    <cellStyle name="Currency 3 3 8" xfId="6050" xr:uid="{00000000-0005-0000-0000-0000E95B0000}"/>
    <cellStyle name="Currency 3 3 8 2" xfId="14052" xr:uid="{00000000-0005-0000-0000-0000EA5B0000}"/>
    <cellStyle name="Currency 3 3 8 2 2" xfId="27601" xr:uid="{00000000-0005-0000-0000-0000EB5B0000}"/>
    <cellStyle name="Currency 3 3 8 3" xfId="21717" xr:uid="{00000000-0005-0000-0000-0000EC5B0000}"/>
    <cellStyle name="Currency 3 3 9" xfId="6051" xr:uid="{00000000-0005-0000-0000-0000ED5B0000}"/>
    <cellStyle name="Currency 3 3 9 2" xfId="15938" xr:uid="{00000000-0005-0000-0000-0000EE5B0000}"/>
    <cellStyle name="Currency 3 3 9 2 2" xfId="29345" xr:uid="{00000000-0005-0000-0000-0000EF5B0000}"/>
    <cellStyle name="Currency 3 3 9 3" xfId="21716" xr:uid="{00000000-0005-0000-0000-0000F05B0000}"/>
    <cellStyle name="Currency 3 30" xfId="21901" xr:uid="{00000000-0005-0000-0000-0000F15B0000}"/>
    <cellStyle name="Currency 3 4" xfId="6052" xr:uid="{00000000-0005-0000-0000-0000F25B0000}"/>
    <cellStyle name="Currency 3 4 10" xfId="9881" xr:uid="{00000000-0005-0000-0000-0000F35B0000}"/>
    <cellStyle name="Currency 3 4 11" xfId="21715" xr:uid="{00000000-0005-0000-0000-0000F45B0000}"/>
    <cellStyle name="Currency 3 4 2" xfId="6053" xr:uid="{00000000-0005-0000-0000-0000F55B0000}"/>
    <cellStyle name="Currency 3 4 2 2" xfId="6054" xr:uid="{00000000-0005-0000-0000-0000F65B0000}"/>
    <cellStyle name="Currency 3 4 2 2 2" xfId="6055" xr:uid="{00000000-0005-0000-0000-0000F75B0000}"/>
    <cellStyle name="Currency 3 4 2 2 2 2" xfId="6056" xr:uid="{00000000-0005-0000-0000-0000F85B0000}"/>
    <cellStyle name="Currency 3 4 2 2 2 2 2" xfId="11382" xr:uid="{00000000-0005-0000-0000-0000F95B0000}"/>
    <cellStyle name="Currency 3 4 2 2 2 2 3" xfId="21711" xr:uid="{00000000-0005-0000-0000-0000FA5B0000}"/>
    <cellStyle name="Currency 3 4 2 2 2 3" xfId="6057" xr:uid="{00000000-0005-0000-0000-0000FB5B0000}"/>
    <cellStyle name="Currency 3 4 2 2 2 3 2" xfId="16905" xr:uid="{00000000-0005-0000-0000-0000FC5B0000}"/>
    <cellStyle name="Currency 3 4 2 2 2 3 2 2" xfId="30312" xr:uid="{00000000-0005-0000-0000-0000FD5B0000}"/>
    <cellStyle name="Currency 3 4 2 2 2 3 3" xfId="21710" xr:uid="{00000000-0005-0000-0000-0000FE5B0000}"/>
    <cellStyle name="Currency 3 4 2 2 2 4" xfId="9884" xr:uid="{00000000-0005-0000-0000-0000FF5B0000}"/>
    <cellStyle name="Currency 3 4 2 2 2 5" xfId="21712" xr:uid="{00000000-0005-0000-0000-0000005C0000}"/>
    <cellStyle name="Currency 3 4 2 2 3" xfId="6058" xr:uid="{00000000-0005-0000-0000-0000015C0000}"/>
    <cellStyle name="Currency 3 4 2 2 3 2" xfId="6059" xr:uid="{00000000-0005-0000-0000-0000025C0000}"/>
    <cellStyle name="Currency 3 4 2 2 3 2 2" xfId="13180" xr:uid="{00000000-0005-0000-0000-0000035C0000}"/>
    <cellStyle name="Currency 3 4 2 2 3 2 3" xfId="21708" xr:uid="{00000000-0005-0000-0000-0000045C0000}"/>
    <cellStyle name="Currency 3 4 2 2 3 3" xfId="12293" xr:uid="{00000000-0005-0000-0000-0000055C0000}"/>
    <cellStyle name="Currency 3 4 2 2 3 3 2" xfId="26005" xr:uid="{00000000-0005-0000-0000-0000065C0000}"/>
    <cellStyle name="Currency 3 4 2 2 3 4" xfId="21709" xr:uid="{00000000-0005-0000-0000-0000075C0000}"/>
    <cellStyle name="Currency 3 4 2 2 4" xfId="6060" xr:uid="{00000000-0005-0000-0000-0000085C0000}"/>
    <cellStyle name="Currency 3 4 2 2 4 2" xfId="6061" xr:uid="{00000000-0005-0000-0000-0000095C0000}"/>
    <cellStyle name="Currency 3 4 2 2 4 2 2" xfId="15639" xr:uid="{00000000-0005-0000-0000-00000A5C0000}"/>
    <cellStyle name="Currency 3 4 2 2 4 2 3" xfId="21706" xr:uid="{00000000-0005-0000-0000-00000B5C0000}"/>
    <cellStyle name="Currency 3 4 2 2 4 3" xfId="13857" xr:uid="{00000000-0005-0000-0000-00000C5C0000}"/>
    <cellStyle name="Currency 3 4 2 2 4 3 2" xfId="27406" xr:uid="{00000000-0005-0000-0000-00000D5C0000}"/>
    <cellStyle name="Currency 3 4 2 2 4 4" xfId="21707" xr:uid="{00000000-0005-0000-0000-00000E5C0000}"/>
    <cellStyle name="Currency 3 4 2 2 5" xfId="6062" xr:uid="{00000000-0005-0000-0000-00000F5C0000}"/>
    <cellStyle name="Currency 3 4 2 2 5 2" xfId="14438" xr:uid="{00000000-0005-0000-0000-0000105C0000}"/>
    <cellStyle name="Currency 3 4 2 2 5 2 2" xfId="27987" xr:uid="{00000000-0005-0000-0000-0000115C0000}"/>
    <cellStyle name="Currency 3 4 2 2 5 3" xfId="21705" xr:uid="{00000000-0005-0000-0000-0000125C0000}"/>
    <cellStyle name="Currency 3 4 2 2 6" xfId="6063" xr:uid="{00000000-0005-0000-0000-0000135C0000}"/>
    <cellStyle name="Currency 3 4 2 2 6 2" xfId="16324" xr:uid="{00000000-0005-0000-0000-0000145C0000}"/>
    <cellStyle name="Currency 3 4 2 2 6 2 2" xfId="29731" xr:uid="{00000000-0005-0000-0000-0000155C0000}"/>
    <cellStyle name="Currency 3 4 2 2 6 3" xfId="21704" xr:uid="{00000000-0005-0000-0000-0000165C0000}"/>
    <cellStyle name="Currency 3 4 2 2 7" xfId="9883" xr:uid="{00000000-0005-0000-0000-0000175C0000}"/>
    <cellStyle name="Currency 3 4 2 2 8" xfId="21713" xr:uid="{00000000-0005-0000-0000-0000185C0000}"/>
    <cellStyle name="Currency 3 4 2 3" xfId="6064" xr:uid="{00000000-0005-0000-0000-0000195C0000}"/>
    <cellStyle name="Currency 3 4 2 3 2" xfId="6065" xr:uid="{00000000-0005-0000-0000-00001A5C0000}"/>
    <cellStyle name="Currency 3 4 2 3 2 2" xfId="11383" xr:uid="{00000000-0005-0000-0000-00001B5C0000}"/>
    <cellStyle name="Currency 3 4 2 3 2 3" xfId="21702" xr:uid="{00000000-0005-0000-0000-00001C5C0000}"/>
    <cellStyle name="Currency 3 4 2 3 3" xfId="6066" xr:uid="{00000000-0005-0000-0000-00001D5C0000}"/>
    <cellStyle name="Currency 3 4 2 3 3 2" xfId="16616" xr:uid="{00000000-0005-0000-0000-00001E5C0000}"/>
    <cellStyle name="Currency 3 4 2 3 3 2 2" xfId="30023" xr:uid="{00000000-0005-0000-0000-00001F5C0000}"/>
    <cellStyle name="Currency 3 4 2 3 3 3" xfId="21701" xr:uid="{00000000-0005-0000-0000-0000205C0000}"/>
    <cellStyle name="Currency 3 4 2 3 4" xfId="9885" xr:uid="{00000000-0005-0000-0000-0000215C0000}"/>
    <cellStyle name="Currency 3 4 2 3 5" xfId="21703" xr:uid="{00000000-0005-0000-0000-0000225C0000}"/>
    <cellStyle name="Currency 3 4 2 4" xfId="6067" xr:uid="{00000000-0005-0000-0000-0000235C0000}"/>
    <cellStyle name="Currency 3 4 2 4 2" xfId="6068" xr:uid="{00000000-0005-0000-0000-0000245C0000}"/>
    <cellStyle name="Currency 3 4 2 4 2 2" xfId="13181" xr:uid="{00000000-0005-0000-0000-0000255C0000}"/>
    <cellStyle name="Currency 3 4 2 4 2 3" xfId="21699" xr:uid="{00000000-0005-0000-0000-0000265C0000}"/>
    <cellStyle name="Currency 3 4 2 4 3" xfId="11993" xr:uid="{00000000-0005-0000-0000-0000275C0000}"/>
    <cellStyle name="Currency 3 4 2 4 3 2" xfId="25708" xr:uid="{00000000-0005-0000-0000-0000285C0000}"/>
    <cellStyle name="Currency 3 4 2 4 4" xfId="21700" xr:uid="{00000000-0005-0000-0000-0000295C0000}"/>
    <cellStyle name="Currency 3 4 2 5" xfId="6069" xr:uid="{00000000-0005-0000-0000-00002A5C0000}"/>
    <cellStyle name="Currency 3 4 2 5 2" xfId="6070" xr:uid="{00000000-0005-0000-0000-00002B5C0000}"/>
    <cellStyle name="Currency 3 4 2 5 2 2" xfId="15640" xr:uid="{00000000-0005-0000-0000-00002C5C0000}"/>
    <cellStyle name="Currency 3 4 2 5 2 3" xfId="21697" xr:uid="{00000000-0005-0000-0000-00002D5C0000}"/>
    <cellStyle name="Currency 3 4 2 5 3" xfId="13568" xr:uid="{00000000-0005-0000-0000-00002E5C0000}"/>
    <cellStyle name="Currency 3 4 2 5 3 2" xfId="27117" xr:uid="{00000000-0005-0000-0000-00002F5C0000}"/>
    <cellStyle name="Currency 3 4 2 5 4" xfId="21698" xr:uid="{00000000-0005-0000-0000-0000305C0000}"/>
    <cellStyle name="Currency 3 4 2 6" xfId="6071" xr:uid="{00000000-0005-0000-0000-0000315C0000}"/>
    <cellStyle name="Currency 3 4 2 6 2" xfId="14149" xr:uid="{00000000-0005-0000-0000-0000325C0000}"/>
    <cellStyle name="Currency 3 4 2 6 2 2" xfId="27698" xr:uid="{00000000-0005-0000-0000-0000335C0000}"/>
    <cellStyle name="Currency 3 4 2 6 3" xfId="21696" xr:uid="{00000000-0005-0000-0000-0000345C0000}"/>
    <cellStyle name="Currency 3 4 2 7" xfId="6072" xr:uid="{00000000-0005-0000-0000-0000355C0000}"/>
    <cellStyle name="Currency 3 4 2 7 2" xfId="16035" xr:uid="{00000000-0005-0000-0000-0000365C0000}"/>
    <cellStyle name="Currency 3 4 2 7 2 2" xfId="29442" xr:uid="{00000000-0005-0000-0000-0000375C0000}"/>
    <cellStyle name="Currency 3 4 2 7 3" xfId="21695" xr:uid="{00000000-0005-0000-0000-0000385C0000}"/>
    <cellStyle name="Currency 3 4 2 8" xfId="9882" xr:uid="{00000000-0005-0000-0000-0000395C0000}"/>
    <cellStyle name="Currency 3 4 2 9" xfId="21714" xr:uid="{00000000-0005-0000-0000-00003A5C0000}"/>
    <cellStyle name="Currency 3 4 3" xfId="6073" xr:uid="{00000000-0005-0000-0000-00003B5C0000}"/>
    <cellStyle name="Currency 3 4 3 2" xfId="6074" xr:uid="{00000000-0005-0000-0000-00003C5C0000}"/>
    <cellStyle name="Currency 3 4 3 2 2" xfId="6075" xr:uid="{00000000-0005-0000-0000-00003D5C0000}"/>
    <cellStyle name="Currency 3 4 3 2 2 2" xfId="11384" xr:uid="{00000000-0005-0000-0000-00003E5C0000}"/>
    <cellStyle name="Currency 3 4 3 2 2 3" xfId="21692" xr:uid="{00000000-0005-0000-0000-00003F5C0000}"/>
    <cellStyle name="Currency 3 4 3 2 3" xfId="6076" xr:uid="{00000000-0005-0000-0000-0000405C0000}"/>
    <cellStyle name="Currency 3 4 3 2 3 2" xfId="16765" xr:uid="{00000000-0005-0000-0000-0000415C0000}"/>
    <cellStyle name="Currency 3 4 3 2 3 2 2" xfId="30172" xr:uid="{00000000-0005-0000-0000-0000425C0000}"/>
    <cellStyle name="Currency 3 4 3 2 3 3" xfId="21691" xr:uid="{00000000-0005-0000-0000-0000435C0000}"/>
    <cellStyle name="Currency 3 4 3 2 4" xfId="9887" xr:uid="{00000000-0005-0000-0000-0000445C0000}"/>
    <cellStyle name="Currency 3 4 3 2 5" xfId="21693" xr:uid="{00000000-0005-0000-0000-0000455C0000}"/>
    <cellStyle name="Currency 3 4 3 3" xfId="6077" xr:uid="{00000000-0005-0000-0000-0000465C0000}"/>
    <cellStyle name="Currency 3 4 3 3 2" xfId="6078" xr:uid="{00000000-0005-0000-0000-0000475C0000}"/>
    <cellStyle name="Currency 3 4 3 3 2 2" xfId="13182" xr:uid="{00000000-0005-0000-0000-0000485C0000}"/>
    <cellStyle name="Currency 3 4 3 3 2 3" xfId="21689" xr:uid="{00000000-0005-0000-0000-0000495C0000}"/>
    <cellStyle name="Currency 3 4 3 3 3" xfId="12153" xr:uid="{00000000-0005-0000-0000-00004A5C0000}"/>
    <cellStyle name="Currency 3 4 3 3 3 2" xfId="25865" xr:uid="{00000000-0005-0000-0000-00004B5C0000}"/>
    <cellStyle name="Currency 3 4 3 3 4" xfId="21690" xr:uid="{00000000-0005-0000-0000-00004C5C0000}"/>
    <cellStyle name="Currency 3 4 3 4" xfId="6079" xr:uid="{00000000-0005-0000-0000-00004D5C0000}"/>
    <cellStyle name="Currency 3 4 3 4 2" xfId="6080" xr:uid="{00000000-0005-0000-0000-00004E5C0000}"/>
    <cellStyle name="Currency 3 4 3 4 2 2" xfId="15641" xr:uid="{00000000-0005-0000-0000-00004F5C0000}"/>
    <cellStyle name="Currency 3 4 3 4 2 3" xfId="21687" xr:uid="{00000000-0005-0000-0000-0000505C0000}"/>
    <cellStyle name="Currency 3 4 3 4 3" xfId="13717" xr:uid="{00000000-0005-0000-0000-0000515C0000}"/>
    <cellStyle name="Currency 3 4 3 4 3 2" xfId="27266" xr:uid="{00000000-0005-0000-0000-0000525C0000}"/>
    <cellStyle name="Currency 3 4 3 4 4" xfId="21688" xr:uid="{00000000-0005-0000-0000-0000535C0000}"/>
    <cellStyle name="Currency 3 4 3 5" xfId="6081" xr:uid="{00000000-0005-0000-0000-0000545C0000}"/>
    <cellStyle name="Currency 3 4 3 5 2" xfId="14298" xr:uid="{00000000-0005-0000-0000-0000555C0000}"/>
    <cellStyle name="Currency 3 4 3 5 2 2" xfId="27847" xr:uid="{00000000-0005-0000-0000-0000565C0000}"/>
    <cellStyle name="Currency 3 4 3 5 3" xfId="21686" xr:uid="{00000000-0005-0000-0000-0000575C0000}"/>
    <cellStyle name="Currency 3 4 3 6" xfId="6082" xr:uid="{00000000-0005-0000-0000-0000585C0000}"/>
    <cellStyle name="Currency 3 4 3 6 2" xfId="16184" xr:uid="{00000000-0005-0000-0000-0000595C0000}"/>
    <cellStyle name="Currency 3 4 3 6 2 2" xfId="29591" xr:uid="{00000000-0005-0000-0000-00005A5C0000}"/>
    <cellStyle name="Currency 3 4 3 6 3" xfId="21685" xr:uid="{00000000-0005-0000-0000-00005B5C0000}"/>
    <cellStyle name="Currency 3 4 3 7" xfId="9886" xr:uid="{00000000-0005-0000-0000-00005C5C0000}"/>
    <cellStyle name="Currency 3 4 3 8" xfId="21694" xr:uid="{00000000-0005-0000-0000-00005D5C0000}"/>
    <cellStyle name="Currency 3 4 4" xfId="6083" xr:uid="{00000000-0005-0000-0000-00005E5C0000}"/>
    <cellStyle name="Currency 3 4 4 2" xfId="6084" xr:uid="{00000000-0005-0000-0000-00005F5C0000}"/>
    <cellStyle name="Currency 3 4 4 2 2" xfId="16473" xr:uid="{00000000-0005-0000-0000-0000605C0000}"/>
    <cellStyle name="Currency 3 4 4 2 2 2" xfId="29880" xr:uid="{00000000-0005-0000-0000-0000615C0000}"/>
    <cellStyle name="Currency 3 4 4 2 3" xfId="21683" xr:uid="{00000000-0005-0000-0000-0000625C0000}"/>
    <cellStyle name="Currency 3 4 4 3" xfId="9888" xr:uid="{00000000-0005-0000-0000-0000635C0000}"/>
    <cellStyle name="Currency 3 4 4 4" xfId="21684" xr:uid="{00000000-0005-0000-0000-0000645C0000}"/>
    <cellStyle name="Currency 3 4 5" xfId="6085" xr:uid="{00000000-0005-0000-0000-0000655C0000}"/>
    <cellStyle name="Currency 3 4 5 2" xfId="6086" xr:uid="{00000000-0005-0000-0000-0000665C0000}"/>
    <cellStyle name="Currency 3 4 5 2 2" xfId="11385" xr:uid="{00000000-0005-0000-0000-0000675C0000}"/>
    <cellStyle name="Currency 3 4 5 2 3" xfId="21681" xr:uid="{00000000-0005-0000-0000-0000685C0000}"/>
    <cellStyle name="Currency 3 4 5 3" xfId="9889" xr:uid="{00000000-0005-0000-0000-0000695C0000}"/>
    <cellStyle name="Currency 3 4 5 4" xfId="21682" xr:uid="{00000000-0005-0000-0000-00006A5C0000}"/>
    <cellStyle name="Currency 3 4 6" xfId="6087" xr:uid="{00000000-0005-0000-0000-00006B5C0000}"/>
    <cellStyle name="Currency 3 4 6 2" xfId="6088" xr:uid="{00000000-0005-0000-0000-00006C5C0000}"/>
    <cellStyle name="Currency 3 4 6 2 2" xfId="13183" xr:uid="{00000000-0005-0000-0000-00006D5C0000}"/>
    <cellStyle name="Currency 3 4 6 2 3" xfId="21679" xr:uid="{00000000-0005-0000-0000-00006E5C0000}"/>
    <cellStyle name="Currency 3 4 6 3" xfId="11824" xr:uid="{00000000-0005-0000-0000-00006F5C0000}"/>
    <cellStyle name="Currency 3 4 6 3 2" xfId="25539" xr:uid="{00000000-0005-0000-0000-0000705C0000}"/>
    <cellStyle name="Currency 3 4 6 4" xfId="21680" xr:uid="{00000000-0005-0000-0000-0000715C0000}"/>
    <cellStyle name="Currency 3 4 7" xfId="6089" xr:uid="{00000000-0005-0000-0000-0000725C0000}"/>
    <cellStyle name="Currency 3 4 7 2" xfId="6090" xr:uid="{00000000-0005-0000-0000-0000735C0000}"/>
    <cellStyle name="Currency 3 4 7 2 2" xfId="15642" xr:uid="{00000000-0005-0000-0000-0000745C0000}"/>
    <cellStyle name="Currency 3 4 7 2 3" xfId="21677" xr:uid="{00000000-0005-0000-0000-0000755C0000}"/>
    <cellStyle name="Currency 3 4 7 3" xfId="13425" xr:uid="{00000000-0005-0000-0000-0000765C0000}"/>
    <cellStyle name="Currency 3 4 7 3 2" xfId="26974" xr:uid="{00000000-0005-0000-0000-0000775C0000}"/>
    <cellStyle name="Currency 3 4 7 4" xfId="21678" xr:uid="{00000000-0005-0000-0000-0000785C0000}"/>
    <cellStyle name="Currency 3 4 8" xfId="6091" xr:uid="{00000000-0005-0000-0000-0000795C0000}"/>
    <cellStyle name="Currency 3 4 8 2" xfId="14006" xr:uid="{00000000-0005-0000-0000-00007A5C0000}"/>
    <cellStyle name="Currency 3 4 8 2 2" xfId="27555" xr:uid="{00000000-0005-0000-0000-00007B5C0000}"/>
    <cellStyle name="Currency 3 4 8 3" xfId="21676" xr:uid="{00000000-0005-0000-0000-00007C5C0000}"/>
    <cellStyle name="Currency 3 4 9" xfId="6092" xr:uid="{00000000-0005-0000-0000-00007D5C0000}"/>
    <cellStyle name="Currency 3 4 9 2" xfId="15892" xr:uid="{00000000-0005-0000-0000-00007E5C0000}"/>
    <cellStyle name="Currency 3 4 9 2 2" xfId="29299" xr:uid="{00000000-0005-0000-0000-00007F5C0000}"/>
    <cellStyle name="Currency 3 4 9 3" xfId="21675" xr:uid="{00000000-0005-0000-0000-0000805C0000}"/>
    <cellStyle name="Currency 3 5" xfId="6093" xr:uid="{00000000-0005-0000-0000-0000815C0000}"/>
    <cellStyle name="Currency 3 5 10" xfId="9890" xr:uid="{00000000-0005-0000-0000-0000825C0000}"/>
    <cellStyle name="Currency 3 5 11" xfId="21674" xr:uid="{00000000-0005-0000-0000-0000835C0000}"/>
    <cellStyle name="Currency 3 5 2" xfId="6094" xr:uid="{00000000-0005-0000-0000-0000845C0000}"/>
    <cellStyle name="Currency 3 5 2 2" xfId="6095" xr:uid="{00000000-0005-0000-0000-0000855C0000}"/>
    <cellStyle name="Currency 3 5 2 2 2" xfId="6096" xr:uid="{00000000-0005-0000-0000-0000865C0000}"/>
    <cellStyle name="Currency 3 5 2 2 2 2" xfId="6097" xr:uid="{00000000-0005-0000-0000-0000875C0000}"/>
    <cellStyle name="Currency 3 5 2 2 2 2 2" xfId="11386" xr:uid="{00000000-0005-0000-0000-0000885C0000}"/>
    <cellStyle name="Currency 3 5 2 2 2 2 3" xfId="21670" xr:uid="{00000000-0005-0000-0000-0000895C0000}"/>
    <cellStyle name="Currency 3 5 2 2 2 3" xfId="6098" xr:uid="{00000000-0005-0000-0000-00008A5C0000}"/>
    <cellStyle name="Currency 3 5 2 2 2 3 2" xfId="16888" xr:uid="{00000000-0005-0000-0000-00008B5C0000}"/>
    <cellStyle name="Currency 3 5 2 2 2 3 2 2" xfId="30295" xr:uid="{00000000-0005-0000-0000-00008C5C0000}"/>
    <cellStyle name="Currency 3 5 2 2 2 3 3" xfId="21669" xr:uid="{00000000-0005-0000-0000-00008D5C0000}"/>
    <cellStyle name="Currency 3 5 2 2 2 4" xfId="9893" xr:uid="{00000000-0005-0000-0000-00008E5C0000}"/>
    <cellStyle name="Currency 3 5 2 2 2 5" xfId="21671" xr:uid="{00000000-0005-0000-0000-00008F5C0000}"/>
    <cellStyle name="Currency 3 5 2 2 3" xfId="6099" xr:uid="{00000000-0005-0000-0000-0000905C0000}"/>
    <cellStyle name="Currency 3 5 2 2 3 2" xfId="6100" xr:uid="{00000000-0005-0000-0000-0000915C0000}"/>
    <cellStyle name="Currency 3 5 2 2 3 2 2" xfId="13184" xr:uid="{00000000-0005-0000-0000-0000925C0000}"/>
    <cellStyle name="Currency 3 5 2 2 3 2 3" xfId="21667" xr:uid="{00000000-0005-0000-0000-0000935C0000}"/>
    <cellStyle name="Currency 3 5 2 2 3 3" xfId="12276" xr:uid="{00000000-0005-0000-0000-0000945C0000}"/>
    <cellStyle name="Currency 3 5 2 2 3 3 2" xfId="25988" xr:uid="{00000000-0005-0000-0000-0000955C0000}"/>
    <cellStyle name="Currency 3 5 2 2 3 4" xfId="21668" xr:uid="{00000000-0005-0000-0000-0000965C0000}"/>
    <cellStyle name="Currency 3 5 2 2 4" xfId="6101" xr:uid="{00000000-0005-0000-0000-0000975C0000}"/>
    <cellStyle name="Currency 3 5 2 2 4 2" xfId="6102" xr:uid="{00000000-0005-0000-0000-0000985C0000}"/>
    <cellStyle name="Currency 3 5 2 2 4 2 2" xfId="15643" xr:uid="{00000000-0005-0000-0000-0000995C0000}"/>
    <cellStyle name="Currency 3 5 2 2 4 2 3" xfId="21665" xr:uid="{00000000-0005-0000-0000-00009A5C0000}"/>
    <cellStyle name="Currency 3 5 2 2 4 3" xfId="13840" xr:uid="{00000000-0005-0000-0000-00009B5C0000}"/>
    <cellStyle name="Currency 3 5 2 2 4 3 2" xfId="27389" xr:uid="{00000000-0005-0000-0000-00009C5C0000}"/>
    <cellStyle name="Currency 3 5 2 2 4 4" xfId="21666" xr:uid="{00000000-0005-0000-0000-00009D5C0000}"/>
    <cellStyle name="Currency 3 5 2 2 5" xfId="6103" xr:uid="{00000000-0005-0000-0000-00009E5C0000}"/>
    <cellStyle name="Currency 3 5 2 2 5 2" xfId="14421" xr:uid="{00000000-0005-0000-0000-00009F5C0000}"/>
    <cellStyle name="Currency 3 5 2 2 5 2 2" xfId="27970" xr:uid="{00000000-0005-0000-0000-0000A05C0000}"/>
    <cellStyle name="Currency 3 5 2 2 5 3" xfId="21664" xr:uid="{00000000-0005-0000-0000-0000A15C0000}"/>
    <cellStyle name="Currency 3 5 2 2 6" xfId="6104" xr:uid="{00000000-0005-0000-0000-0000A25C0000}"/>
    <cellStyle name="Currency 3 5 2 2 6 2" xfId="16307" xr:uid="{00000000-0005-0000-0000-0000A35C0000}"/>
    <cellStyle name="Currency 3 5 2 2 6 2 2" xfId="29714" xr:uid="{00000000-0005-0000-0000-0000A45C0000}"/>
    <cellStyle name="Currency 3 5 2 2 6 3" xfId="21663" xr:uid="{00000000-0005-0000-0000-0000A55C0000}"/>
    <cellStyle name="Currency 3 5 2 2 7" xfId="9892" xr:uid="{00000000-0005-0000-0000-0000A65C0000}"/>
    <cellStyle name="Currency 3 5 2 2 8" xfId="21672" xr:uid="{00000000-0005-0000-0000-0000A75C0000}"/>
    <cellStyle name="Currency 3 5 2 3" xfId="6105" xr:uid="{00000000-0005-0000-0000-0000A85C0000}"/>
    <cellStyle name="Currency 3 5 2 3 2" xfId="6106" xr:uid="{00000000-0005-0000-0000-0000A95C0000}"/>
    <cellStyle name="Currency 3 5 2 3 2 2" xfId="11387" xr:uid="{00000000-0005-0000-0000-0000AA5C0000}"/>
    <cellStyle name="Currency 3 5 2 3 2 3" xfId="21661" xr:uid="{00000000-0005-0000-0000-0000AB5C0000}"/>
    <cellStyle name="Currency 3 5 2 3 3" xfId="6107" xr:uid="{00000000-0005-0000-0000-0000AC5C0000}"/>
    <cellStyle name="Currency 3 5 2 3 3 2" xfId="16599" xr:uid="{00000000-0005-0000-0000-0000AD5C0000}"/>
    <cellStyle name="Currency 3 5 2 3 3 2 2" xfId="30006" xr:uid="{00000000-0005-0000-0000-0000AE5C0000}"/>
    <cellStyle name="Currency 3 5 2 3 3 3" xfId="21660" xr:uid="{00000000-0005-0000-0000-0000AF5C0000}"/>
    <cellStyle name="Currency 3 5 2 3 4" xfId="9894" xr:uid="{00000000-0005-0000-0000-0000B05C0000}"/>
    <cellStyle name="Currency 3 5 2 3 5" xfId="21662" xr:uid="{00000000-0005-0000-0000-0000B15C0000}"/>
    <cellStyle name="Currency 3 5 2 4" xfId="6108" xr:uid="{00000000-0005-0000-0000-0000B25C0000}"/>
    <cellStyle name="Currency 3 5 2 4 2" xfId="6109" xr:uid="{00000000-0005-0000-0000-0000B35C0000}"/>
    <cellStyle name="Currency 3 5 2 4 2 2" xfId="13185" xr:uid="{00000000-0005-0000-0000-0000B45C0000}"/>
    <cellStyle name="Currency 3 5 2 4 2 3" xfId="21658" xr:uid="{00000000-0005-0000-0000-0000B55C0000}"/>
    <cellStyle name="Currency 3 5 2 4 3" xfId="11976" xr:uid="{00000000-0005-0000-0000-0000B65C0000}"/>
    <cellStyle name="Currency 3 5 2 4 3 2" xfId="25691" xr:uid="{00000000-0005-0000-0000-0000B75C0000}"/>
    <cellStyle name="Currency 3 5 2 4 4" xfId="21659" xr:uid="{00000000-0005-0000-0000-0000B85C0000}"/>
    <cellStyle name="Currency 3 5 2 5" xfId="6110" xr:uid="{00000000-0005-0000-0000-0000B95C0000}"/>
    <cellStyle name="Currency 3 5 2 5 2" xfId="6111" xr:uid="{00000000-0005-0000-0000-0000BA5C0000}"/>
    <cellStyle name="Currency 3 5 2 5 2 2" xfId="15644" xr:uid="{00000000-0005-0000-0000-0000BB5C0000}"/>
    <cellStyle name="Currency 3 5 2 5 2 3" xfId="21656" xr:uid="{00000000-0005-0000-0000-0000BC5C0000}"/>
    <cellStyle name="Currency 3 5 2 5 3" xfId="13551" xr:uid="{00000000-0005-0000-0000-0000BD5C0000}"/>
    <cellStyle name="Currency 3 5 2 5 3 2" xfId="27100" xr:uid="{00000000-0005-0000-0000-0000BE5C0000}"/>
    <cellStyle name="Currency 3 5 2 5 4" xfId="21657" xr:uid="{00000000-0005-0000-0000-0000BF5C0000}"/>
    <cellStyle name="Currency 3 5 2 6" xfId="6112" xr:uid="{00000000-0005-0000-0000-0000C05C0000}"/>
    <cellStyle name="Currency 3 5 2 6 2" xfId="14132" xr:uid="{00000000-0005-0000-0000-0000C15C0000}"/>
    <cellStyle name="Currency 3 5 2 6 2 2" xfId="27681" xr:uid="{00000000-0005-0000-0000-0000C25C0000}"/>
    <cellStyle name="Currency 3 5 2 6 3" xfId="21655" xr:uid="{00000000-0005-0000-0000-0000C35C0000}"/>
    <cellStyle name="Currency 3 5 2 7" xfId="6113" xr:uid="{00000000-0005-0000-0000-0000C45C0000}"/>
    <cellStyle name="Currency 3 5 2 7 2" xfId="16018" xr:uid="{00000000-0005-0000-0000-0000C55C0000}"/>
    <cellStyle name="Currency 3 5 2 7 2 2" xfId="29425" xr:uid="{00000000-0005-0000-0000-0000C65C0000}"/>
    <cellStyle name="Currency 3 5 2 7 3" xfId="21654" xr:uid="{00000000-0005-0000-0000-0000C75C0000}"/>
    <cellStyle name="Currency 3 5 2 8" xfId="9891" xr:uid="{00000000-0005-0000-0000-0000C85C0000}"/>
    <cellStyle name="Currency 3 5 2 9" xfId="21673" xr:uid="{00000000-0005-0000-0000-0000C95C0000}"/>
    <cellStyle name="Currency 3 5 3" xfId="6114" xr:uid="{00000000-0005-0000-0000-0000CA5C0000}"/>
    <cellStyle name="Currency 3 5 3 2" xfId="6115" xr:uid="{00000000-0005-0000-0000-0000CB5C0000}"/>
    <cellStyle name="Currency 3 5 3 2 2" xfId="6116" xr:uid="{00000000-0005-0000-0000-0000CC5C0000}"/>
    <cellStyle name="Currency 3 5 3 2 2 2" xfId="11388" xr:uid="{00000000-0005-0000-0000-0000CD5C0000}"/>
    <cellStyle name="Currency 3 5 3 2 2 3" xfId="21651" xr:uid="{00000000-0005-0000-0000-0000CE5C0000}"/>
    <cellStyle name="Currency 3 5 3 2 3" xfId="6117" xr:uid="{00000000-0005-0000-0000-0000CF5C0000}"/>
    <cellStyle name="Currency 3 5 3 2 3 2" xfId="16748" xr:uid="{00000000-0005-0000-0000-0000D05C0000}"/>
    <cellStyle name="Currency 3 5 3 2 3 2 2" xfId="30155" xr:uid="{00000000-0005-0000-0000-0000D15C0000}"/>
    <cellStyle name="Currency 3 5 3 2 3 3" xfId="21650" xr:uid="{00000000-0005-0000-0000-0000D25C0000}"/>
    <cellStyle name="Currency 3 5 3 2 4" xfId="9896" xr:uid="{00000000-0005-0000-0000-0000D35C0000}"/>
    <cellStyle name="Currency 3 5 3 2 5" xfId="21652" xr:uid="{00000000-0005-0000-0000-0000D45C0000}"/>
    <cellStyle name="Currency 3 5 3 3" xfId="6118" xr:uid="{00000000-0005-0000-0000-0000D55C0000}"/>
    <cellStyle name="Currency 3 5 3 3 2" xfId="6119" xr:uid="{00000000-0005-0000-0000-0000D65C0000}"/>
    <cellStyle name="Currency 3 5 3 3 2 2" xfId="13186" xr:uid="{00000000-0005-0000-0000-0000D75C0000}"/>
    <cellStyle name="Currency 3 5 3 3 2 3" xfId="21648" xr:uid="{00000000-0005-0000-0000-0000D85C0000}"/>
    <cellStyle name="Currency 3 5 3 3 3" xfId="12136" xr:uid="{00000000-0005-0000-0000-0000D95C0000}"/>
    <cellStyle name="Currency 3 5 3 3 3 2" xfId="25848" xr:uid="{00000000-0005-0000-0000-0000DA5C0000}"/>
    <cellStyle name="Currency 3 5 3 3 4" xfId="21649" xr:uid="{00000000-0005-0000-0000-0000DB5C0000}"/>
    <cellStyle name="Currency 3 5 3 4" xfId="6120" xr:uid="{00000000-0005-0000-0000-0000DC5C0000}"/>
    <cellStyle name="Currency 3 5 3 4 2" xfId="6121" xr:uid="{00000000-0005-0000-0000-0000DD5C0000}"/>
    <cellStyle name="Currency 3 5 3 4 2 2" xfId="15645" xr:uid="{00000000-0005-0000-0000-0000DE5C0000}"/>
    <cellStyle name="Currency 3 5 3 4 2 3" xfId="21646" xr:uid="{00000000-0005-0000-0000-0000DF5C0000}"/>
    <cellStyle name="Currency 3 5 3 4 3" xfId="13700" xr:uid="{00000000-0005-0000-0000-0000E05C0000}"/>
    <cellStyle name="Currency 3 5 3 4 3 2" xfId="27249" xr:uid="{00000000-0005-0000-0000-0000E15C0000}"/>
    <cellStyle name="Currency 3 5 3 4 4" xfId="21647" xr:uid="{00000000-0005-0000-0000-0000E25C0000}"/>
    <cellStyle name="Currency 3 5 3 5" xfId="6122" xr:uid="{00000000-0005-0000-0000-0000E35C0000}"/>
    <cellStyle name="Currency 3 5 3 5 2" xfId="14281" xr:uid="{00000000-0005-0000-0000-0000E45C0000}"/>
    <cellStyle name="Currency 3 5 3 5 2 2" xfId="27830" xr:uid="{00000000-0005-0000-0000-0000E55C0000}"/>
    <cellStyle name="Currency 3 5 3 5 3" xfId="21645" xr:uid="{00000000-0005-0000-0000-0000E65C0000}"/>
    <cellStyle name="Currency 3 5 3 6" xfId="6123" xr:uid="{00000000-0005-0000-0000-0000E75C0000}"/>
    <cellStyle name="Currency 3 5 3 6 2" xfId="16167" xr:uid="{00000000-0005-0000-0000-0000E85C0000}"/>
    <cellStyle name="Currency 3 5 3 6 2 2" xfId="29574" xr:uid="{00000000-0005-0000-0000-0000E95C0000}"/>
    <cellStyle name="Currency 3 5 3 6 3" xfId="21644" xr:uid="{00000000-0005-0000-0000-0000EA5C0000}"/>
    <cellStyle name="Currency 3 5 3 7" xfId="9895" xr:uid="{00000000-0005-0000-0000-0000EB5C0000}"/>
    <cellStyle name="Currency 3 5 3 8" xfId="21653" xr:uid="{00000000-0005-0000-0000-0000EC5C0000}"/>
    <cellStyle name="Currency 3 5 4" xfId="6124" xr:uid="{00000000-0005-0000-0000-0000ED5C0000}"/>
    <cellStyle name="Currency 3 5 4 2" xfId="6125" xr:uid="{00000000-0005-0000-0000-0000EE5C0000}"/>
    <cellStyle name="Currency 3 5 4 2 2" xfId="16456" xr:uid="{00000000-0005-0000-0000-0000EF5C0000}"/>
    <cellStyle name="Currency 3 5 4 2 2 2" xfId="29863" xr:uid="{00000000-0005-0000-0000-0000F05C0000}"/>
    <cellStyle name="Currency 3 5 4 2 3" xfId="21642" xr:uid="{00000000-0005-0000-0000-0000F15C0000}"/>
    <cellStyle name="Currency 3 5 4 3" xfId="9897" xr:uid="{00000000-0005-0000-0000-0000F25C0000}"/>
    <cellStyle name="Currency 3 5 4 4" xfId="21643" xr:uid="{00000000-0005-0000-0000-0000F35C0000}"/>
    <cellStyle name="Currency 3 5 5" xfId="6126" xr:uid="{00000000-0005-0000-0000-0000F45C0000}"/>
    <cellStyle name="Currency 3 5 5 2" xfId="6127" xr:uid="{00000000-0005-0000-0000-0000F55C0000}"/>
    <cellStyle name="Currency 3 5 5 2 2" xfId="11389" xr:uid="{00000000-0005-0000-0000-0000F65C0000}"/>
    <cellStyle name="Currency 3 5 5 2 3" xfId="21640" xr:uid="{00000000-0005-0000-0000-0000F75C0000}"/>
    <cellStyle name="Currency 3 5 5 3" xfId="9898" xr:uid="{00000000-0005-0000-0000-0000F85C0000}"/>
    <cellStyle name="Currency 3 5 5 4" xfId="21641" xr:uid="{00000000-0005-0000-0000-0000F95C0000}"/>
    <cellStyle name="Currency 3 5 6" xfId="6128" xr:uid="{00000000-0005-0000-0000-0000FA5C0000}"/>
    <cellStyle name="Currency 3 5 6 2" xfId="6129" xr:uid="{00000000-0005-0000-0000-0000FB5C0000}"/>
    <cellStyle name="Currency 3 5 6 2 2" xfId="13187" xr:uid="{00000000-0005-0000-0000-0000FC5C0000}"/>
    <cellStyle name="Currency 3 5 6 2 3" xfId="21638" xr:uid="{00000000-0005-0000-0000-0000FD5C0000}"/>
    <cellStyle name="Currency 3 5 6 3" xfId="11807" xr:uid="{00000000-0005-0000-0000-0000FE5C0000}"/>
    <cellStyle name="Currency 3 5 6 3 2" xfId="25522" xr:uid="{00000000-0005-0000-0000-0000FF5C0000}"/>
    <cellStyle name="Currency 3 5 6 4" xfId="21639" xr:uid="{00000000-0005-0000-0000-0000005D0000}"/>
    <cellStyle name="Currency 3 5 7" xfId="6130" xr:uid="{00000000-0005-0000-0000-0000015D0000}"/>
    <cellStyle name="Currency 3 5 7 2" xfId="6131" xr:uid="{00000000-0005-0000-0000-0000025D0000}"/>
    <cellStyle name="Currency 3 5 7 2 2" xfId="15646" xr:uid="{00000000-0005-0000-0000-0000035D0000}"/>
    <cellStyle name="Currency 3 5 7 2 3" xfId="21636" xr:uid="{00000000-0005-0000-0000-0000045D0000}"/>
    <cellStyle name="Currency 3 5 7 3" xfId="13408" xr:uid="{00000000-0005-0000-0000-0000055D0000}"/>
    <cellStyle name="Currency 3 5 7 3 2" xfId="26957" xr:uid="{00000000-0005-0000-0000-0000065D0000}"/>
    <cellStyle name="Currency 3 5 7 4" xfId="21637" xr:uid="{00000000-0005-0000-0000-0000075D0000}"/>
    <cellStyle name="Currency 3 5 8" xfId="6132" xr:uid="{00000000-0005-0000-0000-0000085D0000}"/>
    <cellStyle name="Currency 3 5 8 2" xfId="13989" xr:uid="{00000000-0005-0000-0000-0000095D0000}"/>
    <cellStyle name="Currency 3 5 8 2 2" xfId="27538" xr:uid="{00000000-0005-0000-0000-00000A5D0000}"/>
    <cellStyle name="Currency 3 5 8 3" xfId="21635" xr:uid="{00000000-0005-0000-0000-00000B5D0000}"/>
    <cellStyle name="Currency 3 5 9" xfId="6133" xr:uid="{00000000-0005-0000-0000-00000C5D0000}"/>
    <cellStyle name="Currency 3 5 9 2" xfId="15875" xr:uid="{00000000-0005-0000-0000-00000D5D0000}"/>
    <cellStyle name="Currency 3 5 9 2 2" xfId="29282" xr:uid="{00000000-0005-0000-0000-00000E5D0000}"/>
    <cellStyle name="Currency 3 5 9 3" xfId="21634" xr:uid="{00000000-0005-0000-0000-00000F5D0000}"/>
    <cellStyle name="Currency 3 6" xfId="6134" xr:uid="{00000000-0005-0000-0000-0000105D0000}"/>
    <cellStyle name="Currency 3 6 10" xfId="9899" xr:uid="{00000000-0005-0000-0000-0000115D0000}"/>
    <cellStyle name="Currency 3 6 11" xfId="21633" xr:uid="{00000000-0005-0000-0000-0000125D0000}"/>
    <cellStyle name="Currency 3 6 2" xfId="6135" xr:uid="{00000000-0005-0000-0000-0000135D0000}"/>
    <cellStyle name="Currency 3 6 2 2" xfId="6136" xr:uid="{00000000-0005-0000-0000-0000145D0000}"/>
    <cellStyle name="Currency 3 6 2 2 2" xfId="6137" xr:uid="{00000000-0005-0000-0000-0000155D0000}"/>
    <cellStyle name="Currency 3 6 2 2 2 2" xfId="6138" xr:uid="{00000000-0005-0000-0000-0000165D0000}"/>
    <cellStyle name="Currency 3 6 2 2 2 2 2" xfId="11390" xr:uid="{00000000-0005-0000-0000-0000175D0000}"/>
    <cellStyle name="Currency 3 6 2 2 2 2 3" xfId="21629" xr:uid="{00000000-0005-0000-0000-0000185D0000}"/>
    <cellStyle name="Currency 3 6 2 2 2 3" xfId="6139" xr:uid="{00000000-0005-0000-0000-0000195D0000}"/>
    <cellStyle name="Currency 3 6 2 2 2 3 2" xfId="16994" xr:uid="{00000000-0005-0000-0000-00001A5D0000}"/>
    <cellStyle name="Currency 3 6 2 2 2 3 2 2" xfId="30401" xr:uid="{00000000-0005-0000-0000-00001B5D0000}"/>
    <cellStyle name="Currency 3 6 2 2 2 3 3" xfId="21628" xr:uid="{00000000-0005-0000-0000-00001C5D0000}"/>
    <cellStyle name="Currency 3 6 2 2 2 4" xfId="9902" xr:uid="{00000000-0005-0000-0000-00001D5D0000}"/>
    <cellStyle name="Currency 3 6 2 2 2 5" xfId="21630" xr:uid="{00000000-0005-0000-0000-00001E5D0000}"/>
    <cellStyle name="Currency 3 6 2 2 3" xfId="6140" xr:uid="{00000000-0005-0000-0000-00001F5D0000}"/>
    <cellStyle name="Currency 3 6 2 2 3 2" xfId="6141" xr:uid="{00000000-0005-0000-0000-0000205D0000}"/>
    <cellStyle name="Currency 3 6 2 2 3 2 2" xfId="13188" xr:uid="{00000000-0005-0000-0000-0000215D0000}"/>
    <cellStyle name="Currency 3 6 2 2 3 2 3" xfId="21626" xr:uid="{00000000-0005-0000-0000-0000225D0000}"/>
    <cellStyle name="Currency 3 6 2 2 3 3" xfId="12382" xr:uid="{00000000-0005-0000-0000-0000235D0000}"/>
    <cellStyle name="Currency 3 6 2 2 3 3 2" xfId="26094" xr:uid="{00000000-0005-0000-0000-0000245D0000}"/>
    <cellStyle name="Currency 3 6 2 2 3 4" xfId="21627" xr:uid="{00000000-0005-0000-0000-0000255D0000}"/>
    <cellStyle name="Currency 3 6 2 2 4" xfId="6142" xr:uid="{00000000-0005-0000-0000-0000265D0000}"/>
    <cellStyle name="Currency 3 6 2 2 4 2" xfId="6143" xr:uid="{00000000-0005-0000-0000-0000275D0000}"/>
    <cellStyle name="Currency 3 6 2 2 4 2 2" xfId="15647" xr:uid="{00000000-0005-0000-0000-0000285D0000}"/>
    <cellStyle name="Currency 3 6 2 2 4 2 3" xfId="21624" xr:uid="{00000000-0005-0000-0000-0000295D0000}"/>
    <cellStyle name="Currency 3 6 2 2 4 3" xfId="13946" xr:uid="{00000000-0005-0000-0000-00002A5D0000}"/>
    <cellStyle name="Currency 3 6 2 2 4 3 2" xfId="27495" xr:uid="{00000000-0005-0000-0000-00002B5D0000}"/>
    <cellStyle name="Currency 3 6 2 2 4 4" xfId="21625" xr:uid="{00000000-0005-0000-0000-00002C5D0000}"/>
    <cellStyle name="Currency 3 6 2 2 5" xfId="6144" xr:uid="{00000000-0005-0000-0000-00002D5D0000}"/>
    <cellStyle name="Currency 3 6 2 2 5 2" xfId="14527" xr:uid="{00000000-0005-0000-0000-00002E5D0000}"/>
    <cellStyle name="Currency 3 6 2 2 5 2 2" xfId="28076" xr:uid="{00000000-0005-0000-0000-00002F5D0000}"/>
    <cellStyle name="Currency 3 6 2 2 5 3" xfId="21623" xr:uid="{00000000-0005-0000-0000-0000305D0000}"/>
    <cellStyle name="Currency 3 6 2 2 6" xfId="6145" xr:uid="{00000000-0005-0000-0000-0000315D0000}"/>
    <cellStyle name="Currency 3 6 2 2 6 2" xfId="16413" xr:uid="{00000000-0005-0000-0000-0000325D0000}"/>
    <cellStyle name="Currency 3 6 2 2 6 2 2" xfId="29820" xr:uid="{00000000-0005-0000-0000-0000335D0000}"/>
    <cellStyle name="Currency 3 6 2 2 6 3" xfId="21622" xr:uid="{00000000-0005-0000-0000-0000345D0000}"/>
    <cellStyle name="Currency 3 6 2 2 7" xfId="9901" xr:uid="{00000000-0005-0000-0000-0000355D0000}"/>
    <cellStyle name="Currency 3 6 2 2 8" xfId="21631" xr:uid="{00000000-0005-0000-0000-0000365D0000}"/>
    <cellStyle name="Currency 3 6 2 3" xfId="6146" xr:uid="{00000000-0005-0000-0000-0000375D0000}"/>
    <cellStyle name="Currency 3 6 2 3 2" xfId="6147" xr:uid="{00000000-0005-0000-0000-0000385D0000}"/>
    <cellStyle name="Currency 3 6 2 3 2 2" xfId="11391" xr:uid="{00000000-0005-0000-0000-0000395D0000}"/>
    <cellStyle name="Currency 3 6 2 3 2 3" xfId="21620" xr:uid="{00000000-0005-0000-0000-00003A5D0000}"/>
    <cellStyle name="Currency 3 6 2 3 3" xfId="6148" xr:uid="{00000000-0005-0000-0000-00003B5D0000}"/>
    <cellStyle name="Currency 3 6 2 3 3 2" xfId="16705" xr:uid="{00000000-0005-0000-0000-00003C5D0000}"/>
    <cellStyle name="Currency 3 6 2 3 3 2 2" xfId="30112" xr:uid="{00000000-0005-0000-0000-00003D5D0000}"/>
    <cellStyle name="Currency 3 6 2 3 3 3" xfId="21619" xr:uid="{00000000-0005-0000-0000-00003E5D0000}"/>
    <cellStyle name="Currency 3 6 2 3 4" xfId="9903" xr:uid="{00000000-0005-0000-0000-00003F5D0000}"/>
    <cellStyle name="Currency 3 6 2 3 5" xfId="21621" xr:uid="{00000000-0005-0000-0000-0000405D0000}"/>
    <cellStyle name="Currency 3 6 2 4" xfId="6149" xr:uid="{00000000-0005-0000-0000-0000415D0000}"/>
    <cellStyle name="Currency 3 6 2 4 2" xfId="6150" xr:uid="{00000000-0005-0000-0000-0000425D0000}"/>
    <cellStyle name="Currency 3 6 2 4 2 2" xfId="13189" xr:uid="{00000000-0005-0000-0000-0000435D0000}"/>
    <cellStyle name="Currency 3 6 2 4 2 3" xfId="21617" xr:uid="{00000000-0005-0000-0000-0000445D0000}"/>
    <cellStyle name="Currency 3 6 2 4 3" xfId="12082" xr:uid="{00000000-0005-0000-0000-0000455D0000}"/>
    <cellStyle name="Currency 3 6 2 4 3 2" xfId="25797" xr:uid="{00000000-0005-0000-0000-0000465D0000}"/>
    <cellStyle name="Currency 3 6 2 4 4" xfId="21618" xr:uid="{00000000-0005-0000-0000-0000475D0000}"/>
    <cellStyle name="Currency 3 6 2 5" xfId="6151" xr:uid="{00000000-0005-0000-0000-0000485D0000}"/>
    <cellStyle name="Currency 3 6 2 5 2" xfId="6152" xr:uid="{00000000-0005-0000-0000-0000495D0000}"/>
    <cellStyle name="Currency 3 6 2 5 2 2" xfId="15648" xr:uid="{00000000-0005-0000-0000-00004A5D0000}"/>
    <cellStyle name="Currency 3 6 2 5 2 3" xfId="21615" xr:uid="{00000000-0005-0000-0000-00004B5D0000}"/>
    <cellStyle name="Currency 3 6 2 5 3" xfId="13657" xr:uid="{00000000-0005-0000-0000-00004C5D0000}"/>
    <cellStyle name="Currency 3 6 2 5 3 2" xfId="27206" xr:uid="{00000000-0005-0000-0000-00004D5D0000}"/>
    <cellStyle name="Currency 3 6 2 5 4" xfId="21616" xr:uid="{00000000-0005-0000-0000-00004E5D0000}"/>
    <cellStyle name="Currency 3 6 2 6" xfId="6153" xr:uid="{00000000-0005-0000-0000-00004F5D0000}"/>
    <cellStyle name="Currency 3 6 2 6 2" xfId="14238" xr:uid="{00000000-0005-0000-0000-0000505D0000}"/>
    <cellStyle name="Currency 3 6 2 6 2 2" xfId="27787" xr:uid="{00000000-0005-0000-0000-0000515D0000}"/>
    <cellStyle name="Currency 3 6 2 6 3" xfId="21614" xr:uid="{00000000-0005-0000-0000-0000525D0000}"/>
    <cellStyle name="Currency 3 6 2 7" xfId="6154" xr:uid="{00000000-0005-0000-0000-0000535D0000}"/>
    <cellStyle name="Currency 3 6 2 7 2" xfId="16124" xr:uid="{00000000-0005-0000-0000-0000545D0000}"/>
    <cellStyle name="Currency 3 6 2 7 2 2" xfId="29531" xr:uid="{00000000-0005-0000-0000-0000555D0000}"/>
    <cellStyle name="Currency 3 6 2 7 3" xfId="21613" xr:uid="{00000000-0005-0000-0000-0000565D0000}"/>
    <cellStyle name="Currency 3 6 2 8" xfId="9900" xr:uid="{00000000-0005-0000-0000-0000575D0000}"/>
    <cellStyle name="Currency 3 6 2 9" xfId="21632" xr:uid="{00000000-0005-0000-0000-0000585D0000}"/>
    <cellStyle name="Currency 3 6 3" xfId="6155" xr:uid="{00000000-0005-0000-0000-0000595D0000}"/>
    <cellStyle name="Currency 3 6 3 2" xfId="6156" xr:uid="{00000000-0005-0000-0000-00005A5D0000}"/>
    <cellStyle name="Currency 3 6 3 2 2" xfId="6157" xr:uid="{00000000-0005-0000-0000-00005B5D0000}"/>
    <cellStyle name="Currency 3 6 3 2 2 2" xfId="11392" xr:uid="{00000000-0005-0000-0000-00005C5D0000}"/>
    <cellStyle name="Currency 3 6 3 2 2 3" xfId="21610" xr:uid="{00000000-0005-0000-0000-00005D5D0000}"/>
    <cellStyle name="Currency 3 6 3 2 3" xfId="6158" xr:uid="{00000000-0005-0000-0000-00005E5D0000}"/>
    <cellStyle name="Currency 3 6 3 2 3 2" xfId="16851" xr:uid="{00000000-0005-0000-0000-00005F5D0000}"/>
    <cellStyle name="Currency 3 6 3 2 3 2 2" xfId="30258" xr:uid="{00000000-0005-0000-0000-0000605D0000}"/>
    <cellStyle name="Currency 3 6 3 2 3 3" xfId="21609" xr:uid="{00000000-0005-0000-0000-0000615D0000}"/>
    <cellStyle name="Currency 3 6 3 2 4" xfId="9905" xr:uid="{00000000-0005-0000-0000-0000625D0000}"/>
    <cellStyle name="Currency 3 6 3 2 5" xfId="21611" xr:uid="{00000000-0005-0000-0000-0000635D0000}"/>
    <cellStyle name="Currency 3 6 3 3" xfId="6159" xr:uid="{00000000-0005-0000-0000-0000645D0000}"/>
    <cellStyle name="Currency 3 6 3 3 2" xfId="6160" xr:uid="{00000000-0005-0000-0000-0000655D0000}"/>
    <cellStyle name="Currency 3 6 3 3 2 2" xfId="13190" xr:uid="{00000000-0005-0000-0000-0000665D0000}"/>
    <cellStyle name="Currency 3 6 3 3 2 3" xfId="21607" xr:uid="{00000000-0005-0000-0000-0000675D0000}"/>
    <cellStyle name="Currency 3 6 3 3 3" xfId="12239" xr:uid="{00000000-0005-0000-0000-0000685D0000}"/>
    <cellStyle name="Currency 3 6 3 3 3 2" xfId="25951" xr:uid="{00000000-0005-0000-0000-0000695D0000}"/>
    <cellStyle name="Currency 3 6 3 3 4" xfId="21608" xr:uid="{00000000-0005-0000-0000-00006A5D0000}"/>
    <cellStyle name="Currency 3 6 3 4" xfId="6161" xr:uid="{00000000-0005-0000-0000-00006B5D0000}"/>
    <cellStyle name="Currency 3 6 3 4 2" xfId="6162" xr:uid="{00000000-0005-0000-0000-00006C5D0000}"/>
    <cellStyle name="Currency 3 6 3 4 2 2" xfId="15649" xr:uid="{00000000-0005-0000-0000-00006D5D0000}"/>
    <cellStyle name="Currency 3 6 3 4 2 3" xfId="21605" xr:uid="{00000000-0005-0000-0000-00006E5D0000}"/>
    <cellStyle name="Currency 3 6 3 4 3" xfId="13803" xr:uid="{00000000-0005-0000-0000-00006F5D0000}"/>
    <cellStyle name="Currency 3 6 3 4 3 2" xfId="27352" xr:uid="{00000000-0005-0000-0000-0000705D0000}"/>
    <cellStyle name="Currency 3 6 3 4 4" xfId="21606" xr:uid="{00000000-0005-0000-0000-0000715D0000}"/>
    <cellStyle name="Currency 3 6 3 5" xfId="6163" xr:uid="{00000000-0005-0000-0000-0000725D0000}"/>
    <cellStyle name="Currency 3 6 3 5 2" xfId="14384" xr:uid="{00000000-0005-0000-0000-0000735D0000}"/>
    <cellStyle name="Currency 3 6 3 5 2 2" xfId="27933" xr:uid="{00000000-0005-0000-0000-0000745D0000}"/>
    <cellStyle name="Currency 3 6 3 5 3" xfId="21604" xr:uid="{00000000-0005-0000-0000-0000755D0000}"/>
    <cellStyle name="Currency 3 6 3 6" xfId="6164" xr:uid="{00000000-0005-0000-0000-0000765D0000}"/>
    <cellStyle name="Currency 3 6 3 6 2" xfId="16270" xr:uid="{00000000-0005-0000-0000-0000775D0000}"/>
    <cellStyle name="Currency 3 6 3 6 2 2" xfId="29677" xr:uid="{00000000-0005-0000-0000-0000785D0000}"/>
    <cellStyle name="Currency 3 6 3 6 3" xfId="21603" xr:uid="{00000000-0005-0000-0000-0000795D0000}"/>
    <cellStyle name="Currency 3 6 3 7" xfId="9904" xr:uid="{00000000-0005-0000-0000-00007A5D0000}"/>
    <cellStyle name="Currency 3 6 3 8" xfId="21612" xr:uid="{00000000-0005-0000-0000-00007B5D0000}"/>
    <cellStyle name="Currency 3 6 4" xfId="6165" xr:uid="{00000000-0005-0000-0000-00007C5D0000}"/>
    <cellStyle name="Currency 3 6 4 2" xfId="6166" xr:uid="{00000000-0005-0000-0000-00007D5D0000}"/>
    <cellStyle name="Currency 3 6 4 2 2" xfId="16562" xr:uid="{00000000-0005-0000-0000-00007E5D0000}"/>
    <cellStyle name="Currency 3 6 4 2 2 2" xfId="29969" xr:uid="{00000000-0005-0000-0000-00007F5D0000}"/>
    <cellStyle name="Currency 3 6 4 2 3" xfId="21601" xr:uid="{00000000-0005-0000-0000-0000805D0000}"/>
    <cellStyle name="Currency 3 6 4 3" xfId="9906" xr:uid="{00000000-0005-0000-0000-0000815D0000}"/>
    <cellStyle name="Currency 3 6 4 4" xfId="21602" xr:uid="{00000000-0005-0000-0000-0000825D0000}"/>
    <cellStyle name="Currency 3 6 5" xfId="6167" xr:uid="{00000000-0005-0000-0000-0000835D0000}"/>
    <cellStyle name="Currency 3 6 5 2" xfId="6168" xr:uid="{00000000-0005-0000-0000-0000845D0000}"/>
    <cellStyle name="Currency 3 6 5 2 2" xfId="11393" xr:uid="{00000000-0005-0000-0000-0000855D0000}"/>
    <cellStyle name="Currency 3 6 5 2 3" xfId="21599" xr:uid="{00000000-0005-0000-0000-0000865D0000}"/>
    <cellStyle name="Currency 3 6 5 3" xfId="9907" xr:uid="{00000000-0005-0000-0000-0000875D0000}"/>
    <cellStyle name="Currency 3 6 5 4" xfId="21600" xr:uid="{00000000-0005-0000-0000-0000885D0000}"/>
    <cellStyle name="Currency 3 6 6" xfId="6169" xr:uid="{00000000-0005-0000-0000-0000895D0000}"/>
    <cellStyle name="Currency 3 6 6 2" xfId="6170" xr:uid="{00000000-0005-0000-0000-00008A5D0000}"/>
    <cellStyle name="Currency 3 6 6 2 2" xfId="13191" xr:uid="{00000000-0005-0000-0000-00008B5D0000}"/>
    <cellStyle name="Currency 3 6 6 2 3" xfId="21597" xr:uid="{00000000-0005-0000-0000-00008C5D0000}"/>
    <cellStyle name="Currency 3 6 6 3" xfId="11937" xr:uid="{00000000-0005-0000-0000-00008D5D0000}"/>
    <cellStyle name="Currency 3 6 6 3 2" xfId="25652" xr:uid="{00000000-0005-0000-0000-00008E5D0000}"/>
    <cellStyle name="Currency 3 6 6 4" xfId="21598" xr:uid="{00000000-0005-0000-0000-00008F5D0000}"/>
    <cellStyle name="Currency 3 6 7" xfId="6171" xr:uid="{00000000-0005-0000-0000-0000905D0000}"/>
    <cellStyle name="Currency 3 6 7 2" xfId="6172" xr:uid="{00000000-0005-0000-0000-0000915D0000}"/>
    <cellStyle name="Currency 3 6 7 2 2" xfId="15650" xr:uid="{00000000-0005-0000-0000-0000925D0000}"/>
    <cellStyle name="Currency 3 6 7 2 3" xfId="21595" xr:uid="{00000000-0005-0000-0000-0000935D0000}"/>
    <cellStyle name="Currency 3 6 7 3" xfId="13514" xr:uid="{00000000-0005-0000-0000-0000945D0000}"/>
    <cellStyle name="Currency 3 6 7 3 2" xfId="27063" xr:uid="{00000000-0005-0000-0000-0000955D0000}"/>
    <cellStyle name="Currency 3 6 7 4" xfId="21596" xr:uid="{00000000-0005-0000-0000-0000965D0000}"/>
    <cellStyle name="Currency 3 6 8" xfId="6173" xr:uid="{00000000-0005-0000-0000-0000975D0000}"/>
    <cellStyle name="Currency 3 6 8 2" xfId="14095" xr:uid="{00000000-0005-0000-0000-0000985D0000}"/>
    <cellStyle name="Currency 3 6 8 2 2" xfId="27644" xr:uid="{00000000-0005-0000-0000-0000995D0000}"/>
    <cellStyle name="Currency 3 6 8 3" xfId="21594" xr:uid="{00000000-0005-0000-0000-00009A5D0000}"/>
    <cellStyle name="Currency 3 6 9" xfId="6174" xr:uid="{00000000-0005-0000-0000-00009B5D0000}"/>
    <cellStyle name="Currency 3 6 9 2" xfId="15981" xr:uid="{00000000-0005-0000-0000-00009C5D0000}"/>
    <cellStyle name="Currency 3 6 9 2 2" xfId="29388" xr:uid="{00000000-0005-0000-0000-00009D5D0000}"/>
    <cellStyle name="Currency 3 6 9 3" xfId="21593" xr:uid="{00000000-0005-0000-0000-00009E5D0000}"/>
    <cellStyle name="Currency 3 7" xfId="6175" xr:uid="{00000000-0005-0000-0000-00009F5D0000}"/>
    <cellStyle name="Currency 3 7 2" xfId="6176" xr:uid="{00000000-0005-0000-0000-0000A05D0000}"/>
    <cellStyle name="Currency 3 7 2 2" xfId="6177" xr:uid="{00000000-0005-0000-0000-0000A15D0000}"/>
    <cellStyle name="Currency 3 7 2 2 2" xfId="6178" xr:uid="{00000000-0005-0000-0000-0000A25D0000}"/>
    <cellStyle name="Currency 3 7 2 2 2 2" xfId="11394" xr:uid="{00000000-0005-0000-0000-0000A35D0000}"/>
    <cellStyle name="Currency 3 7 2 2 2 3" xfId="21589" xr:uid="{00000000-0005-0000-0000-0000A45D0000}"/>
    <cellStyle name="Currency 3 7 2 2 3" xfId="6179" xr:uid="{00000000-0005-0000-0000-0000A55D0000}"/>
    <cellStyle name="Currency 3 7 2 2 3 2" xfId="16871" xr:uid="{00000000-0005-0000-0000-0000A65D0000}"/>
    <cellStyle name="Currency 3 7 2 2 3 2 2" xfId="30278" xr:uid="{00000000-0005-0000-0000-0000A75D0000}"/>
    <cellStyle name="Currency 3 7 2 2 3 3" xfId="21588" xr:uid="{00000000-0005-0000-0000-0000A85D0000}"/>
    <cellStyle name="Currency 3 7 2 2 4" xfId="9910" xr:uid="{00000000-0005-0000-0000-0000A95D0000}"/>
    <cellStyle name="Currency 3 7 2 2 5" xfId="21590" xr:uid="{00000000-0005-0000-0000-0000AA5D0000}"/>
    <cellStyle name="Currency 3 7 2 3" xfId="6180" xr:uid="{00000000-0005-0000-0000-0000AB5D0000}"/>
    <cellStyle name="Currency 3 7 2 3 2" xfId="6181" xr:uid="{00000000-0005-0000-0000-0000AC5D0000}"/>
    <cellStyle name="Currency 3 7 2 3 2 2" xfId="13192" xr:uid="{00000000-0005-0000-0000-0000AD5D0000}"/>
    <cellStyle name="Currency 3 7 2 3 2 3" xfId="21586" xr:uid="{00000000-0005-0000-0000-0000AE5D0000}"/>
    <cellStyle name="Currency 3 7 2 3 3" xfId="12259" xr:uid="{00000000-0005-0000-0000-0000AF5D0000}"/>
    <cellStyle name="Currency 3 7 2 3 3 2" xfId="25971" xr:uid="{00000000-0005-0000-0000-0000B05D0000}"/>
    <cellStyle name="Currency 3 7 2 3 4" xfId="21587" xr:uid="{00000000-0005-0000-0000-0000B15D0000}"/>
    <cellStyle name="Currency 3 7 2 4" xfId="6182" xr:uid="{00000000-0005-0000-0000-0000B25D0000}"/>
    <cellStyle name="Currency 3 7 2 4 2" xfId="6183" xr:uid="{00000000-0005-0000-0000-0000B35D0000}"/>
    <cellStyle name="Currency 3 7 2 4 2 2" xfId="15651" xr:uid="{00000000-0005-0000-0000-0000B45D0000}"/>
    <cellStyle name="Currency 3 7 2 4 2 3" xfId="21584" xr:uid="{00000000-0005-0000-0000-0000B55D0000}"/>
    <cellStyle name="Currency 3 7 2 4 3" xfId="13823" xr:uid="{00000000-0005-0000-0000-0000B65D0000}"/>
    <cellStyle name="Currency 3 7 2 4 3 2" xfId="27372" xr:uid="{00000000-0005-0000-0000-0000B75D0000}"/>
    <cellStyle name="Currency 3 7 2 4 4" xfId="21585" xr:uid="{00000000-0005-0000-0000-0000B85D0000}"/>
    <cellStyle name="Currency 3 7 2 5" xfId="6184" xr:uid="{00000000-0005-0000-0000-0000B95D0000}"/>
    <cellStyle name="Currency 3 7 2 5 2" xfId="14404" xr:uid="{00000000-0005-0000-0000-0000BA5D0000}"/>
    <cellStyle name="Currency 3 7 2 5 2 2" xfId="27953" xr:uid="{00000000-0005-0000-0000-0000BB5D0000}"/>
    <cellStyle name="Currency 3 7 2 5 3" xfId="21583" xr:uid="{00000000-0005-0000-0000-0000BC5D0000}"/>
    <cellStyle name="Currency 3 7 2 6" xfId="6185" xr:uid="{00000000-0005-0000-0000-0000BD5D0000}"/>
    <cellStyle name="Currency 3 7 2 6 2" xfId="16290" xr:uid="{00000000-0005-0000-0000-0000BE5D0000}"/>
    <cellStyle name="Currency 3 7 2 6 2 2" xfId="29697" xr:uid="{00000000-0005-0000-0000-0000BF5D0000}"/>
    <cellStyle name="Currency 3 7 2 6 3" xfId="21582" xr:uid="{00000000-0005-0000-0000-0000C05D0000}"/>
    <cellStyle name="Currency 3 7 2 7" xfId="9909" xr:uid="{00000000-0005-0000-0000-0000C15D0000}"/>
    <cellStyle name="Currency 3 7 2 8" xfId="21591" xr:uid="{00000000-0005-0000-0000-0000C25D0000}"/>
    <cellStyle name="Currency 3 7 3" xfId="6186" xr:uid="{00000000-0005-0000-0000-0000C35D0000}"/>
    <cellStyle name="Currency 3 7 3 2" xfId="6187" xr:uid="{00000000-0005-0000-0000-0000C45D0000}"/>
    <cellStyle name="Currency 3 7 3 2 2" xfId="11395" xr:uid="{00000000-0005-0000-0000-0000C55D0000}"/>
    <cellStyle name="Currency 3 7 3 2 3" xfId="21580" xr:uid="{00000000-0005-0000-0000-0000C65D0000}"/>
    <cellStyle name="Currency 3 7 3 3" xfId="6188" xr:uid="{00000000-0005-0000-0000-0000C75D0000}"/>
    <cellStyle name="Currency 3 7 3 3 2" xfId="16582" xr:uid="{00000000-0005-0000-0000-0000C85D0000}"/>
    <cellStyle name="Currency 3 7 3 3 2 2" xfId="29989" xr:uid="{00000000-0005-0000-0000-0000C95D0000}"/>
    <cellStyle name="Currency 3 7 3 3 3" xfId="21579" xr:uid="{00000000-0005-0000-0000-0000CA5D0000}"/>
    <cellStyle name="Currency 3 7 3 4" xfId="9911" xr:uid="{00000000-0005-0000-0000-0000CB5D0000}"/>
    <cellStyle name="Currency 3 7 3 5" xfId="21581" xr:uid="{00000000-0005-0000-0000-0000CC5D0000}"/>
    <cellStyle name="Currency 3 7 4" xfId="6189" xr:uid="{00000000-0005-0000-0000-0000CD5D0000}"/>
    <cellStyle name="Currency 3 7 4 2" xfId="6190" xr:uid="{00000000-0005-0000-0000-0000CE5D0000}"/>
    <cellStyle name="Currency 3 7 4 2 2" xfId="13193" xr:uid="{00000000-0005-0000-0000-0000CF5D0000}"/>
    <cellStyle name="Currency 3 7 4 2 3" xfId="21577" xr:uid="{00000000-0005-0000-0000-0000D05D0000}"/>
    <cellStyle name="Currency 3 7 4 3" xfId="11958" xr:uid="{00000000-0005-0000-0000-0000D15D0000}"/>
    <cellStyle name="Currency 3 7 4 3 2" xfId="25673" xr:uid="{00000000-0005-0000-0000-0000D25D0000}"/>
    <cellStyle name="Currency 3 7 4 4" xfId="21578" xr:uid="{00000000-0005-0000-0000-0000D35D0000}"/>
    <cellStyle name="Currency 3 7 5" xfId="6191" xr:uid="{00000000-0005-0000-0000-0000D45D0000}"/>
    <cellStyle name="Currency 3 7 5 2" xfId="6192" xr:uid="{00000000-0005-0000-0000-0000D55D0000}"/>
    <cellStyle name="Currency 3 7 5 2 2" xfId="15652" xr:uid="{00000000-0005-0000-0000-0000D65D0000}"/>
    <cellStyle name="Currency 3 7 5 2 3" xfId="21575" xr:uid="{00000000-0005-0000-0000-0000D75D0000}"/>
    <cellStyle name="Currency 3 7 5 3" xfId="13534" xr:uid="{00000000-0005-0000-0000-0000D85D0000}"/>
    <cellStyle name="Currency 3 7 5 3 2" xfId="27083" xr:uid="{00000000-0005-0000-0000-0000D95D0000}"/>
    <cellStyle name="Currency 3 7 5 4" xfId="21576" xr:uid="{00000000-0005-0000-0000-0000DA5D0000}"/>
    <cellStyle name="Currency 3 7 6" xfId="6193" xr:uid="{00000000-0005-0000-0000-0000DB5D0000}"/>
    <cellStyle name="Currency 3 7 6 2" xfId="14115" xr:uid="{00000000-0005-0000-0000-0000DC5D0000}"/>
    <cellStyle name="Currency 3 7 6 2 2" xfId="27664" xr:uid="{00000000-0005-0000-0000-0000DD5D0000}"/>
    <cellStyle name="Currency 3 7 6 3" xfId="21574" xr:uid="{00000000-0005-0000-0000-0000DE5D0000}"/>
    <cellStyle name="Currency 3 7 7" xfId="6194" xr:uid="{00000000-0005-0000-0000-0000DF5D0000}"/>
    <cellStyle name="Currency 3 7 7 2" xfId="16001" xr:uid="{00000000-0005-0000-0000-0000E05D0000}"/>
    <cellStyle name="Currency 3 7 7 2 2" xfId="29408" xr:uid="{00000000-0005-0000-0000-0000E15D0000}"/>
    <cellStyle name="Currency 3 7 7 3" xfId="21573" xr:uid="{00000000-0005-0000-0000-0000E25D0000}"/>
    <cellStyle name="Currency 3 7 8" xfId="9908" xr:uid="{00000000-0005-0000-0000-0000E35D0000}"/>
    <cellStyle name="Currency 3 7 9" xfId="21592" xr:uid="{00000000-0005-0000-0000-0000E45D0000}"/>
    <cellStyle name="Currency 3 8" xfId="6195" xr:uid="{00000000-0005-0000-0000-0000E55D0000}"/>
    <cellStyle name="Currency 3 8 2" xfId="6196" xr:uid="{00000000-0005-0000-0000-0000E65D0000}"/>
    <cellStyle name="Currency 3 8 2 2" xfId="6197" xr:uid="{00000000-0005-0000-0000-0000E75D0000}"/>
    <cellStyle name="Currency 3 8 2 2 2" xfId="11396" xr:uid="{00000000-0005-0000-0000-0000E85D0000}"/>
    <cellStyle name="Currency 3 8 2 2 3" xfId="21570" xr:uid="{00000000-0005-0000-0000-0000E95D0000}"/>
    <cellStyle name="Currency 3 8 2 3" xfId="6198" xr:uid="{00000000-0005-0000-0000-0000EA5D0000}"/>
    <cellStyle name="Currency 3 8 2 3 2" xfId="16727" xr:uid="{00000000-0005-0000-0000-0000EB5D0000}"/>
    <cellStyle name="Currency 3 8 2 3 2 2" xfId="30134" xr:uid="{00000000-0005-0000-0000-0000EC5D0000}"/>
    <cellStyle name="Currency 3 8 2 3 3" xfId="21569" xr:uid="{00000000-0005-0000-0000-0000ED5D0000}"/>
    <cellStyle name="Currency 3 8 2 4" xfId="9913" xr:uid="{00000000-0005-0000-0000-0000EE5D0000}"/>
    <cellStyle name="Currency 3 8 2 5" xfId="21571" xr:uid="{00000000-0005-0000-0000-0000EF5D0000}"/>
    <cellStyle name="Currency 3 8 3" xfId="6199" xr:uid="{00000000-0005-0000-0000-0000F05D0000}"/>
    <cellStyle name="Currency 3 8 3 2" xfId="6200" xr:uid="{00000000-0005-0000-0000-0000F15D0000}"/>
    <cellStyle name="Currency 3 8 3 2 2" xfId="13194" xr:uid="{00000000-0005-0000-0000-0000F25D0000}"/>
    <cellStyle name="Currency 3 8 3 2 3" xfId="21567" xr:uid="{00000000-0005-0000-0000-0000F35D0000}"/>
    <cellStyle name="Currency 3 8 3 3" xfId="12110" xr:uid="{00000000-0005-0000-0000-0000F45D0000}"/>
    <cellStyle name="Currency 3 8 3 3 2" xfId="25822" xr:uid="{00000000-0005-0000-0000-0000F55D0000}"/>
    <cellStyle name="Currency 3 8 3 4" xfId="21568" xr:uid="{00000000-0005-0000-0000-0000F65D0000}"/>
    <cellStyle name="Currency 3 8 4" xfId="6201" xr:uid="{00000000-0005-0000-0000-0000F75D0000}"/>
    <cellStyle name="Currency 3 8 4 2" xfId="6202" xr:uid="{00000000-0005-0000-0000-0000F85D0000}"/>
    <cellStyle name="Currency 3 8 4 2 2" xfId="15653" xr:uid="{00000000-0005-0000-0000-0000F95D0000}"/>
    <cellStyle name="Currency 3 8 4 2 3" xfId="21565" xr:uid="{00000000-0005-0000-0000-0000FA5D0000}"/>
    <cellStyle name="Currency 3 8 4 3" xfId="13679" xr:uid="{00000000-0005-0000-0000-0000FB5D0000}"/>
    <cellStyle name="Currency 3 8 4 3 2" xfId="27228" xr:uid="{00000000-0005-0000-0000-0000FC5D0000}"/>
    <cellStyle name="Currency 3 8 4 4" xfId="21566" xr:uid="{00000000-0005-0000-0000-0000FD5D0000}"/>
    <cellStyle name="Currency 3 8 5" xfId="6203" xr:uid="{00000000-0005-0000-0000-0000FE5D0000}"/>
    <cellStyle name="Currency 3 8 5 2" xfId="14260" xr:uid="{00000000-0005-0000-0000-0000FF5D0000}"/>
    <cellStyle name="Currency 3 8 5 2 2" xfId="27809" xr:uid="{00000000-0005-0000-0000-0000005E0000}"/>
    <cellStyle name="Currency 3 8 5 3" xfId="21564" xr:uid="{00000000-0005-0000-0000-0000015E0000}"/>
    <cellStyle name="Currency 3 8 6" xfId="6204" xr:uid="{00000000-0005-0000-0000-0000025E0000}"/>
    <cellStyle name="Currency 3 8 6 2" xfId="16146" xr:uid="{00000000-0005-0000-0000-0000035E0000}"/>
    <cellStyle name="Currency 3 8 6 2 2" xfId="29553" xr:uid="{00000000-0005-0000-0000-0000045E0000}"/>
    <cellStyle name="Currency 3 8 6 3" xfId="21563" xr:uid="{00000000-0005-0000-0000-0000055E0000}"/>
    <cellStyle name="Currency 3 8 7" xfId="9912" xr:uid="{00000000-0005-0000-0000-0000065E0000}"/>
    <cellStyle name="Currency 3 8 8" xfId="21572" xr:uid="{00000000-0005-0000-0000-0000075E0000}"/>
    <cellStyle name="Currency 3 9" xfId="6205" xr:uid="{00000000-0005-0000-0000-0000085E0000}"/>
    <cellStyle name="Currency 3 9 2" xfId="6206" xr:uid="{00000000-0005-0000-0000-0000095E0000}"/>
    <cellStyle name="Currency 3 9 2 2" xfId="6207" xr:uid="{00000000-0005-0000-0000-00000A5E0000}"/>
    <cellStyle name="Currency 3 9 2 2 2" xfId="11397" xr:uid="{00000000-0005-0000-0000-00000B5E0000}"/>
    <cellStyle name="Currency 3 9 2 2 3" xfId="21560" xr:uid="{00000000-0005-0000-0000-00000C5E0000}"/>
    <cellStyle name="Currency 3 9 2 3" xfId="6208" xr:uid="{00000000-0005-0000-0000-00000D5E0000}"/>
    <cellStyle name="Currency 3 9 2 3 2" xfId="16735" xr:uid="{00000000-0005-0000-0000-00000E5E0000}"/>
    <cellStyle name="Currency 3 9 2 3 2 2" xfId="30142" xr:uid="{00000000-0005-0000-0000-00000F5E0000}"/>
    <cellStyle name="Currency 3 9 2 3 3" xfId="21559" xr:uid="{00000000-0005-0000-0000-0000105E0000}"/>
    <cellStyle name="Currency 3 9 2 4" xfId="9915" xr:uid="{00000000-0005-0000-0000-0000115E0000}"/>
    <cellStyle name="Currency 3 9 2 5" xfId="21561" xr:uid="{00000000-0005-0000-0000-0000125E0000}"/>
    <cellStyle name="Currency 3 9 3" xfId="6209" xr:uid="{00000000-0005-0000-0000-0000135E0000}"/>
    <cellStyle name="Currency 3 9 3 2" xfId="6210" xr:uid="{00000000-0005-0000-0000-0000145E0000}"/>
    <cellStyle name="Currency 3 9 3 2 2" xfId="13195" xr:uid="{00000000-0005-0000-0000-0000155E0000}"/>
    <cellStyle name="Currency 3 9 3 2 3" xfId="21557" xr:uid="{00000000-0005-0000-0000-0000165E0000}"/>
    <cellStyle name="Currency 3 9 3 3" xfId="12123" xr:uid="{00000000-0005-0000-0000-0000175E0000}"/>
    <cellStyle name="Currency 3 9 3 3 2" xfId="25835" xr:uid="{00000000-0005-0000-0000-0000185E0000}"/>
    <cellStyle name="Currency 3 9 3 4" xfId="21558" xr:uid="{00000000-0005-0000-0000-0000195E0000}"/>
    <cellStyle name="Currency 3 9 4" xfId="6211" xr:uid="{00000000-0005-0000-0000-00001A5E0000}"/>
    <cellStyle name="Currency 3 9 4 2" xfId="6212" xr:uid="{00000000-0005-0000-0000-00001B5E0000}"/>
    <cellStyle name="Currency 3 9 4 2 2" xfId="15654" xr:uid="{00000000-0005-0000-0000-00001C5E0000}"/>
    <cellStyle name="Currency 3 9 4 2 3" xfId="21555" xr:uid="{00000000-0005-0000-0000-00001D5E0000}"/>
    <cellStyle name="Currency 3 9 4 3" xfId="13687" xr:uid="{00000000-0005-0000-0000-00001E5E0000}"/>
    <cellStyle name="Currency 3 9 4 3 2" xfId="27236" xr:uid="{00000000-0005-0000-0000-00001F5E0000}"/>
    <cellStyle name="Currency 3 9 4 4" xfId="21556" xr:uid="{00000000-0005-0000-0000-0000205E0000}"/>
    <cellStyle name="Currency 3 9 5" xfId="6213" xr:uid="{00000000-0005-0000-0000-0000215E0000}"/>
    <cellStyle name="Currency 3 9 5 2" xfId="14268" xr:uid="{00000000-0005-0000-0000-0000225E0000}"/>
    <cellStyle name="Currency 3 9 5 2 2" xfId="27817" xr:uid="{00000000-0005-0000-0000-0000235E0000}"/>
    <cellStyle name="Currency 3 9 5 3" xfId="21554" xr:uid="{00000000-0005-0000-0000-0000245E0000}"/>
    <cellStyle name="Currency 3 9 6" xfId="6214" xr:uid="{00000000-0005-0000-0000-0000255E0000}"/>
    <cellStyle name="Currency 3 9 6 2" xfId="16154" xr:uid="{00000000-0005-0000-0000-0000265E0000}"/>
    <cellStyle name="Currency 3 9 6 2 2" xfId="29561" xr:uid="{00000000-0005-0000-0000-0000275E0000}"/>
    <cellStyle name="Currency 3 9 6 3" xfId="21553" xr:uid="{00000000-0005-0000-0000-0000285E0000}"/>
    <cellStyle name="Currency 3 9 7" xfId="9914" xr:uid="{00000000-0005-0000-0000-0000295E0000}"/>
    <cellStyle name="Currency 3 9 8" xfId="21562" xr:uid="{00000000-0005-0000-0000-00002A5E0000}"/>
    <cellStyle name="Currency 4" xfId="6215" xr:uid="{00000000-0005-0000-0000-00002B5E0000}"/>
    <cellStyle name="Currency 4 2" xfId="6216" xr:uid="{00000000-0005-0000-0000-00002C5E0000}"/>
    <cellStyle name="Currency 4 2 2" xfId="6217" xr:uid="{00000000-0005-0000-0000-00002D5E0000}"/>
    <cellStyle name="Currency 4 2 2 2" xfId="9918" xr:uid="{00000000-0005-0000-0000-00002E5E0000}"/>
    <cellStyle name="Currency 4 2 2 3" xfId="21550" xr:uid="{00000000-0005-0000-0000-00002F5E0000}"/>
    <cellStyle name="Currency 4 2 3" xfId="6218" xr:uid="{00000000-0005-0000-0000-0000305E0000}"/>
    <cellStyle name="Currency 4 2 3 2" xfId="13196" xr:uid="{00000000-0005-0000-0000-0000315E0000}"/>
    <cellStyle name="Currency 4 2 3 3" xfId="21549" xr:uid="{00000000-0005-0000-0000-0000325E0000}"/>
    <cellStyle name="Currency 4 2 4" xfId="6219" xr:uid="{00000000-0005-0000-0000-0000335E0000}"/>
    <cellStyle name="Currency 4 2 4 2" xfId="17030" xr:uid="{00000000-0005-0000-0000-0000345E0000}"/>
    <cellStyle name="Currency 4 2 4 2 2" xfId="30436" xr:uid="{00000000-0005-0000-0000-0000355E0000}"/>
    <cellStyle name="Currency 4 2 4 3" xfId="21548" xr:uid="{00000000-0005-0000-0000-0000365E0000}"/>
    <cellStyle name="Currency 4 2 5" xfId="9917" xr:uid="{00000000-0005-0000-0000-0000375E0000}"/>
    <cellStyle name="Currency 4 2 6" xfId="21551" xr:uid="{00000000-0005-0000-0000-0000385E0000}"/>
    <cellStyle name="Currency 4 3" xfId="6220" xr:uid="{00000000-0005-0000-0000-0000395E0000}"/>
    <cellStyle name="Currency 4 3 2" xfId="9919" xr:uid="{00000000-0005-0000-0000-00003A5E0000}"/>
    <cellStyle name="Currency 4 3 3" xfId="21547" xr:uid="{00000000-0005-0000-0000-00003B5E0000}"/>
    <cellStyle name="Currency 4 4" xfId="6221" xr:uid="{00000000-0005-0000-0000-00003C5E0000}"/>
    <cellStyle name="Currency 4 4 2" xfId="9920" xr:uid="{00000000-0005-0000-0000-00003D5E0000}"/>
    <cellStyle name="Currency 4 4 3" xfId="21546" xr:uid="{00000000-0005-0000-0000-00003E5E0000}"/>
    <cellStyle name="Currency 4 5" xfId="6222" xr:uid="{00000000-0005-0000-0000-00003F5E0000}"/>
    <cellStyle name="Currency 4 5 2" xfId="13197" xr:uid="{00000000-0005-0000-0000-0000405E0000}"/>
    <cellStyle name="Currency 4 5 3" xfId="21545" xr:uid="{00000000-0005-0000-0000-0000415E0000}"/>
    <cellStyle name="Currency 4 6" xfId="6223" xr:uid="{00000000-0005-0000-0000-0000425E0000}"/>
    <cellStyle name="Currency 4 6 2" xfId="9916" xr:uid="{00000000-0005-0000-0000-0000435E0000}"/>
    <cellStyle name="Currency 4 6 3" xfId="21544" xr:uid="{00000000-0005-0000-0000-0000445E0000}"/>
    <cellStyle name="Currency 4 7" xfId="8678" xr:uid="{00000000-0005-0000-0000-0000455E0000}"/>
    <cellStyle name="Currency 4 8" xfId="21552" xr:uid="{00000000-0005-0000-0000-0000465E0000}"/>
    <cellStyle name="Currency 4 9" xfId="33089" xr:uid="{00000000-0005-0000-0000-0000475E0000}"/>
    <cellStyle name="Currency 5" xfId="6224" xr:uid="{00000000-0005-0000-0000-0000485E0000}"/>
    <cellStyle name="Currency 5 10" xfId="6225" xr:uid="{00000000-0005-0000-0000-0000495E0000}"/>
    <cellStyle name="Currency 5 10 2" xfId="15900" xr:uid="{00000000-0005-0000-0000-00004A5E0000}"/>
    <cellStyle name="Currency 5 10 2 2" xfId="29307" xr:uid="{00000000-0005-0000-0000-00004B5E0000}"/>
    <cellStyle name="Currency 5 10 3" xfId="21542" xr:uid="{00000000-0005-0000-0000-00004C5E0000}"/>
    <cellStyle name="Currency 5 11" xfId="6226" xr:uid="{00000000-0005-0000-0000-00004D5E0000}"/>
    <cellStyle name="Currency 5 11 2" xfId="17335" xr:uid="{00000000-0005-0000-0000-00004E5E0000}"/>
    <cellStyle name="Currency 5 11 3" xfId="21541" xr:uid="{00000000-0005-0000-0000-00004F5E0000}"/>
    <cellStyle name="Currency 5 12" xfId="8736" xr:uid="{00000000-0005-0000-0000-0000505E0000}"/>
    <cellStyle name="Currency 5 13" xfId="9921" xr:uid="{00000000-0005-0000-0000-0000515E0000}"/>
    <cellStyle name="Currency 5 14" xfId="21543" xr:uid="{00000000-0005-0000-0000-0000525E0000}"/>
    <cellStyle name="Currency 5 15" xfId="33095" xr:uid="{00000000-0005-0000-0000-0000535E0000}"/>
    <cellStyle name="Currency 5 2" xfId="6227" xr:uid="{00000000-0005-0000-0000-0000545E0000}"/>
    <cellStyle name="Currency 5 2 10" xfId="21540" xr:uid="{00000000-0005-0000-0000-0000555E0000}"/>
    <cellStyle name="Currency 5 2 2" xfId="6228" xr:uid="{00000000-0005-0000-0000-0000565E0000}"/>
    <cellStyle name="Currency 5 2 2 2" xfId="6229" xr:uid="{00000000-0005-0000-0000-0000575E0000}"/>
    <cellStyle name="Currency 5 2 2 2 2" xfId="6230" xr:uid="{00000000-0005-0000-0000-0000585E0000}"/>
    <cellStyle name="Currency 5 2 2 2 2 2" xfId="6231" xr:uid="{00000000-0005-0000-0000-0000595E0000}"/>
    <cellStyle name="Currency 5 2 2 2 2 2 2" xfId="11398" xr:uid="{00000000-0005-0000-0000-00005A5E0000}"/>
    <cellStyle name="Currency 5 2 2 2 2 2 3" xfId="21536" xr:uid="{00000000-0005-0000-0000-00005B5E0000}"/>
    <cellStyle name="Currency 5 2 2 2 2 3" xfId="6232" xr:uid="{00000000-0005-0000-0000-00005C5E0000}"/>
    <cellStyle name="Currency 5 2 2 2 2 3 2" xfId="16959" xr:uid="{00000000-0005-0000-0000-00005D5E0000}"/>
    <cellStyle name="Currency 5 2 2 2 2 3 2 2" xfId="30366" xr:uid="{00000000-0005-0000-0000-00005E5E0000}"/>
    <cellStyle name="Currency 5 2 2 2 2 3 3" xfId="21535" xr:uid="{00000000-0005-0000-0000-00005F5E0000}"/>
    <cellStyle name="Currency 5 2 2 2 2 4" xfId="9925" xr:uid="{00000000-0005-0000-0000-0000605E0000}"/>
    <cellStyle name="Currency 5 2 2 2 2 5" xfId="21537" xr:uid="{00000000-0005-0000-0000-0000615E0000}"/>
    <cellStyle name="Currency 5 2 2 2 3" xfId="6233" xr:uid="{00000000-0005-0000-0000-0000625E0000}"/>
    <cellStyle name="Currency 5 2 2 2 3 2" xfId="6234" xr:uid="{00000000-0005-0000-0000-0000635E0000}"/>
    <cellStyle name="Currency 5 2 2 2 3 2 2" xfId="13198" xr:uid="{00000000-0005-0000-0000-0000645E0000}"/>
    <cellStyle name="Currency 5 2 2 2 3 2 3" xfId="21533" xr:uid="{00000000-0005-0000-0000-0000655E0000}"/>
    <cellStyle name="Currency 5 2 2 2 3 3" xfId="12347" xr:uid="{00000000-0005-0000-0000-0000665E0000}"/>
    <cellStyle name="Currency 5 2 2 2 3 3 2" xfId="26059" xr:uid="{00000000-0005-0000-0000-0000675E0000}"/>
    <cellStyle name="Currency 5 2 2 2 3 4" xfId="21534" xr:uid="{00000000-0005-0000-0000-0000685E0000}"/>
    <cellStyle name="Currency 5 2 2 2 4" xfId="6235" xr:uid="{00000000-0005-0000-0000-0000695E0000}"/>
    <cellStyle name="Currency 5 2 2 2 4 2" xfId="6236" xr:uid="{00000000-0005-0000-0000-00006A5E0000}"/>
    <cellStyle name="Currency 5 2 2 2 4 2 2" xfId="15655" xr:uid="{00000000-0005-0000-0000-00006B5E0000}"/>
    <cellStyle name="Currency 5 2 2 2 4 2 3" xfId="21531" xr:uid="{00000000-0005-0000-0000-00006C5E0000}"/>
    <cellStyle name="Currency 5 2 2 2 4 3" xfId="13911" xr:uid="{00000000-0005-0000-0000-00006D5E0000}"/>
    <cellStyle name="Currency 5 2 2 2 4 3 2" xfId="27460" xr:uid="{00000000-0005-0000-0000-00006E5E0000}"/>
    <cellStyle name="Currency 5 2 2 2 4 4" xfId="21532" xr:uid="{00000000-0005-0000-0000-00006F5E0000}"/>
    <cellStyle name="Currency 5 2 2 2 5" xfId="6237" xr:uid="{00000000-0005-0000-0000-0000705E0000}"/>
    <cellStyle name="Currency 5 2 2 2 5 2" xfId="14492" xr:uid="{00000000-0005-0000-0000-0000715E0000}"/>
    <cellStyle name="Currency 5 2 2 2 5 2 2" xfId="28041" xr:uid="{00000000-0005-0000-0000-0000725E0000}"/>
    <cellStyle name="Currency 5 2 2 2 5 3" xfId="21530" xr:uid="{00000000-0005-0000-0000-0000735E0000}"/>
    <cellStyle name="Currency 5 2 2 2 6" xfId="6238" xr:uid="{00000000-0005-0000-0000-0000745E0000}"/>
    <cellStyle name="Currency 5 2 2 2 6 2" xfId="16378" xr:uid="{00000000-0005-0000-0000-0000755E0000}"/>
    <cellStyle name="Currency 5 2 2 2 6 2 2" xfId="29785" xr:uid="{00000000-0005-0000-0000-0000765E0000}"/>
    <cellStyle name="Currency 5 2 2 2 6 3" xfId="21529" xr:uid="{00000000-0005-0000-0000-0000775E0000}"/>
    <cellStyle name="Currency 5 2 2 2 7" xfId="9924" xr:uid="{00000000-0005-0000-0000-0000785E0000}"/>
    <cellStyle name="Currency 5 2 2 2 8" xfId="21538" xr:uid="{00000000-0005-0000-0000-0000795E0000}"/>
    <cellStyle name="Currency 5 2 2 3" xfId="6239" xr:uid="{00000000-0005-0000-0000-00007A5E0000}"/>
    <cellStyle name="Currency 5 2 2 3 2" xfId="6240" xr:uid="{00000000-0005-0000-0000-00007B5E0000}"/>
    <cellStyle name="Currency 5 2 2 3 2 2" xfId="11399" xr:uid="{00000000-0005-0000-0000-00007C5E0000}"/>
    <cellStyle name="Currency 5 2 2 3 2 3" xfId="21527" xr:uid="{00000000-0005-0000-0000-00007D5E0000}"/>
    <cellStyle name="Currency 5 2 2 3 3" xfId="6241" xr:uid="{00000000-0005-0000-0000-00007E5E0000}"/>
    <cellStyle name="Currency 5 2 2 3 3 2" xfId="16670" xr:uid="{00000000-0005-0000-0000-00007F5E0000}"/>
    <cellStyle name="Currency 5 2 2 3 3 2 2" xfId="30077" xr:uid="{00000000-0005-0000-0000-0000805E0000}"/>
    <cellStyle name="Currency 5 2 2 3 3 3" xfId="21526" xr:uid="{00000000-0005-0000-0000-0000815E0000}"/>
    <cellStyle name="Currency 5 2 2 3 4" xfId="9926" xr:uid="{00000000-0005-0000-0000-0000825E0000}"/>
    <cellStyle name="Currency 5 2 2 3 5" xfId="21528" xr:uid="{00000000-0005-0000-0000-0000835E0000}"/>
    <cellStyle name="Currency 5 2 2 4" xfId="6242" xr:uid="{00000000-0005-0000-0000-0000845E0000}"/>
    <cellStyle name="Currency 5 2 2 4 2" xfId="6243" xr:uid="{00000000-0005-0000-0000-0000855E0000}"/>
    <cellStyle name="Currency 5 2 2 4 2 2" xfId="13199" xr:uid="{00000000-0005-0000-0000-0000865E0000}"/>
    <cellStyle name="Currency 5 2 2 4 2 3" xfId="21524" xr:uid="{00000000-0005-0000-0000-0000875E0000}"/>
    <cellStyle name="Currency 5 2 2 4 3" xfId="12047" xr:uid="{00000000-0005-0000-0000-0000885E0000}"/>
    <cellStyle name="Currency 5 2 2 4 3 2" xfId="25762" xr:uid="{00000000-0005-0000-0000-0000895E0000}"/>
    <cellStyle name="Currency 5 2 2 4 4" xfId="21525" xr:uid="{00000000-0005-0000-0000-00008A5E0000}"/>
    <cellStyle name="Currency 5 2 2 5" xfId="6244" xr:uid="{00000000-0005-0000-0000-00008B5E0000}"/>
    <cellStyle name="Currency 5 2 2 5 2" xfId="6245" xr:uid="{00000000-0005-0000-0000-00008C5E0000}"/>
    <cellStyle name="Currency 5 2 2 5 2 2" xfId="15656" xr:uid="{00000000-0005-0000-0000-00008D5E0000}"/>
    <cellStyle name="Currency 5 2 2 5 2 3" xfId="21522" xr:uid="{00000000-0005-0000-0000-00008E5E0000}"/>
    <cellStyle name="Currency 5 2 2 5 3" xfId="13622" xr:uid="{00000000-0005-0000-0000-00008F5E0000}"/>
    <cellStyle name="Currency 5 2 2 5 3 2" xfId="27171" xr:uid="{00000000-0005-0000-0000-0000905E0000}"/>
    <cellStyle name="Currency 5 2 2 5 4" xfId="21523" xr:uid="{00000000-0005-0000-0000-0000915E0000}"/>
    <cellStyle name="Currency 5 2 2 6" xfId="6246" xr:uid="{00000000-0005-0000-0000-0000925E0000}"/>
    <cellStyle name="Currency 5 2 2 6 2" xfId="14203" xr:uid="{00000000-0005-0000-0000-0000935E0000}"/>
    <cellStyle name="Currency 5 2 2 6 2 2" xfId="27752" xr:uid="{00000000-0005-0000-0000-0000945E0000}"/>
    <cellStyle name="Currency 5 2 2 6 3" xfId="21521" xr:uid="{00000000-0005-0000-0000-0000955E0000}"/>
    <cellStyle name="Currency 5 2 2 7" xfId="6247" xr:uid="{00000000-0005-0000-0000-0000965E0000}"/>
    <cellStyle name="Currency 5 2 2 7 2" xfId="16089" xr:uid="{00000000-0005-0000-0000-0000975E0000}"/>
    <cellStyle name="Currency 5 2 2 7 2 2" xfId="29496" xr:uid="{00000000-0005-0000-0000-0000985E0000}"/>
    <cellStyle name="Currency 5 2 2 7 3" xfId="21520" xr:uid="{00000000-0005-0000-0000-0000995E0000}"/>
    <cellStyle name="Currency 5 2 2 8" xfId="9923" xr:uid="{00000000-0005-0000-0000-00009A5E0000}"/>
    <cellStyle name="Currency 5 2 2 9" xfId="21539" xr:uid="{00000000-0005-0000-0000-00009B5E0000}"/>
    <cellStyle name="Currency 5 2 3" xfId="6248" xr:uid="{00000000-0005-0000-0000-00009C5E0000}"/>
    <cellStyle name="Currency 5 2 3 2" xfId="6249" xr:uid="{00000000-0005-0000-0000-00009D5E0000}"/>
    <cellStyle name="Currency 5 2 3 2 2" xfId="6250" xr:uid="{00000000-0005-0000-0000-00009E5E0000}"/>
    <cellStyle name="Currency 5 2 3 2 2 2" xfId="11400" xr:uid="{00000000-0005-0000-0000-00009F5E0000}"/>
    <cellStyle name="Currency 5 2 3 2 2 3" xfId="21517" xr:uid="{00000000-0005-0000-0000-0000A05E0000}"/>
    <cellStyle name="Currency 5 2 3 2 3" xfId="6251" xr:uid="{00000000-0005-0000-0000-0000A15E0000}"/>
    <cellStyle name="Currency 5 2 3 2 3 2" xfId="16816" xr:uid="{00000000-0005-0000-0000-0000A25E0000}"/>
    <cellStyle name="Currency 5 2 3 2 3 2 2" xfId="30223" xr:uid="{00000000-0005-0000-0000-0000A35E0000}"/>
    <cellStyle name="Currency 5 2 3 2 3 3" xfId="21516" xr:uid="{00000000-0005-0000-0000-0000A45E0000}"/>
    <cellStyle name="Currency 5 2 3 2 4" xfId="9928" xr:uid="{00000000-0005-0000-0000-0000A55E0000}"/>
    <cellStyle name="Currency 5 2 3 2 5" xfId="21518" xr:uid="{00000000-0005-0000-0000-0000A65E0000}"/>
    <cellStyle name="Currency 5 2 3 3" xfId="6252" xr:uid="{00000000-0005-0000-0000-0000A75E0000}"/>
    <cellStyle name="Currency 5 2 3 3 2" xfId="6253" xr:uid="{00000000-0005-0000-0000-0000A85E0000}"/>
    <cellStyle name="Currency 5 2 3 3 2 2" xfId="13200" xr:uid="{00000000-0005-0000-0000-0000A95E0000}"/>
    <cellStyle name="Currency 5 2 3 3 2 3" xfId="21514" xr:uid="{00000000-0005-0000-0000-0000AA5E0000}"/>
    <cellStyle name="Currency 5 2 3 3 3" xfId="12204" xr:uid="{00000000-0005-0000-0000-0000AB5E0000}"/>
    <cellStyle name="Currency 5 2 3 3 3 2" xfId="25916" xr:uid="{00000000-0005-0000-0000-0000AC5E0000}"/>
    <cellStyle name="Currency 5 2 3 3 4" xfId="21515" xr:uid="{00000000-0005-0000-0000-0000AD5E0000}"/>
    <cellStyle name="Currency 5 2 3 4" xfId="6254" xr:uid="{00000000-0005-0000-0000-0000AE5E0000}"/>
    <cellStyle name="Currency 5 2 3 4 2" xfId="6255" xr:uid="{00000000-0005-0000-0000-0000AF5E0000}"/>
    <cellStyle name="Currency 5 2 3 4 2 2" xfId="15657" xr:uid="{00000000-0005-0000-0000-0000B05E0000}"/>
    <cellStyle name="Currency 5 2 3 4 2 3" xfId="21512" xr:uid="{00000000-0005-0000-0000-0000B15E0000}"/>
    <cellStyle name="Currency 5 2 3 4 3" xfId="13768" xr:uid="{00000000-0005-0000-0000-0000B25E0000}"/>
    <cellStyle name="Currency 5 2 3 4 3 2" xfId="27317" xr:uid="{00000000-0005-0000-0000-0000B35E0000}"/>
    <cellStyle name="Currency 5 2 3 4 4" xfId="21513" xr:uid="{00000000-0005-0000-0000-0000B45E0000}"/>
    <cellStyle name="Currency 5 2 3 5" xfId="6256" xr:uid="{00000000-0005-0000-0000-0000B55E0000}"/>
    <cellStyle name="Currency 5 2 3 5 2" xfId="14349" xr:uid="{00000000-0005-0000-0000-0000B65E0000}"/>
    <cellStyle name="Currency 5 2 3 5 2 2" xfId="27898" xr:uid="{00000000-0005-0000-0000-0000B75E0000}"/>
    <cellStyle name="Currency 5 2 3 5 3" xfId="21511" xr:uid="{00000000-0005-0000-0000-0000B85E0000}"/>
    <cellStyle name="Currency 5 2 3 6" xfId="6257" xr:uid="{00000000-0005-0000-0000-0000B95E0000}"/>
    <cellStyle name="Currency 5 2 3 6 2" xfId="16235" xr:uid="{00000000-0005-0000-0000-0000BA5E0000}"/>
    <cellStyle name="Currency 5 2 3 6 2 2" xfId="29642" xr:uid="{00000000-0005-0000-0000-0000BB5E0000}"/>
    <cellStyle name="Currency 5 2 3 6 3" xfId="21510" xr:uid="{00000000-0005-0000-0000-0000BC5E0000}"/>
    <cellStyle name="Currency 5 2 3 7" xfId="9927" xr:uid="{00000000-0005-0000-0000-0000BD5E0000}"/>
    <cellStyle name="Currency 5 2 3 8" xfId="21519" xr:uid="{00000000-0005-0000-0000-0000BE5E0000}"/>
    <cellStyle name="Currency 5 2 4" xfId="6258" xr:uid="{00000000-0005-0000-0000-0000BF5E0000}"/>
    <cellStyle name="Currency 5 2 4 2" xfId="6259" xr:uid="{00000000-0005-0000-0000-0000C05E0000}"/>
    <cellStyle name="Currency 5 2 4 2 2" xfId="11401" xr:uid="{00000000-0005-0000-0000-0000C15E0000}"/>
    <cellStyle name="Currency 5 2 4 2 3" xfId="21508" xr:uid="{00000000-0005-0000-0000-0000C25E0000}"/>
    <cellStyle name="Currency 5 2 4 3" xfId="6260" xr:uid="{00000000-0005-0000-0000-0000C35E0000}"/>
    <cellStyle name="Currency 5 2 4 3 2" xfId="17163" xr:uid="{00000000-0005-0000-0000-0000C45E0000}"/>
    <cellStyle name="Currency 5 2 4 3 2 2" xfId="30522" xr:uid="{00000000-0005-0000-0000-0000C55E0000}"/>
    <cellStyle name="Currency 5 2 4 3 3" xfId="21507" xr:uid="{00000000-0005-0000-0000-0000C65E0000}"/>
    <cellStyle name="Currency 5 2 4 4" xfId="9929" xr:uid="{00000000-0005-0000-0000-0000C75E0000}"/>
    <cellStyle name="Currency 5 2 4 5" xfId="21509" xr:uid="{00000000-0005-0000-0000-0000C85E0000}"/>
    <cellStyle name="Currency 5 2 5" xfId="6261" xr:uid="{00000000-0005-0000-0000-0000C95E0000}"/>
    <cellStyle name="Currency 5 2 5 2" xfId="6262" xr:uid="{00000000-0005-0000-0000-0000CA5E0000}"/>
    <cellStyle name="Currency 5 2 5 2 2" xfId="13201" xr:uid="{00000000-0005-0000-0000-0000CB5E0000}"/>
    <cellStyle name="Currency 5 2 5 2 3" xfId="21505" xr:uid="{00000000-0005-0000-0000-0000CC5E0000}"/>
    <cellStyle name="Currency 5 2 5 3" xfId="6263" xr:uid="{00000000-0005-0000-0000-0000CD5E0000}"/>
    <cellStyle name="Currency 5 2 5 3 2" xfId="17252" xr:uid="{00000000-0005-0000-0000-0000CE5E0000}"/>
    <cellStyle name="Currency 5 2 5 3 2 2" xfId="30611" xr:uid="{00000000-0005-0000-0000-0000CF5E0000}"/>
    <cellStyle name="Currency 5 2 5 3 3" xfId="21504" xr:uid="{00000000-0005-0000-0000-0000D05E0000}"/>
    <cellStyle name="Currency 5 2 5 4" xfId="11902" xr:uid="{00000000-0005-0000-0000-0000D15E0000}"/>
    <cellStyle name="Currency 5 2 5 4 2" xfId="25617" xr:uid="{00000000-0005-0000-0000-0000D25E0000}"/>
    <cellStyle name="Currency 5 2 5 5" xfId="21506" xr:uid="{00000000-0005-0000-0000-0000D35E0000}"/>
    <cellStyle name="Currency 5 2 6" xfId="6264" xr:uid="{00000000-0005-0000-0000-0000D45E0000}"/>
    <cellStyle name="Currency 5 2 6 2" xfId="6265" xr:uid="{00000000-0005-0000-0000-0000D55E0000}"/>
    <cellStyle name="Currency 5 2 6 2 2" xfId="15658" xr:uid="{00000000-0005-0000-0000-0000D65E0000}"/>
    <cellStyle name="Currency 5 2 6 2 3" xfId="21502" xr:uid="{00000000-0005-0000-0000-0000D75E0000}"/>
    <cellStyle name="Currency 5 2 6 3" xfId="6266" xr:uid="{00000000-0005-0000-0000-0000D85E0000}"/>
    <cellStyle name="Currency 5 2 6 3 2" xfId="16527" xr:uid="{00000000-0005-0000-0000-0000D95E0000}"/>
    <cellStyle name="Currency 5 2 6 3 2 2" xfId="29934" xr:uid="{00000000-0005-0000-0000-0000DA5E0000}"/>
    <cellStyle name="Currency 5 2 6 3 3" xfId="21501" xr:uid="{00000000-0005-0000-0000-0000DB5E0000}"/>
    <cellStyle name="Currency 5 2 6 4" xfId="13479" xr:uid="{00000000-0005-0000-0000-0000DC5E0000}"/>
    <cellStyle name="Currency 5 2 6 4 2" xfId="27028" xr:uid="{00000000-0005-0000-0000-0000DD5E0000}"/>
    <cellStyle name="Currency 5 2 6 5" xfId="21503" xr:uid="{00000000-0005-0000-0000-0000DE5E0000}"/>
    <cellStyle name="Currency 5 2 7" xfId="6267" xr:uid="{00000000-0005-0000-0000-0000DF5E0000}"/>
    <cellStyle name="Currency 5 2 7 2" xfId="14060" xr:uid="{00000000-0005-0000-0000-0000E05E0000}"/>
    <cellStyle name="Currency 5 2 7 2 2" xfId="27609" xr:uid="{00000000-0005-0000-0000-0000E15E0000}"/>
    <cellStyle name="Currency 5 2 7 3" xfId="21500" xr:uid="{00000000-0005-0000-0000-0000E25E0000}"/>
    <cellStyle name="Currency 5 2 8" xfId="6268" xr:uid="{00000000-0005-0000-0000-0000E35E0000}"/>
    <cellStyle name="Currency 5 2 8 2" xfId="15946" xr:uid="{00000000-0005-0000-0000-0000E45E0000}"/>
    <cellStyle name="Currency 5 2 8 2 2" xfId="29353" xr:uid="{00000000-0005-0000-0000-0000E55E0000}"/>
    <cellStyle name="Currency 5 2 8 3" xfId="21499" xr:uid="{00000000-0005-0000-0000-0000E65E0000}"/>
    <cellStyle name="Currency 5 2 9" xfId="9922" xr:uid="{00000000-0005-0000-0000-0000E75E0000}"/>
    <cellStyle name="Currency 5 3" xfId="6269" xr:uid="{00000000-0005-0000-0000-0000E85E0000}"/>
    <cellStyle name="Currency 5 3 2" xfId="6270" xr:uid="{00000000-0005-0000-0000-0000E95E0000}"/>
    <cellStyle name="Currency 5 3 2 2" xfId="6271" xr:uid="{00000000-0005-0000-0000-0000EA5E0000}"/>
    <cellStyle name="Currency 5 3 2 2 2" xfId="6272" xr:uid="{00000000-0005-0000-0000-0000EB5E0000}"/>
    <cellStyle name="Currency 5 3 2 2 2 2" xfId="11402" xr:uid="{00000000-0005-0000-0000-0000EC5E0000}"/>
    <cellStyle name="Currency 5 3 2 2 2 3" xfId="21495" xr:uid="{00000000-0005-0000-0000-0000ED5E0000}"/>
    <cellStyle name="Currency 5 3 2 2 3" xfId="6273" xr:uid="{00000000-0005-0000-0000-0000EE5E0000}"/>
    <cellStyle name="Currency 5 3 2 2 3 2" xfId="16913" xr:uid="{00000000-0005-0000-0000-0000EF5E0000}"/>
    <cellStyle name="Currency 5 3 2 2 3 2 2" xfId="30320" xr:uid="{00000000-0005-0000-0000-0000F05E0000}"/>
    <cellStyle name="Currency 5 3 2 2 3 3" xfId="21494" xr:uid="{00000000-0005-0000-0000-0000F15E0000}"/>
    <cellStyle name="Currency 5 3 2 2 4" xfId="9932" xr:uid="{00000000-0005-0000-0000-0000F25E0000}"/>
    <cellStyle name="Currency 5 3 2 2 5" xfId="21496" xr:uid="{00000000-0005-0000-0000-0000F35E0000}"/>
    <cellStyle name="Currency 5 3 2 3" xfId="6274" xr:uid="{00000000-0005-0000-0000-0000F45E0000}"/>
    <cellStyle name="Currency 5 3 2 3 2" xfId="6275" xr:uid="{00000000-0005-0000-0000-0000F55E0000}"/>
    <cellStyle name="Currency 5 3 2 3 2 2" xfId="13202" xr:uid="{00000000-0005-0000-0000-0000F65E0000}"/>
    <cellStyle name="Currency 5 3 2 3 2 3" xfId="21492" xr:uid="{00000000-0005-0000-0000-0000F75E0000}"/>
    <cellStyle name="Currency 5 3 2 3 3" xfId="12301" xr:uid="{00000000-0005-0000-0000-0000F85E0000}"/>
    <cellStyle name="Currency 5 3 2 3 3 2" xfId="26013" xr:uid="{00000000-0005-0000-0000-0000F95E0000}"/>
    <cellStyle name="Currency 5 3 2 3 4" xfId="21493" xr:uid="{00000000-0005-0000-0000-0000FA5E0000}"/>
    <cellStyle name="Currency 5 3 2 4" xfId="6276" xr:uid="{00000000-0005-0000-0000-0000FB5E0000}"/>
    <cellStyle name="Currency 5 3 2 4 2" xfId="6277" xr:uid="{00000000-0005-0000-0000-0000FC5E0000}"/>
    <cellStyle name="Currency 5 3 2 4 2 2" xfId="15659" xr:uid="{00000000-0005-0000-0000-0000FD5E0000}"/>
    <cellStyle name="Currency 5 3 2 4 2 3" xfId="21490" xr:uid="{00000000-0005-0000-0000-0000FE5E0000}"/>
    <cellStyle name="Currency 5 3 2 4 3" xfId="13865" xr:uid="{00000000-0005-0000-0000-0000FF5E0000}"/>
    <cellStyle name="Currency 5 3 2 4 3 2" xfId="27414" xr:uid="{00000000-0005-0000-0000-0000005F0000}"/>
    <cellStyle name="Currency 5 3 2 4 4" xfId="21491" xr:uid="{00000000-0005-0000-0000-0000015F0000}"/>
    <cellStyle name="Currency 5 3 2 5" xfId="6278" xr:uid="{00000000-0005-0000-0000-0000025F0000}"/>
    <cellStyle name="Currency 5 3 2 5 2" xfId="14446" xr:uid="{00000000-0005-0000-0000-0000035F0000}"/>
    <cellStyle name="Currency 5 3 2 5 2 2" xfId="27995" xr:uid="{00000000-0005-0000-0000-0000045F0000}"/>
    <cellStyle name="Currency 5 3 2 5 3" xfId="21489" xr:uid="{00000000-0005-0000-0000-0000055F0000}"/>
    <cellStyle name="Currency 5 3 2 6" xfId="6279" xr:uid="{00000000-0005-0000-0000-0000065F0000}"/>
    <cellStyle name="Currency 5 3 2 6 2" xfId="16332" xr:uid="{00000000-0005-0000-0000-0000075F0000}"/>
    <cellStyle name="Currency 5 3 2 6 2 2" xfId="29739" xr:uid="{00000000-0005-0000-0000-0000085F0000}"/>
    <cellStyle name="Currency 5 3 2 6 3" xfId="21488" xr:uid="{00000000-0005-0000-0000-0000095F0000}"/>
    <cellStyle name="Currency 5 3 2 7" xfId="9931" xr:uid="{00000000-0005-0000-0000-00000A5F0000}"/>
    <cellStyle name="Currency 5 3 2 8" xfId="21497" xr:uid="{00000000-0005-0000-0000-00000B5F0000}"/>
    <cellStyle name="Currency 5 3 3" xfId="6280" xr:uid="{00000000-0005-0000-0000-00000C5F0000}"/>
    <cellStyle name="Currency 5 3 3 2" xfId="6281" xr:uid="{00000000-0005-0000-0000-00000D5F0000}"/>
    <cellStyle name="Currency 5 3 3 2 2" xfId="11403" xr:uid="{00000000-0005-0000-0000-00000E5F0000}"/>
    <cellStyle name="Currency 5 3 3 2 3" xfId="21486" xr:uid="{00000000-0005-0000-0000-00000F5F0000}"/>
    <cellStyle name="Currency 5 3 3 3" xfId="6282" xr:uid="{00000000-0005-0000-0000-0000105F0000}"/>
    <cellStyle name="Currency 5 3 3 3 2" xfId="16624" xr:uid="{00000000-0005-0000-0000-0000115F0000}"/>
    <cellStyle name="Currency 5 3 3 3 2 2" xfId="30031" xr:uid="{00000000-0005-0000-0000-0000125F0000}"/>
    <cellStyle name="Currency 5 3 3 3 3" xfId="21485" xr:uid="{00000000-0005-0000-0000-0000135F0000}"/>
    <cellStyle name="Currency 5 3 3 4" xfId="9933" xr:uid="{00000000-0005-0000-0000-0000145F0000}"/>
    <cellStyle name="Currency 5 3 3 5" xfId="21487" xr:uid="{00000000-0005-0000-0000-0000155F0000}"/>
    <cellStyle name="Currency 5 3 4" xfId="6283" xr:uid="{00000000-0005-0000-0000-0000165F0000}"/>
    <cellStyle name="Currency 5 3 4 2" xfId="6284" xr:uid="{00000000-0005-0000-0000-0000175F0000}"/>
    <cellStyle name="Currency 5 3 4 2 2" xfId="13203" xr:uid="{00000000-0005-0000-0000-0000185F0000}"/>
    <cellStyle name="Currency 5 3 4 2 3" xfId="21483" xr:uid="{00000000-0005-0000-0000-0000195F0000}"/>
    <cellStyle name="Currency 5 3 4 3" xfId="12001" xr:uid="{00000000-0005-0000-0000-00001A5F0000}"/>
    <cellStyle name="Currency 5 3 4 3 2" xfId="25716" xr:uid="{00000000-0005-0000-0000-00001B5F0000}"/>
    <cellStyle name="Currency 5 3 4 4" xfId="21484" xr:uid="{00000000-0005-0000-0000-00001C5F0000}"/>
    <cellStyle name="Currency 5 3 5" xfId="6285" xr:uid="{00000000-0005-0000-0000-00001D5F0000}"/>
    <cellStyle name="Currency 5 3 5 2" xfId="6286" xr:uid="{00000000-0005-0000-0000-00001E5F0000}"/>
    <cellStyle name="Currency 5 3 5 2 2" xfId="15660" xr:uid="{00000000-0005-0000-0000-00001F5F0000}"/>
    <cellStyle name="Currency 5 3 5 2 3" xfId="21481" xr:uid="{00000000-0005-0000-0000-0000205F0000}"/>
    <cellStyle name="Currency 5 3 5 3" xfId="13576" xr:uid="{00000000-0005-0000-0000-0000215F0000}"/>
    <cellStyle name="Currency 5 3 5 3 2" xfId="27125" xr:uid="{00000000-0005-0000-0000-0000225F0000}"/>
    <cellStyle name="Currency 5 3 5 4" xfId="21482" xr:uid="{00000000-0005-0000-0000-0000235F0000}"/>
    <cellStyle name="Currency 5 3 6" xfId="6287" xr:uid="{00000000-0005-0000-0000-0000245F0000}"/>
    <cellStyle name="Currency 5 3 6 2" xfId="14157" xr:uid="{00000000-0005-0000-0000-0000255F0000}"/>
    <cellStyle name="Currency 5 3 6 2 2" xfId="27706" xr:uid="{00000000-0005-0000-0000-0000265F0000}"/>
    <cellStyle name="Currency 5 3 6 3" xfId="21480" xr:uid="{00000000-0005-0000-0000-0000275F0000}"/>
    <cellStyle name="Currency 5 3 7" xfId="6288" xr:uid="{00000000-0005-0000-0000-0000285F0000}"/>
    <cellStyle name="Currency 5 3 7 2" xfId="16043" xr:uid="{00000000-0005-0000-0000-0000295F0000}"/>
    <cellStyle name="Currency 5 3 7 2 2" xfId="29450" xr:uid="{00000000-0005-0000-0000-00002A5F0000}"/>
    <cellStyle name="Currency 5 3 7 3" xfId="21479" xr:uid="{00000000-0005-0000-0000-00002B5F0000}"/>
    <cellStyle name="Currency 5 3 8" xfId="9930" xr:uid="{00000000-0005-0000-0000-00002C5F0000}"/>
    <cellStyle name="Currency 5 3 9" xfId="21498" xr:uid="{00000000-0005-0000-0000-00002D5F0000}"/>
    <cellStyle name="Currency 5 4" xfId="6289" xr:uid="{00000000-0005-0000-0000-00002E5F0000}"/>
    <cellStyle name="Currency 5 4 2" xfId="6290" xr:uid="{00000000-0005-0000-0000-00002F5F0000}"/>
    <cellStyle name="Currency 5 4 2 2" xfId="6291" xr:uid="{00000000-0005-0000-0000-0000305F0000}"/>
    <cellStyle name="Currency 5 4 2 2 2" xfId="11404" xr:uid="{00000000-0005-0000-0000-0000315F0000}"/>
    <cellStyle name="Currency 5 4 2 2 3" xfId="21476" xr:uid="{00000000-0005-0000-0000-0000325F0000}"/>
    <cellStyle name="Currency 5 4 2 3" xfId="6292" xr:uid="{00000000-0005-0000-0000-0000335F0000}"/>
    <cellStyle name="Currency 5 4 2 3 2" xfId="16770" xr:uid="{00000000-0005-0000-0000-0000345F0000}"/>
    <cellStyle name="Currency 5 4 2 3 2 2" xfId="30177" xr:uid="{00000000-0005-0000-0000-0000355F0000}"/>
    <cellStyle name="Currency 5 4 2 3 3" xfId="21475" xr:uid="{00000000-0005-0000-0000-0000365F0000}"/>
    <cellStyle name="Currency 5 4 2 4" xfId="9935" xr:uid="{00000000-0005-0000-0000-0000375F0000}"/>
    <cellStyle name="Currency 5 4 2 5" xfId="21477" xr:uid="{00000000-0005-0000-0000-0000385F0000}"/>
    <cellStyle name="Currency 5 4 3" xfId="6293" xr:uid="{00000000-0005-0000-0000-0000395F0000}"/>
    <cellStyle name="Currency 5 4 3 2" xfId="6294" xr:uid="{00000000-0005-0000-0000-00003A5F0000}"/>
    <cellStyle name="Currency 5 4 3 2 2" xfId="13204" xr:uid="{00000000-0005-0000-0000-00003B5F0000}"/>
    <cellStyle name="Currency 5 4 3 2 3" xfId="21473" xr:uid="{00000000-0005-0000-0000-00003C5F0000}"/>
    <cellStyle name="Currency 5 4 3 3" xfId="12158" xr:uid="{00000000-0005-0000-0000-00003D5F0000}"/>
    <cellStyle name="Currency 5 4 3 3 2" xfId="25870" xr:uid="{00000000-0005-0000-0000-00003E5F0000}"/>
    <cellStyle name="Currency 5 4 3 4" xfId="21474" xr:uid="{00000000-0005-0000-0000-00003F5F0000}"/>
    <cellStyle name="Currency 5 4 4" xfId="6295" xr:uid="{00000000-0005-0000-0000-0000405F0000}"/>
    <cellStyle name="Currency 5 4 4 2" xfId="6296" xr:uid="{00000000-0005-0000-0000-0000415F0000}"/>
    <cellStyle name="Currency 5 4 4 2 2" xfId="15661" xr:uid="{00000000-0005-0000-0000-0000425F0000}"/>
    <cellStyle name="Currency 5 4 4 2 3" xfId="21471" xr:uid="{00000000-0005-0000-0000-0000435F0000}"/>
    <cellStyle name="Currency 5 4 4 3" xfId="13722" xr:uid="{00000000-0005-0000-0000-0000445F0000}"/>
    <cellStyle name="Currency 5 4 4 3 2" xfId="27271" xr:uid="{00000000-0005-0000-0000-0000455F0000}"/>
    <cellStyle name="Currency 5 4 4 4" xfId="21472" xr:uid="{00000000-0005-0000-0000-0000465F0000}"/>
    <cellStyle name="Currency 5 4 5" xfId="6297" xr:uid="{00000000-0005-0000-0000-0000475F0000}"/>
    <cellStyle name="Currency 5 4 5 2" xfId="14303" xr:uid="{00000000-0005-0000-0000-0000485F0000}"/>
    <cellStyle name="Currency 5 4 5 2 2" xfId="27852" xr:uid="{00000000-0005-0000-0000-0000495F0000}"/>
    <cellStyle name="Currency 5 4 5 3" xfId="21470" xr:uid="{00000000-0005-0000-0000-00004A5F0000}"/>
    <cellStyle name="Currency 5 4 6" xfId="6298" xr:uid="{00000000-0005-0000-0000-00004B5F0000}"/>
    <cellStyle name="Currency 5 4 6 2" xfId="16189" xr:uid="{00000000-0005-0000-0000-00004C5F0000}"/>
    <cellStyle name="Currency 5 4 6 2 2" xfId="29596" xr:uid="{00000000-0005-0000-0000-00004D5F0000}"/>
    <cellStyle name="Currency 5 4 6 3" xfId="21469" xr:uid="{00000000-0005-0000-0000-00004E5F0000}"/>
    <cellStyle name="Currency 5 4 7" xfId="9934" xr:uid="{00000000-0005-0000-0000-00004F5F0000}"/>
    <cellStyle name="Currency 5 4 8" xfId="21478" xr:uid="{00000000-0005-0000-0000-0000505F0000}"/>
    <cellStyle name="Currency 5 5" xfId="6299" xr:uid="{00000000-0005-0000-0000-0000515F0000}"/>
    <cellStyle name="Currency 5 5 2" xfId="6300" xr:uid="{00000000-0005-0000-0000-0000525F0000}"/>
    <cellStyle name="Currency 5 5 2 2" xfId="17031" xr:uid="{00000000-0005-0000-0000-0000535F0000}"/>
    <cellStyle name="Currency 5 5 2 2 2" xfId="30437" xr:uid="{00000000-0005-0000-0000-0000545F0000}"/>
    <cellStyle name="Currency 5 5 2 3" xfId="21467" xr:uid="{00000000-0005-0000-0000-0000555F0000}"/>
    <cellStyle name="Currency 5 5 3" xfId="9936" xr:uid="{00000000-0005-0000-0000-0000565F0000}"/>
    <cellStyle name="Currency 5 5 4" xfId="21468" xr:uid="{00000000-0005-0000-0000-0000575F0000}"/>
    <cellStyle name="Currency 5 6" xfId="6301" xr:uid="{00000000-0005-0000-0000-0000585F0000}"/>
    <cellStyle name="Currency 5 6 2" xfId="6302" xr:uid="{00000000-0005-0000-0000-0000595F0000}"/>
    <cellStyle name="Currency 5 6 2 2" xfId="11405" xr:uid="{00000000-0005-0000-0000-00005A5F0000}"/>
    <cellStyle name="Currency 5 6 2 3" xfId="21465" xr:uid="{00000000-0005-0000-0000-00005B5F0000}"/>
    <cellStyle name="Currency 5 6 3" xfId="6303" xr:uid="{00000000-0005-0000-0000-00005C5F0000}"/>
    <cellStyle name="Currency 5 6 3 2" xfId="17117" xr:uid="{00000000-0005-0000-0000-00005D5F0000}"/>
    <cellStyle name="Currency 5 6 3 2 2" xfId="30476" xr:uid="{00000000-0005-0000-0000-00005E5F0000}"/>
    <cellStyle name="Currency 5 6 3 3" xfId="21464" xr:uid="{00000000-0005-0000-0000-00005F5F0000}"/>
    <cellStyle name="Currency 5 6 4" xfId="9937" xr:uid="{00000000-0005-0000-0000-0000605F0000}"/>
    <cellStyle name="Currency 5 6 5" xfId="21466" xr:uid="{00000000-0005-0000-0000-0000615F0000}"/>
    <cellStyle name="Currency 5 7" xfId="6304" xr:uid="{00000000-0005-0000-0000-0000625F0000}"/>
    <cellStyle name="Currency 5 7 2" xfId="6305" xr:uid="{00000000-0005-0000-0000-0000635F0000}"/>
    <cellStyle name="Currency 5 7 2 2" xfId="13205" xr:uid="{00000000-0005-0000-0000-0000645F0000}"/>
    <cellStyle name="Currency 5 7 2 3" xfId="21462" xr:uid="{00000000-0005-0000-0000-0000655F0000}"/>
    <cellStyle name="Currency 5 7 3" xfId="6306" xr:uid="{00000000-0005-0000-0000-0000665F0000}"/>
    <cellStyle name="Currency 5 7 3 2" xfId="17206" xr:uid="{00000000-0005-0000-0000-0000675F0000}"/>
    <cellStyle name="Currency 5 7 3 2 2" xfId="30565" xr:uid="{00000000-0005-0000-0000-0000685F0000}"/>
    <cellStyle name="Currency 5 7 3 3" xfId="21461" xr:uid="{00000000-0005-0000-0000-0000695F0000}"/>
    <cellStyle name="Currency 5 7 4" xfId="11832" xr:uid="{00000000-0005-0000-0000-00006A5F0000}"/>
    <cellStyle name="Currency 5 7 4 2" xfId="25547" xr:uid="{00000000-0005-0000-0000-00006B5F0000}"/>
    <cellStyle name="Currency 5 7 5" xfId="21463" xr:uid="{00000000-0005-0000-0000-00006C5F0000}"/>
    <cellStyle name="Currency 5 8" xfId="6307" xr:uid="{00000000-0005-0000-0000-00006D5F0000}"/>
    <cellStyle name="Currency 5 8 2" xfId="6308" xr:uid="{00000000-0005-0000-0000-00006E5F0000}"/>
    <cellStyle name="Currency 5 8 2 2" xfId="15662" xr:uid="{00000000-0005-0000-0000-00006F5F0000}"/>
    <cellStyle name="Currency 5 8 2 3" xfId="21459" xr:uid="{00000000-0005-0000-0000-0000705F0000}"/>
    <cellStyle name="Currency 5 8 3" xfId="6309" xr:uid="{00000000-0005-0000-0000-0000715F0000}"/>
    <cellStyle name="Currency 5 8 3 2" xfId="16481" xr:uid="{00000000-0005-0000-0000-0000725F0000}"/>
    <cellStyle name="Currency 5 8 3 2 2" xfId="29888" xr:uid="{00000000-0005-0000-0000-0000735F0000}"/>
    <cellStyle name="Currency 5 8 3 3" xfId="21458" xr:uid="{00000000-0005-0000-0000-0000745F0000}"/>
    <cellStyle name="Currency 5 8 4" xfId="13433" xr:uid="{00000000-0005-0000-0000-0000755F0000}"/>
    <cellStyle name="Currency 5 8 4 2" xfId="26982" xr:uid="{00000000-0005-0000-0000-0000765F0000}"/>
    <cellStyle name="Currency 5 8 5" xfId="21460" xr:uid="{00000000-0005-0000-0000-0000775F0000}"/>
    <cellStyle name="Currency 5 9" xfId="6310" xr:uid="{00000000-0005-0000-0000-0000785F0000}"/>
    <cellStyle name="Currency 5 9 2" xfId="14014" xr:uid="{00000000-0005-0000-0000-0000795F0000}"/>
    <cellStyle name="Currency 5 9 2 2" xfId="27563" xr:uid="{00000000-0005-0000-0000-00007A5F0000}"/>
    <cellStyle name="Currency 5 9 3" xfId="21457" xr:uid="{00000000-0005-0000-0000-00007B5F0000}"/>
    <cellStyle name="Currency 6" xfId="6311" xr:uid="{00000000-0005-0000-0000-00007C5F0000}"/>
    <cellStyle name="Currency 6 2" xfId="6312" xr:uid="{00000000-0005-0000-0000-00007D5F0000}"/>
    <cellStyle name="Currency 6 2 2" xfId="17032" xr:uid="{00000000-0005-0000-0000-00007E5F0000}"/>
    <cellStyle name="Currency 6 2 2 2" xfId="30438" xr:uid="{00000000-0005-0000-0000-00007F5F0000}"/>
    <cellStyle name="Currency 6 2 3" xfId="21455" xr:uid="{00000000-0005-0000-0000-0000805F0000}"/>
    <cellStyle name="Currency 6 3" xfId="6313" xr:uid="{00000000-0005-0000-0000-0000815F0000}"/>
    <cellStyle name="Currency 6 3 2" xfId="17336" xr:uid="{00000000-0005-0000-0000-0000825F0000}"/>
    <cellStyle name="Currency 6 3 3" xfId="21454" xr:uid="{00000000-0005-0000-0000-0000835F0000}"/>
    <cellStyle name="Currency 6 4" xfId="8733" xr:uid="{00000000-0005-0000-0000-0000845F0000}"/>
    <cellStyle name="Currency 6 5" xfId="21456" xr:uid="{00000000-0005-0000-0000-0000855F0000}"/>
    <cellStyle name="Currency 6 6" xfId="33085" xr:uid="{00000000-0005-0000-0000-0000865F0000}"/>
    <cellStyle name="Currency 7" xfId="6314" xr:uid="{00000000-0005-0000-0000-0000875F0000}"/>
    <cellStyle name="Currency 7 2" xfId="9938" xr:uid="{00000000-0005-0000-0000-0000885F0000}"/>
    <cellStyle name="Currency 7 3" xfId="21453" xr:uid="{00000000-0005-0000-0000-0000895F0000}"/>
    <cellStyle name="Currency 8" xfId="6315" xr:uid="{00000000-0005-0000-0000-00008A5F0000}"/>
    <cellStyle name="Currency 8 10" xfId="21452" xr:uid="{00000000-0005-0000-0000-00008B5F0000}"/>
    <cellStyle name="Currency 8 2" xfId="6316" xr:uid="{00000000-0005-0000-0000-00008C5F0000}"/>
    <cellStyle name="Currency 8 2 2" xfId="6317" xr:uid="{00000000-0005-0000-0000-00008D5F0000}"/>
    <cellStyle name="Currency 8 2 2 2" xfId="6318" xr:uid="{00000000-0005-0000-0000-00008E5F0000}"/>
    <cellStyle name="Currency 8 2 2 2 2" xfId="6319" xr:uid="{00000000-0005-0000-0000-00008F5F0000}"/>
    <cellStyle name="Currency 8 2 2 2 2 2" xfId="11406" xr:uid="{00000000-0005-0000-0000-0000905F0000}"/>
    <cellStyle name="Currency 8 2 2 2 2 3" xfId="21448" xr:uid="{00000000-0005-0000-0000-0000915F0000}"/>
    <cellStyle name="Currency 8 2 2 2 3" xfId="6320" xr:uid="{00000000-0005-0000-0000-0000925F0000}"/>
    <cellStyle name="Currency 8 2 2 2 3 2" xfId="16936" xr:uid="{00000000-0005-0000-0000-0000935F0000}"/>
    <cellStyle name="Currency 8 2 2 2 3 2 2" xfId="30343" xr:uid="{00000000-0005-0000-0000-0000945F0000}"/>
    <cellStyle name="Currency 8 2 2 2 3 3" xfId="21447" xr:uid="{00000000-0005-0000-0000-0000955F0000}"/>
    <cellStyle name="Currency 8 2 2 2 4" xfId="9942" xr:uid="{00000000-0005-0000-0000-0000965F0000}"/>
    <cellStyle name="Currency 8 2 2 2 5" xfId="21449" xr:uid="{00000000-0005-0000-0000-0000975F0000}"/>
    <cellStyle name="Currency 8 2 2 3" xfId="6321" xr:uid="{00000000-0005-0000-0000-0000985F0000}"/>
    <cellStyle name="Currency 8 2 2 3 2" xfId="6322" xr:uid="{00000000-0005-0000-0000-0000995F0000}"/>
    <cellStyle name="Currency 8 2 2 3 2 2" xfId="13206" xr:uid="{00000000-0005-0000-0000-00009A5F0000}"/>
    <cellStyle name="Currency 8 2 2 3 2 3" xfId="21445" xr:uid="{00000000-0005-0000-0000-00009B5F0000}"/>
    <cellStyle name="Currency 8 2 2 3 3" xfId="12324" xr:uid="{00000000-0005-0000-0000-00009C5F0000}"/>
    <cellStyle name="Currency 8 2 2 3 3 2" xfId="26036" xr:uid="{00000000-0005-0000-0000-00009D5F0000}"/>
    <cellStyle name="Currency 8 2 2 3 4" xfId="21446" xr:uid="{00000000-0005-0000-0000-00009E5F0000}"/>
    <cellStyle name="Currency 8 2 2 4" xfId="6323" xr:uid="{00000000-0005-0000-0000-00009F5F0000}"/>
    <cellStyle name="Currency 8 2 2 4 2" xfId="6324" xr:uid="{00000000-0005-0000-0000-0000A05F0000}"/>
    <cellStyle name="Currency 8 2 2 4 2 2" xfId="15663" xr:uid="{00000000-0005-0000-0000-0000A15F0000}"/>
    <cellStyle name="Currency 8 2 2 4 2 3" xfId="21443" xr:uid="{00000000-0005-0000-0000-0000A25F0000}"/>
    <cellStyle name="Currency 8 2 2 4 3" xfId="13888" xr:uid="{00000000-0005-0000-0000-0000A35F0000}"/>
    <cellStyle name="Currency 8 2 2 4 3 2" xfId="27437" xr:uid="{00000000-0005-0000-0000-0000A45F0000}"/>
    <cellStyle name="Currency 8 2 2 4 4" xfId="21444" xr:uid="{00000000-0005-0000-0000-0000A55F0000}"/>
    <cellStyle name="Currency 8 2 2 5" xfId="6325" xr:uid="{00000000-0005-0000-0000-0000A65F0000}"/>
    <cellStyle name="Currency 8 2 2 5 2" xfId="14469" xr:uid="{00000000-0005-0000-0000-0000A75F0000}"/>
    <cellStyle name="Currency 8 2 2 5 2 2" xfId="28018" xr:uid="{00000000-0005-0000-0000-0000A85F0000}"/>
    <cellStyle name="Currency 8 2 2 5 3" xfId="21442" xr:uid="{00000000-0005-0000-0000-0000A95F0000}"/>
    <cellStyle name="Currency 8 2 2 6" xfId="6326" xr:uid="{00000000-0005-0000-0000-0000AA5F0000}"/>
    <cellStyle name="Currency 8 2 2 6 2" xfId="16355" xr:uid="{00000000-0005-0000-0000-0000AB5F0000}"/>
    <cellStyle name="Currency 8 2 2 6 2 2" xfId="29762" xr:uid="{00000000-0005-0000-0000-0000AC5F0000}"/>
    <cellStyle name="Currency 8 2 2 6 3" xfId="21441" xr:uid="{00000000-0005-0000-0000-0000AD5F0000}"/>
    <cellStyle name="Currency 8 2 2 7" xfId="9941" xr:uid="{00000000-0005-0000-0000-0000AE5F0000}"/>
    <cellStyle name="Currency 8 2 2 8" xfId="21450" xr:uid="{00000000-0005-0000-0000-0000AF5F0000}"/>
    <cellStyle name="Currency 8 2 3" xfId="6327" xr:uid="{00000000-0005-0000-0000-0000B05F0000}"/>
    <cellStyle name="Currency 8 2 3 2" xfId="6328" xr:uid="{00000000-0005-0000-0000-0000B15F0000}"/>
    <cellStyle name="Currency 8 2 3 2 2" xfId="11407" xr:uid="{00000000-0005-0000-0000-0000B25F0000}"/>
    <cellStyle name="Currency 8 2 3 2 3" xfId="21439" xr:uid="{00000000-0005-0000-0000-0000B35F0000}"/>
    <cellStyle name="Currency 8 2 3 3" xfId="6329" xr:uid="{00000000-0005-0000-0000-0000B45F0000}"/>
    <cellStyle name="Currency 8 2 3 3 2" xfId="16647" xr:uid="{00000000-0005-0000-0000-0000B55F0000}"/>
    <cellStyle name="Currency 8 2 3 3 2 2" xfId="30054" xr:uid="{00000000-0005-0000-0000-0000B65F0000}"/>
    <cellStyle name="Currency 8 2 3 3 3" xfId="21438" xr:uid="{00000000-0005-0000-0000-0000B75F0000}"/>
    <cellStyle name="Currency 8 2 3 4" xfId="9943" xr:uid="{00000000-0005-0000-0000-0000B85F0000}"/>
    <cellStyle name="Currency 8 2 3 5" xfId="21440" xr:uid="{00000000-0005-0000-0000-0000B95F0000}"/>
    <cellStyle name="Currency 8 2 4" xfId="6330" xr:uid="{00000000-0005-0000-0000-0000BA5F0000}"/>
    <cellStyle name="Currency 8 2 4 2" xfId="6331" xr:uid="{00000000-0005-0000-0000-0000BB5F0000}"/>
    <cellStyle name="Currency 8 2 4 2 2" xfId="13207" xr:uid="{00000000-0005-0000-0000-0000BC5F0000}"/>
    <cellStyle name="Currency 8 2 4 2 3" xfId="21436" xr:uid="{00000000-0005-0000-0000-0000BD5F0000}"/>
    <cellStyle name="Currency 8 2 4 3" xfId="12024" xr:uid="{00000000-0005-0000-0000-0000BE5F0000}"/>
    <cellStyle name="Currency 8 2 4 3 2" xfId="25739" xr:uid="{00000000-0005-0000-0000-0000BF5F0000}"/>
    <cellStyle name="Currency 8 2 4 4" xfId="21437" xr:uid="{00000000-0005-0000-0000-0000C05F0000}"/>
    <cellStyle name="Currency 8 2 5" xfId="6332" xr:uid="{00000000-0005-0000-0000-0000C15F0000}"/>
    <cellStyle name="Currency 8 2 5 2" xfId="6333" xr:uid="{00000000-0005-0000-0000-0000C25F0000}"/>
    <cellStyle name="Currency 8 2 5 2 2" xfId="15664" xr:uid="{00000000-0005-0000-0000-0000C35F0000}"/>
    <cellStyle name="Currency 8 2 5 2 3" xfId="21434" xr:uid="{00000000-0005-0000-0000-0000C45F0000}"/>
    <cellStyle name="Currency 8 2 5 3" xfId="13599" xr:uid="{00000000-0005-0000-0000-0000C55F0000}"/>
    <cellStyle name="Currency 8 2 5 3 2" xfId="27148" xr:uid="{00000000-0005-0000-0000-0000C65F0000}"/>
    <cellStyle name="Currency 8 2 5 4" xfId="21435" xr:uid="{00000000-0005-0000-0000-0000C75F0000}"/>
    <cellStyle name="Currency 8 2 6" xfId="6334" xr:uid="{00000000-0005-0000-0000-0000C85F0000}"/>
    <cellStyle name="Currency 8 2 6 2" xfId="14180" xr:uid="{00000000-0005-0000-0000-0000C95F0000}"/>
    <cellStyle name="Currency 8 2 6 2 2" xfId="27729" xr:uid="{00000000-0005-0000-0000-0000CA5F0000}"/>
    <cellStyle name="Currency 8 2 6 3" xfId="21433" xr:uid="{00000000-0005-0000-0000-0000CB5F0000}"/>
    <cellStyle name="Currency 8 2 7" xfId="6335" xr:uid="{00000000-0005-0000-0000-0000CC5F0000}"/>
    <cellStyle name="Currency 8 2 7 2" xfId="16066" xr:uid="{00000000-0005-0000-0000-0000CD5F0000}"/>
    <cellStyle name="Currency 8 2 7 2 2" xfId="29473" xr:uid="{00000000-0005-0000-0000-0000CE5F0000}"/>
    <cellStyle name="Currency 8 2 7 3" xfId="21432" xr:uid="{00000000-0005-0000-0000-0000CF5F0000}"/>
    <cellStyle name="Currency 8 2 8" xfId="9940" xr:uid="{00000000-0005-0000-0000-0000D05F0000}"/>
    <cellStyle name="Currency 8 2 9" xfId="21451" xr:uid="{00000000-0005-0000-0000-0000D15F0000}"/>
    <cellStyle name="Currency 8 3" xfId="6336" xr:uid="{00000000-0005-0000-0000-0000D25F0000}"/>
    <cellStyle name="Currency 8 3 2" xfId="6337" xr:uid="{00000000-0005-0000-0000-0000D35F0000}"/>
    <cellStyle name="Currency 8 3 2 2" xfId="6338" xr:uid="{00000000-0005-0000-0000-0000D45F0000}"/>
    <cellStyle name="Currency 8 3 2 2 2" xfId="11408" xr:uid="{00000000-0005-0000-0000-0000D55F0000}"/>
    <cellStyle name="Currency 8 3 2 2 3" xfId="21429" xr:uid="{00000000-0005-0000-0000-0000D65F0000}"/>
    <cellStyle name="Currency 8 3 2 3" xfId="6339" xr:uid="{00000000-0005-0000-0000-0000D75F0000}"/>
    <cellStyle name="Currency 8 3 2 3 2" xfId="16793" xr:uid="{00000000-0005-0000-0000-0000D85F0000}"/>
    <cellStyle name="Currency 8 3 2 3 2 2" xfId="30200" xr:uid="{00000000-0005-0000-0000-0000D95F0000}"/>
    <cellStyle name="Currency 8 3 2 3 3" xfId="21428" xr:uid="{00000000-0005-0000-0000-0000DA5F0000}"/>
    <cellStyle name="Currency 8 3 2 4" xfId="9945" xr:uid="{00000000-0005-0000-0000-0000DB5F0000}"/>
    <cellStyle name="Currency 8 3 2 5" xfId="21430" xr:uid="{00000000-0005-0000-0000-0000DC5F0000}"/>
    <cellStyle name="Currency 8 3 3" xfId="6340" xr:uid="{00000000-0005-0000-0000-0000DD5F0000}"/>
    <cellStyle name="Currency 8 3 3 2" xfId="6341" xr:uid="{00000000-0005-0000-0000-0000DE5F0000}"/>
    <cellStyle name="Currency 8 3 3 2 2" xfId="13208" xr:uid="{00000000-0005-0000-0000-0000DF5F0000}"/>
    <cellStyle name="Currency 8 3 3 2 3" xfId="21426" xr:uid="{00000000-0005-0000-0000-0000E05F0000}"/>
    <cellStyle name="Currency 8 3 3 3" xfId="12181" xr:uid="{00000000-0005-0000-0000-0000E15F0000}"/>
    <cellStyle name="Currency 8 3 3 3 2" xfId="25893" xr:uid="{00000000-0005-0000-0000-0000E25F0000}"/>
    <cellStyle name="Currency 8 3 3 4" xfId="21427" xr:uid="{00000000-0005-0000-0000-0000E35F0000}"/>
    <cellStyle name="Currency 8 3 4" xfId="6342" xr:uid="{00000000-0005-0000-0000-0000E45F0000}"/>
    <cellStyle name="Currency 8 3 4 2" xfId="6343" xr:uid="{00000000-0005-0000-0000-0000E55F0000}"/>
    <cellStyle name="Currency 8 3 4 2 2" xfId="15665" xr:uid="{00000000-0005-0000-0000-0000E65F0000}"/>
    <cellStyle name="Currency 8 3 4 2 3" xfId="21424" xr:uid="{00000000-0005-0000-0000-0000E75F0000}"/>
    <cellStyle name="Currency 8 3 4 3" xfId="13745" xr:uid="{00000000-0005-0000-0000-0000E85F0000}"/>
    <cellStyle name="Currency 8 3 4 3 2" xfId="27294" xr:uid="{00000000-0005-0000-0000-0000E95F0000}"/>
    <cellStyle name="Currency 8 3 4 4" xfId="21425" xr:uid="{00000000-0005-0000-0000-0000EA5F0000}"/>
    <cellStyle name="Currency 8 3 5" xfId="6344" xr:uid="{00000000-0005-0000-0000-0000EB5F0000}"/>
    <cellStyle name="Currency 8 3 5 2" xfId="14326" xr:uid="{00000000-0005-0000-0000-0000EC5F0000}"/>
    <cellStyle name="Currency 8 3 5 2 2" xfId="27875" xr:uid="{00000000-0005-0000-0000-0000ED5F0000}"/>
    <cellStyle name="Currency 8 3 5 3" xfId="21423" xr:uid="{00000000-0005-0000-0000-0000EE5F0000}"/>
    <cellStyle name="Currency 8 3 6" xfId="6345" xr:uid="{00000000-0005-0000-0000-0000EF5F0000}"/>
    <cellStyle name="Currency 8 3 6 2" xfId="16212" xr:uid="{00000000-0005-0000-0000-0000F05F0000}"/>
    <cellStyle name="Currency 8 3 6 2 2" xfId="29619" xr:uid="{00000000-0005-0000-0000-0000F15F0000}"/>
    <cellStyle name="Currency 8 3 6 3" xfId="21422" xr:uid="{00000000-0005-0000-0000-0000F25F0000}"/>
    <cellStyle name="Currency 8 3 7" xfId="9944" xr:uid="{00000000-0005-0000-0000-0000F35F0000}"/>
    <cellStyle name="Currency 8 3 8" xfId="21431" xr:uid="{00000000-0005-0000-0000-0000F45F0000}"/>
    <cellStyle name="Currency 8 4" xfId="6346" xr:uid="{00000000-0005-0000-0000-0000F55F0000}"/>
    <cellStyle name="Currency 8 4 2" xfId="6347" xr:uid="{00000000-0005-0000-0000-0000F65F0000}"/>
    <cellStyle name="Currency 8 4 2 2" xfId="11409" xr:uid="{00000000-0005-0000-0000-0000F75F0000}"/>
    <cellStyle name="Currency 8 4 2 3" xfId="21420" xr:uid="{00000000-0005-0000-0000-0000F85F0000}"/>
    <cellStyle name="Currency 8 4 3" xfId="6348" xr:uid="{00000000-0005-0000-0000-0000F95F0000}"/>
    <cellStyle name="Currency 8 4 3 2" xfId="17140" xr:uid="{00000000-0005-0000-0000-0000FA5F0000}"/>
    <cellStyle name="Currency 8 4 3 2 2" xfId="30499" xr:uid="{00000000-0005-0000-0000-0000FB5F0000}"/>
    <cellStyle name="Currency 8 4 3 3" xfId="21419" xr:uid="{00000000-0005-0000-0000-0000FC5F0000}"/>
    <cellStyle name="Currency 8 4 4" xfId="9946" xr:uid="{00000000-0005-0000-0000-0000FD5F0000}"/>
    <cellStyle name="Currency 8 4 5" xfId="21421" xr:uid="{00000000-0005-0000-0000-0000FE5F0000}"/>
    <cellStyle name="Currency 8 5" xfId="6349" xr:uid="{00000000-0005-0000-0000-0000FF5F0000}"/>
    <cellStyle name="Currency 8 5 2" xfId="6350" xr:uid="{00000000-0005-0000-0000-000000600000}"/>
    <cellStyle name="Currency 8 5 2 2" xfId="13209" xr:uid="{00000000-0005-0000-0000-000001600000}"/>
    <cellStyle name="Currency 8 5 2 3" xfId="21417" xr:uid="{00000000-0005-0000-0000-000002600000}"/>
    <cellStyle name="Currency 8 5 3" xfId="6351" xr:uid="{00000000-0005-0000-0000-000003600000}"/>
    <cellStyle name="Currency 8 5 3 2" xfId="17229" xr:uid="{00000000-0005-0000-0000-000004600000}"/>
    <cellStyle name="Currency 8 5 3 2 2" xfId="30588" xr:uid="{00000000-0005-0000-0000-000005600000}"/>
    <cellStyle name="Currency 8 5 3 3" xfId="21416" xr:uid="{00000000-0005-0000-0000-000006600000}"/>
    <cellStyle name="Currency 8 5 4" xfId="11876" xr:uid="{00000000-0005-0000-0000-000007600000}"/>
    <cellStyle name="Currency 8 5 4 2" xfId="25591" xr:uid="{00000000-0005-0000-0000-000008600000}"/>
    <cellStyle name="Currency 8 5 5" xfId="21418" xr:uid="{00000000-0005-0000-0000-000009600000}"/>
    <cellStyle name="Currency 8 6" xfId="6352" xr:uid="{00000000-0005-0000-0000-00000A600000}"/>
    <cellStyle name="Currency 8 6 2" xfId="6353" xr:uid="{00000000-0005-0000-0000-00000B600000}"/>
    <cellStyle name="Currency 8 6 2 2" xfId="15666" xr:uid="{00000000-0005-0000-0000-00000C600000}"/>
    <cellStyle name="Currency 8 6 2 3" xfId="21414" xr:uid="{00000000-0005-0000-0000-00000D600000}"/>
    <cellStyle name="Currency 8 6 3" xfId="6354" xr:uid="{00000000-0005-0000-0000-00000E600000}"/>
    <cellStyle name="Currency 8 6 3 2" xfId="16504" xr:uid="{00000000-0005-0000-0000-00000F600000}"/>
    <cellStyle name="Currency 8 6 3 2 2" xfId="29911" xr:uid="{00000000-0005-0000-0000-000010600000}"/>
    <cellStyle name="Currency 8 6 3 3" xfId="21413" xr:uid="{00000000-0005-0000-0000-000011600000}"/>
    <cellStyle name="Currency 8 6 4" xfId="13456" xr:uid="{00000000-0005-0000-0000-000012600000}"/>
    <cellStyle name="Currency 8 6 4 2" xfId="27005" xr:uid="{00000000-0005-0000-0000-000013600000}"/>
    <cellStyle name="Currency 8 6 5" xfId="21415" xr:uid="{00000000-0005-0000-0000-000014600000}"/>
    <cellStyle name="Currency 8 7" xfId="6355" xr:uid="{00000000-0005-0000-0000-000015600000}"/>
    <cellStyle name="Currency 8 7 2" xfId="14037" xr:uid="{00000000-0005-0000-0000-000016600000}"/>
    <cellStyle name="Currency 8 7 2 2" xfId="27586" xr:uid="{00000000-0005-0000-0000-000017600000}"/>
    <cellStyle name="Currency 8 7 3" xfId="21412" xr:uid="{00000000-0005-0000-0000-000018600000}"/>
    <cellStyle name="Currency 8 8" xfId="6356" xr:uid="{00000000-0005-0000-0000-000019600000}"/>
    <cellStyle name="Currency 8 8 2" xfId="15923" xr:uid="{00000000-0005-0000-0000-00001A600000}"/>
    <cellStyle name="Currency 8 8 2 2" xfId="29330" xr:uid="{00000000-0005-0000-0000-00001B600000}"/>
    <cellStyle name="Currency 8 8 3" xfId="21411" xr:uid="{00000000-0005-0000-0000-00001C600000}"/>
    <cellStyle name="Currency 8 9" xfId="9939" xr:uid="{00000000-0005-0000-0000-00001D600000}"/>
    <cellStyle name="Currency 9" xfId="6357" xr:uid="{00000000-0005-0000-0000-00001E600000}"/>
    <cellStyle name="Currency 9 2" xfId="9947" xr:uid="{00000000-0005-0000-0000-00001F600000}"/>
    <cellStyle name="Currency 9 3" xfId="21410" xr:uid="{00000000-0005-0000-0000-000020600000}"/>
    <cellStyle name="Currency0" xfId="6358" xr:uid="{00000000-0005-0000-0000-000021600000}"/>
    <cellStyle name="Currency0 2" xfId="6359" xr:uid="{00000000-0005-0000-0000-000022600000}"/>
    <cellStyle name="Currency0 2 2" xfId="6360" xr:uid="{00000000-0005-0000-0000-000023600000}"/>
    <cellStyle name="Currency0 2 2 2" xfId="17033" xr:uid="{00000000-0005-0000-0000-000024600000}"/>
    <cellStyle name="Currency0 2 2 3" xfId="21407" xr:uid="{00000000-0005-0000-0000-000025600000}"/>
    <cellStyle name="Currency0 2 3" xfId="8669" xr:uid="{00000000-0005-0000-0000-000026600000}"/>
    <cellStyle name="Currency0 2 4" xfId="21408" xr:uid="{00000000-0005-0000-0000-000027600000}"/>
    <cellStyle name="Currency0 3" xfId="6361" xr:uid="{00000000-0005-0000-0000-000028600000}"/>
    <cellStyle name="Currency0 3 2" xfId="8727" xr:uid="{00000000-0005-0000-0000-000029600000}"/>
    <cellStyle name="Currency0 3 2 2" xfId="17337" xr:uid="{00000000-0005-0000-0000-00002A600000}"/>
    <cellStyle name="Currency0 3 3" xfId="17296" xr:uid="{00000000-0005-0000-0000-00002B600000}"/>
    <cellStyle name="Currency0 3 4" xfId="9948" xr:uid="{00000000-0005-0000-0000-00002C600000}"/>
    <cellStyle name="Currency0 3 5" xfId="21406" xr:uid="{00000000-0005-0000-0000-00002D600000}"/>
    <cellStyle name="Currency0 4" xfId="8662" xr:uid="{00000000-0005-0000-0000-00002E600000}"/>
    <cellStyle name="Currency0 5" xfId="21409" xr:uid="{00000000-0005-0000-0000-00002F600000}"/>
    <cellStyle name="Date" xfId="6362" xr:uid="{00000000-0005-0000-0000-000030600000}"/>
    <cellStyle name="Date 2" xfId="6363" xr:uid="{00000000-0005-0000-0000-000031600000}"/>
    <cellStyle name="Date 2 2" xfId="6364" xr:uid="{00000000-0005-0000-0000-000032600000}"/>
    <cellStyle name="Date 2 2 2" xfId="17034" xr:uid="{00000000-0005-0000-0000-000033600000}"/>
    <cellStyle name="Date 2 2 3" xfId="21403" xr:uid="{00000000-0005-0000-0000-000034600000}"/>
    <cellStyle name="Date 2 3" xfId="8697" xr:uid="{00000000-0005-0000-0000-000035600000}"/>
    <cellStyle name="Date 2 4" xfId="21404" xr:uid="{00000000-0005-0000-0000-000036600000}"/>
    <cellStyle name="Date 3" xfId="6365" xr:uid="{00000000-0005-0000-0000-000037600000}"/>
    <cellStyle name="Date 3 2" xfId="8670" xr:uid="{00000000-0005-0000-0000-000038600000}"/>
    <cellStyle name="Date 3 3" xfId="21402" xr:uid="{00000000-0005-0000-0000-000039600000}"/>
    <cellStyle name="Date 4" xfId="6366" xr:uid="{00000000-0005-0000-0000-00003A600000}"/>
    <cellStyle name="Date 4 2" xfId="8741" xr:uid="{00000000-0005-0000-0000-00003B600000}"/>
    <cellStyle name="Date 4 2 2" xfId="17338" xr:uid="{00000000-0005-0000-0000-00003C600000}"/>
    <cellStyle name="Date 4 3" xfId="17297" xr:uid="{00000000-0005-0000-0000-00003D600000}"/>
    <cellStyle name="Date 4 4" xfId="9949" xr:uid="{00000000-0005-0000-0000-00003E600000}"/>
    <cellStyle name="Date 4 5" xfId="30691" xr:uid="{00000000-0005-0000-0000-00003F600000}"/>
    <cellStyle name="Date 5" xfId="8661" xr:uid="{00000000-0005-0000-0000-000040600000}"/>
    <cellStyle name="Date 6" xfId="21405" xr:uid="{00000000-0005-0000-0000-000041600000}"/>
    <cellStyle name="Explanatory Text" xfId="33036" builtinId="53" customBuiltin="1"/>
    <cellStyle name="Explanatory Text 2" xfId="6368" xr:uid="{00000000-0005-0000-0000-000043600000}"/>
    <cellStyle name="Explanatory Text 2 2" xfId="8740" xr:uid="{00000000-0005-0000-0000-000044600000}"/>
    <cellStyle name="Explanatory Text 2 3" xfId="30693" xr:uid="{00000000-0005-0000-0000-000045600000}"/>
    <cellStyle name="Explanatory Text 2 4" xfId="33059" xr:uid="{00000000-0005-0000-0000-000046600000}"/>
    <cellStyle name="Explanatory Text 3" xfId="8815" xr:uid="{00000000-0005-0000-0000-000047600000}"/>
    <cellStyle name="Explanatory Text 4" xfId="30692" xr:uid="{00000000-0005-0000-0000-000048600000}"/>
    <cellStyle name="Explanatory Text 5" xfId="6367" xr:uid="{00000000-0005-0000-0000-000049600000}"/>
    <cellStyle name="Fixed" xfId="6369" xr:uid="{00000000-0005-0000-0000-00004A600000}"/>
    <cellStyle name="Fixed 2" xfId="6370" xr:uid="{00000000-0005-0000-0000-00004B600000}"/>
    <cellStyle name="Fixed 2 2" xfId="6371" xr:uid="{00000000-0005-0000-0000-00004C600000}"/>
    <cellStyle name="Fixed 2 2 2" xfId="17035" xr:uid="{00000000-0005-0000-0000-00004D600000}"/>
    <cellStyle name="Fixed 2 2 3" xfId="30696" xr:uid="{00000000-0005-0000-0000-00004E600000}"/>
    <cellStyle name="Fixed 2 3" xfId="8671" xr:uid="{00000000-0005-0000-0000-00004F600000}"/>
    <cellStyle name="Fixed 2 4" xfId="30695" xr:uid="{00000000-0005-0000-0000-000050600000}"/>
    <cellStyle name="Fixed 3" xfId="6372" xr:uid="{00000000-0005-0000-0000-000051600000}"/>
    <cellStyle name="Fixed 3 2" xfId="8731" xr:uid="{00000000-0005-0000-0000-000052600000}"/>
    <cellStyle name="Fixed 3 2 2" xfId="17339" xr:uid="{00000000-0005-0000-0000-000053600000}"/>
    <cellStyle name="Fixed 3 3" xfId="17298" xr:uid="{00000000-0005-0000-0000-000054600000}"/>
    <cellStyle name="Fixed 3 4" xfId="9950" xr:uid="{00000000-0005-0000-0000-000055600000}"/>
    <cellStyle name="Fixed 3 5" xfId="30697" xr:uid="{00000000-0005-0000-0000-000056600000}"/>
    <cellStyle name="Fixed 4" xfId="8663" xr:uid="{00000000-0005-0000-0000-000057600000}"/>
    <cellStyle name="Fixed 5" xfId="30694" xr:uid="{00000000-0005-0000-0000-000058600000}"/>
    <cellStyle name="Good" xfId="19" builtinId="26" customBuiltin="1"/>
    <cellStyle name="Good 10" xfId="6373" xr:uid="{00000000-0005-0000-0000-00005A600000}"/>
    <cellStyle name="Good 10 2" xfId="9952" xr:uid="{00000000-0005-0000-0000-00005B600000}"/>
    <cellStyle name="Good 10 3" xfId="30698" xr:uid="{00000000-0005-0000-0000-00005C600000}"/>
    <cellStyle name="Good 11" xfId="6374" xr:uid="{00000000-0005-0000-0000-00005D600000}"/>
    <cellStyle name="Good 11 2" xfId="9953" xr:uid="{00000000-0005-0000-0000-00005E600000}"/>
    <cellStyle name="Good 11 3" xfId="30699" xr:uid="{00000000-0005-0000-0000-00005F600000}"/>
    <cellStyle name="Good 12" xfId="6375" xr:uid="{00000000-0005-0000-0000-000060600000}"/>
    <cellStyle name="Good 12 2" xfId="6376" xr:uid="{00000000-0005-0000-0000-000061600000}"/>
    <cellStyle name="Good 12 2 2" xfId="15667" xr:uid="{00000000-0005-0000-0000-000062600000}"/>
    <cellStyle name="Good 12 2 3" xfId="30701" xr:uid="{00000000-0005-0000-0000-000063600000}"/>
    <cellStyle name="Good 12 3" xfId="10489" xr:uid="{00000000-0005-0000-0000-000064600000}"/>
    <cellStyle name="Good 12 4" xfId="30700" xr:uid="{00000000-0005-0000-0000-000065600000}"/>
    <cellStyle name="Good 13" xfId="6377" xr:uid="{00000000-0005-0000-0000-000066600000}"/>
    <cellStyle name="Good 13 2" xfId="11410" xr:uid="{00000000-0005-0000-0000-000067600000}"/>
    <cellStyle name="Good 13 3" xfId="30702" xr:uid="{00000000-0005-0000-0000-000068600000}"/>
    <cellStyle name="Good 14" xfId="6378" xr:uid="{00000000-0005-0000-0000-000069600000}"/>
    <cellStyle name="Good 14 2" xfId="9951" xr:uid="{00000000-0005-0000-0000-00006A600000}"/>
    <cellStyle name="Good 14 3" xfId="30703" xr:uid="{00000000-0005-0000-0000-00006B600000}"/>
    <cellStyle name="Good 2" xfId="6379" xr:uid="{00000000-0005-0000-0000-00006C600000}"/>
    <cellStyle name="Good 2 2" xfId="9954" xr:uid="{00000000-0005-0000-0000-00006D600000}"/>
    <cellStyle name="Good 2 3" xfId="30704" xr:uid="{00000000-0005-0000-0000-00006E600000}"/>
    <cellStyle name="Good 2 4" xfId="33049" xr:uid="{00000000-0005-0000-0000-00006F600000}"/>
    <cellStyle name="Good 3" xfId="6380" xr:uid="{00000000-0005-0000-0000-000070600000}"/>
    <cellStyle name="Good 3 2" xfId="6381" xr:uid="{00000000-0005-0000-0000-000071600000}"/>
    <cellStyle name="Good 3 2 2" xfId="9956" xr:uid="{00000000-0005-0000-0000-000072600000}"/>
    <cellStyle name="Good 3 2 3" xfId="30706" xr:uid="{00000000-0005-0000-0000-000073600000}"/>
    <cellStyle name="Good 3 3" xfId="9955" xr:uid="{00000000-0005-0000-0000-000074600000}"/>
    <cellStyle name="Good 3 4" xfId="30705" xr:uid="{00000000-0005-0000-0000-000075600000}"/>
    <cellStyle name="Good 4" xfId="6382" xr:uid="{00000000-0005-0000-0000-000076600000}"/>
    <cellStyle name="Good 4 2" xfId="6383" xr:uid="{00000000-0005-0000-0000-000077600000}"/>
    <cellStyle name="Good 4 2 2" xfId="13211" xr:uid="{00000000-0005-0000-0000-000078600000}"/>
    <cellStyle name="Good 4 2 3" xfId="30708" xr:uid="{00000000-0005-0000-0000-000079600000}"/>
    <cellStyle name="Good 4 3" xfId="6384" xr:uid="{00000000-0005-0000-0000-00007A600000}"/>
    <cellStyle name="Good 4 3 2" xfId="13210" xr:uid="{00000000-0005-0000-0000-00007B600000}"/>
    <cellStyle name="Good 4 3 3" xfId="30709" xr:uid="{00000000-0005-0000-0000-00007C600000}"/>
    <cellStyle name="Good 4 4" xfId="9957" xr:uid="{00000000-0005-0000-0000-00007D600000}"/>
    <cellStyle name="Good 4 5" xfId="30707" xr:uid="{00000000-0005-0000-0000-00007E600000}"/>
    <cellStyle name="Good 5" xfId="6385" xr:uid="{00000000-0005-0000-0000-00007F600000}"/>
    <cellStyle name="Good 5 2" xfId="6386" xr:uid="{00000000-0005-0000-0000-000080600000}"/>
    <cellStyle name="Good 5 2 2" xfId="9959" xr:uid="{00000000-0005-0000-0000-000081600000}"/>
    <cellStyle name="Good 5 2 3" xfId="30711" xr:uid="{00000000-0005-0000-0000-000082600000}"/>
    <cellStyle name="Good 5 3" xfId="9958" xr:uid="{00000000-0005-0000-0000-000083600000}"/>
    <cellStyle name="Good 5 4" xfId="30710" xr:uid="{00000000-0005-0000-0000-000084600000}"/>
    <cellStyle name="Good 6" xfId="6387" xr:uid="{00000000-0005-0000-0000-000085600000}"/>
    <cellStyle name="Good 6 2" xfId="9960" xr:uid="{00000000-0005-0000-0000-000086600000}"/>
    <cellStyle name="Good 6 3" xfId="30712" xr:uid="{00000000-0005-0000-0000-000087600000}"/>
    <cellStyle name="Good 7" xfId="6388" xr:uid="{00000000-0005-0000-0000-000088600000}"/>
    <cellStyle name="Good 7 2" xfId="9961" xr:uid="{00000000-0005-0000-0000-000089600000}"/>
    <cellStyle name="Good 7 3" xfId="30713" xr:uid="{00000000-0005-0000-0000-00008A600000}"/>
    <cellStyle name="Good 8" xfId="6389" xr:uid="{00000000-0005-0000-0000-00008B600000}"/>
    <cellStyle name="Good 8 2" xfId="9962" xr:uid="{00000000-0005-0000-0000-00008C600000}"/>
    <cellStyle name="Good 8 3" xfId="30714" xr:uid="{00000000-0005-0000-0000-00008D600000}"/>
    <cellStyle name="Good 9" xfId="6390" xr:uid="{00000000-0005-0000-0000-00008E600000}"/>
    <cellStyle name="Good 9 2" xfId="9963" xr:uid="{00000000-0005-0000-0000-00008F600000}"/>
    <cellStyle name="Good 9 3" xfId="30715" xr:uid="{00000000-0005-0000-0000-000090600000}"/>
    <cellStyle name="Heading 1" xfId="15" builtinId="16" customBuiltin="1"/>
    <cellStyle name="Heading 1 2" xfId="6391" xr:uid="{00000000-0005-0000-0000-000092600000}"/>
    <cellStyle name="Heading 1 2 10" xfId="6392" xr:uid="{00000000-0005-0000-0000-000093600000}"/>
    <cellStyle name="Heading 1 2 10 2" xfId="6393" xr:uid="{00000000-0005-0000-0000-000094600000}"/>
    <cellStyle name="Heading 1 2 10 2 2" xfId="11412" xr:uid="{00000000-0005-0000-0000-000095600000}"/>
    <cellStyle name="Heading 1 2 10 2 3" xfId="30718" xr:uid="{00000000-0005-0000-0000-000096600000}"/>
    <cellStyle name="Heading 1 2 10 3" xfId="9966" xr:uid="{00000000-0005-0000-0000-000097600000}"/>
    <cellStyle name="Heading 1 2 10 4" xfId="30717" xr:uid="{00000000-0005-0000-0000-000098600000}"/>
    <cellStyle name="Heading 1 2 11" xfId="6394" xr:uid="{00000000-0005-0000-0000-000099600000}"/>
    <cellStyle name="Heading 1 2 11 2" xfId="6395" xr:uid="{00000000-0005-0000-0000-00009A600000}"/>
    <cellStyle name="Heading 1 2 11 2 2" xfId="11413" xr:uid="{00000000-0005-0000-0000-00009B600000}"/>
    <cellStyle name="Heading 1 2 11 2 3" xfId="30720" xr:uid="{00000000-0005-0000-0000-00009C600000}"/>
    <cellStyle name="Heading 1 2 11 3" xfId="9967" xr:uid="{00000000-0005-0000-0000-00009D600000}"/>
    <cellStyle name="Heading 1 2 11 4" xfId="30719" xr:uid="{00000000-0005-0000-0000-00009E600000}"/>
    <cellStyle name="Heading 1 2 12" xfId="6396" xr:uid="{00000000-0005-0000-0000-00009F600000}"/>
    <cellStyle name="Heading 1 2 12 2" xfId="6397" xr:uid="{00000000-0005-0000-0000-0000A0600000}"/>
    <cellStyle name="Heading 1 2 12 2 2" xfId="11414" xr:uid="{00000000-0005-0000-0000-0000A1600000}"/>
    <cellStyle name="Heading 1 2 12 2 3" xfId="30722" xr:uid="{00000000-0005-0000-0000-0000A2600000}"/>
    <cellStyle name="Heading 1 2 12 3" xfId="9968" xr:uid="{00000000-0005-0000-0000-0000A3600000}"/>
    <cellStyle name="Heading 1 2 12 4" xfId="30721" xr:uid="{00000000-0005-0000-0000-0000A4600000}"/>
    <cellStyle name="Heading 1 2 13" xfId="6398" xr:uid="{00000000-0005-0000-0000-0000A5600000}"/>
    <cellStyle name="Heading 1 2 13 2" xfId="6399" xr:uid="{00000000-0005-0000-0000-0000A6600000}"/>
    <cellStyle name="Heading 1 2 13 2 2" xfId="15668" xr:uid="{00000000-0005-0000-0000-0000A7600000}"/>
    <cellStyle name="Heading 1 2 13 2 3" xfId="30724" xr:uid="{00000000-0005-0000-0000-0000A8600000}"/>
    <cellStyle name="Heading 1 2 13 3" xfId="9969" xr:uid="{00000000-0005-0000-0000-0000A9600000}"/>
    <cellStyle name="Heading 1 2 13 4" xfId="30723" xr:uid="{00000000-0005-0000-0000-0000AA600000}"/>
    <cellStyle name="Heading 1 2 14" xfId="6400" xr:uid="{00000000-0005-0000-0000-0000AB600000}"/>
    <cellStyle name="Heading 1 2 14 2" xfId="6401" xr:uid="{00000000-0005-0000-0000-0000AC600000}"/>
    <cellStyle name="Heading 1 2 14 2 2" xfId="15669" xr:uid="{00000000-0005-0000-0000-0000AD600000}"/>
    <cellStyle name="Heading 1 2 14 2 3" xfId="30726" xr:uid="{00000000-0005-0000-0000-0000AE600000}"/>
    <cellStyle name="Heading 1 2 14 3" xfId="10490" xr:uid="{00000000-0005-0000-0000-0000AF600000}"/>
    <cellStyle name="Heading 1 2 14 4" xfId="30725" xr:uid="{00000000-0005-0000-0000-0000B0600000}"/>
    <cellStyle name="Heading 1 2 15" xfId="6402" xr:uid="{00000000-0005-0000-0000-0000B1600000}"/>
    <cellStyle name="Heading 1 2 15 2" xfId="11411" xr:uid="{00000000-0005-0000-0000-0000B2600000}"/>
    <cellStyle name="Heading 1 2 15 3" xfId="30727" xr:uid="{00000000-0005-0000-0000-0000B3600000}"/>
    <cellStyle name="Heading 1 2 16" xfId="8664" xr:uid="{00000000-0005-0000-0000-0000B4600000}"/>
    <cellStyle name="Heading 1 2 16 2" xfId="9965" xr:uid="{00000000-0005-0000-0000-0000B5600000}"/>
    <cellStyle name="Heading 1 2 17" xfId="17303" xr:uid="{00000000-0005-0000-0000-0000B6600000}"/>
    <cellStyle name="Heading 1 2 18" xfId="30716" xr:uid="{00000000-0005-0000-0000-0000B7600000}"/>
    <cellStyle name="Heading 1 2 19" xfId="33045" xr:uid="{00000000-0005-0000-0000-0000B8600000}"/>
    <cellStyle name="Heading 1 2 2" xfId="6403" xr:uid="{00000000-0005-0000-0000-0000B9600000}"/>
    <cellStyle name="Heading 1 2 2 2" xfId="6404" xr:uid="{00000000-0005-0000-0000-0000BA600000}"/>
    <cellStyle name="Heading 1 2 2 2 2" xfId="6405" xr:uid="{00000000-0005-0000-0000-0000BB600000}"/>
    <cellStyle name="Heading 1 2 2 2 2 2" xfId="11415" xr:uid="{00000000-0005-0000-0000-0000BC600000}"/>
    <cellStyle name="Heading 1 2 2 2 2 3" xfId="30730" xr:uid="{00000000-0005-0000-0000-0000BD600000}"/>
    <cellStyle name="Heading 1 2 2 2 3" xfId="9971" xr:uid="{00000000-0005-0000-0000-0000BE600000}"/>
    <cellStyle name="Heading 1 2 2 2 4" xfId="30729" xr:uid="{00000000-0005-0000-0000-0000BF600000}"/>
    <cellStyle name="Heading 1 2 2 3" xfId="6406" xr:uid="{00000000-0005-0000-0000-0000C0600000}"/>
    <cellStyle name="Heading 1 2 2 3 2" xfId="6407" xr:uid="{00000000-0005-0000-0000-0000C1600000}"/>
    <cellStyle name="Heading 1 2 2 3 2 2" xfId="15670" xr:uid="{00000000-0005-0000-0000-0000C2600000}"/>
    <cellStyle name="Heading 1 2 2 3 2 3" xfId="30732" xr:uid="{00000000-0005-0000-0000-0000C3600000}"/>
    <cellStyle name="Heading 1 2 2 3 3" xfId="11664" xr:uid="{00000000-0005-0000-0000-0000C4600000}"/>
    <cellStyle name="Heading 1 2 2 3 4" xfId="30731" xr:uid="{00000000-0005-0000-0000-0000C5600000}"/>
    <cellStyle name="Heading 1 2 2 4" xfId="6408" xr:uid="{00000000-0005-0000-0000-0000C6600000}"/>
    <cellStyle name="Heading 1 2 2 4 2" xfId="12089" xr:uid="{00000000-0005-0000-0000-0000C7600000}"/>
    <cellStyle name="Heading 1 2 2 4 3" xfId="30733" xr:uid="{00000000-0005-0000-0000-0000C8600000}"/>
    <cellStyle name="Heading 1 2 2 5" xfId="6409" xr:uid="{00000000-0005-0000-0000-0000C9600000}"/>
    <cellStyle name="Heading 1 2 2 5 2" xfId="9970" xr:uid="{00000000-0005-0000-0000-0000CA600000}"/>
    <cellStyle name="Heading 1 2 2 5 3" xfId="30734" xr:uid="{00000000-0005-0000-0000-0000CB600000}"/>
    <cellStyle name="Heading 1 2 2 6" xfId="8693" xr:uid="{00000000-0005-0000-0000-0000CC600000}"/>
    <cellStyle name="Heading 1 2 2 7" xfId="30728" xr:uid="{00000000-0005-0000-0000-0000CD600000}"/>
    <cellStyle name="Heading 1 2 3" xfId="6410" xr:uid="{00000000-0005-0000-0000-0000CE600000}"/>
    <cellStyle name="Heading 1 2 3 2" xfId="6411" xr:uid="{00000000-0005-0000-0000-0000CF600000}"/>
    <cellStyle name="Heading 1 2 3 2 2" xfId="9973" xr:uid="{00000000-0005-0000-0000-0000D0600000}"/>
    <cellStyle name="Heading 1 2 3 2 3" xfId="30736" xr:uid="{00000000-0005-0000-0000-0000D1600000}"/>
    <cellStyle name="Heading 1 2 3 3" xfId="6412" xr:uid="{00000000-0005-0000-0000-0000D2600000}"/>
    <cellStyle name="Heading 1 2 3 3 2" xfId="11416" xr:uid="{00000000-0005-0000-0000-0000D3600000}"/>
    <cellStyle name="Heading 1 2 3 3 3" xfId="30737" xr:uid="{00000000-0005-0000-0000-0000D4600000}"/>
    <cellStyle name="Heading 1 2 3 4" xfId="6413" xr:uid="{00000000-0005-0000-0000-0000D5600000}"/>
    <cellStyle name="Heading 1 2 3 4 2" xfId="17340" xr:uid="{00000000-0005-0000-0000-0000D6600000}"/>
    <cellStyle name="Heading 1 2 3 4 3" xfId="30738" xr:uid="{00000000-0005-0000-0000-0000D7600000}"/>
    <cellStyle name="Heading 1 2 3 5" xfId="8725" xr:uid="{00000000-0005-0000-0000-0000D8600000}"/>
    <cellStyle name="Heading 1 2 3 6" xfId="9972" xr:uid="{00000000-0005-0000-0000-0000D9600000}"/>
    <cellStyle name="Heading 1 2 3 7" xfId="30735" xr:uid="{00000000-0005-0000-0000-0000DA600000}"/>
    <cellStyle name="Heading 1 2 4" xfId="6414" xr:uid="{00000000-0005-0000-0000-0000DB600000}"/>
    <cellStyle name="Heading 1 2 4 2" xfId="6415" xr:uid="{00000000-0005-0000-0000-0000DC600000}"/>
    <cellStyle name="Heading 1 2 4 2 2" xfId="9975" xr:uid="{00000000-0005-0000-0000-0000DD600000}"/>
    <cellStyle name="Heading 1 2 4 2 3" xfId="30740" xr:uid="{00000000-0005-0000-0000-0000DE600000}"/>
    <cellStyle name="Heading 1 2 4 3" xfId="6416" xr:uid="{00000000-0005-0000-0000-0000DF600000}"/>
    <cellStyle name="Heading 1 2 4 3 2" xfId="13213" xr:uid="{00000000-0005-0000-0000-0000E0600000}"/>
    <cellStyle name="Heading 1 2 4 3 3" xfId="30741" xr:uid="{00000000-0005-0000-0000-0000E1600000}"/>
    <cellStyle name="Heading 1 2 4 4" xfId="6417" xr:uid="{00000000-0005-0000-0000-0000E2600000}"/>
    <cellStyle name="Heading 1 2 4 4 2" xfId="13212" xr:uid="{00000000-0005-0000-0000-0000E3600000}"/>
    <cellStyle name="Heading 1 2 4 4 3" xfId="30742" xr:uid="{00000000-0005-0000-0000-0000E4600000}"/>
    <cellStyle name="Heading 1 2 4 5" xfId="9974" xr:uid="{00000000-0005-0000-0000-0000E5600000}"/>
    <cellStyle name="Heading 1 2 4 6" xfId="30739" xr:uid="{00000000-0005-0000-0000-0000E6600000}"/>
    <cellStyle name="Heading 1 2 5" xfId="6418" xr:uid="{00000000-0005-0000-0000-0000E7600000}"/>
    <cellStyle name="Heading 1 2 5 2" xfId="6419" xr:uid="{00000000-0005-0000-0000-0000E8600000}"/>
    <cellStyle name="Heading 1 2 5 2 2" xfId="13215" xr:uid="{00000000-0005-0000-0000-0000E9600000}"/>
    <cellStyle name="Heading 1 2 5 2 3" xfId="30744" xr:uid="{00000000-0005-0000-0000-0000EA600000}"/>
    <cellStyle name="Heading 1 2 5 3" xfId="6420" xr:uid="{00000000-0005-0000-0000-0000EB600000}"/>
    <cellStyle name="Heading 1 2 5 3 2" xfId="13214" xr:uid="{00000000-0005-0000-0000-0000EC600000}"/>
    <cellStyle name="Heading 1 2 5 3 3" xfId="30745" xr:uid="{00000000-0005-0000-0000-0000ED600000}"/>
    <cellStyle name="Heading 1 2 5 4" xfId="6421" xr:uid="{00000000-0005-0000-0000-0000EE600000}"/>
    <cellStyle name="Heading 1 2 5 4 2" xfId="15671" xr:uid="{00000000-0005-0000-0000-0000EF600000}"/>
    <cellStyle name="Heading 1 2 5 4 3" xfId="30746" xr:uid="{00000000-0005-0000-0000-0000F0600000}"/>
    <cellStyle name="Heading 1 2 5 5" xfId="9976" xr:uid="{00000000-0005-0000-0000-0000F1600000}"/>
    <cellStyle name="Heading 1 2 5 6" xfId="30743" xr:uid="{00000000-0005-0000-0000-0000F2600000}"/>
    <cellStyle name="Heading 1 2 6" xfId="6422" xr:uid="{00000000-0005-0000-0000-0000F3600000}"/>
    <cellStyle name="Heading 1 2 6 2" xfId="6423" xr:uid="{00000000-0005-0000-0000-0000F4600000}"/>
    <cellStyle name="Heading 1 2 6 2 2" xfId="6424" xr:uid="{00000000-0005-0000-0000-0000F5600000}"/>
    <cellStyle name="Heading 1 2 6 2 2 2" xfId="11418" xr:uid="{00000000-0005-0000-0000-0000F6600000}"/>
    <cellStyle name="Heading 1 2 6 2 2 3" xfId="30749" xr:uid="{00000000-0005-0000-0000-0000F7600000}"/>
    <cellStyle name="Heading 1 2 6 2 3" xfId="9978" xr:uid="{00000000-0005-0000-0000-0000F8600000}"/>
    <cellStyle name="Heading 1 2 6 2 4" xfId="30748" xr:uid="{00000000-0005-0000-0000-0000F9600000}"/>
    <cellStyle name="Heading 1 2 6 3" xfId="6425" xr:uid="{00000000-0005-0000-0000-0000FA600000}"/>
    <cellStyle name="Heading 1 2 6 3 2" xfId="11417" xr:uid="{00000000-0005-0000-0000-0000FB600000}"/>
    <cellStyle name="Heading 1 2 6 3 3" xfId="30750" xr:uid="{00000000-0005-0000-0000-0000FC600000}"/>
    <cellStyle name="Heading 1 2 6 4" xfId="9977" xr:uid="{00000000-0005-0000-0000-0000FD600000}"/>
    <cellStyle name="Heading 1 2 6 5" xfId="30747" xr:uid="{00000000-0005-0000-0000-0000FE600000}"/>
    <cellStyle name="Heading 1 2 7" xfId="6426" xr:uid="{00000000-0005-0000-0000-0000FF600000}"/>
    <cellStyle name="Heading 1 2 7 2" xfId="6427" xr:uid="{00000000-0005-0000-0000-000000610000}"/>
    <cellStyle name="Heading 1 2 7 2 2" xfId="6428" xr:uid="{00000000-0005-0000-0000-000001610000}"/>
    <cellStyle name="Heading 1 2 7 2 2 2" xfId="11420" xr:uid="{00000000-0005-0000-0000-000002610000}"/>
    <cellStyle name="Heading 1 2 7 2 2 3" xfId="30753" xr:uid="{00000000-0005-0000-0000-000003610000}"/>
    <cellStyle name="Heading 1 2 7 2 3" xfId="9980" xr:uid="{00000000-0005-0000-0000-000004610000}"/>
    <cellStyle name="Heading 1 2 7 2 4" xfId="30752" xr:uid="{00000000-0005-0000-0000-000005610000}"/>
    <cellStyle name="Heading 1 2 7 3" xfId="6429" xr:uid="{00000000-0005-0000-0000-000006610000}"/>
    <cellStyle name="Heading 1 2 7 3 2" xfId="11419" xr:uid="{00000000-0005-0000-0000-000007610000}"/>
    <cellStyle name="Heading 1 2 7 3 3" xfId="30754" xr:uid="{00000000-0005-0000-0000-000008610000}"/>
    <cellStyle name="Heading 1 2 7 4" xfId="9979" xr:uid="{00000000-0005-0000-0000-000009610000}"/>
    <cellStyle name="Heading 1 2 7 5" xfId="30751" xr:uid="{00000000-0005-0000-0000-00000A610000}"/>
    <cellStyle name="Heading 1 2 8" xfId="6430" xr:uid="{00000000-0005-0000-0000-00000B610000}"/>
    <cellStyle name="Heading 1 2 8 2" xfId="6431" xr:uid="{00000000-0005-0000-0000-00000C610000}"/>
    <cellStyle name="Heading 1 2 8 2 2" xfId="11421" xr:uid="{00000000-0005-0000-0000-00000D610000}"/>
    <cellStyle name="Heading 1 2 8 2 3" xfId="30756" xr:uid="{00000000-0005-0000-0000-00000E610000}"/>
    <cellStyle name="Heading 1 2 8 3" xfId="9981" xr:uid="{00000000-0005-0000-0000-00000F610000}"/>
    <cellStyle name="Heading 1 2 8 4" xfId="30755" xr:uid="{00000000-0005-0000-0000-000010610000}"/>
    <cellStyle name="Heading 1 2 9" xfId="6432" xr:uid="{00000000-0005-0000-0000-000011610000}"/>
    <cellStyle name="Heading 1 2 9 2" xfId="6433" xr:uid="{00000000-0005-0000-0000-000012610000}"/>
    <cellStyle name="Heading 1 2 9 2 2" xfId="11422" xr:uid="{00000000-0005-0000-0000-000013610000}"/>
    <cellStyle name="Heading 1 2 9 2 3" xfId="30758" xr:uid="{00000000-0005-0000-0000-000014610000}"/>
    <cellStyle name="Heading 1 2 9 3" xfId="9982" xr:uid="{00000000-0005-0000-0000-000015610000}"/>
    <cellStyle name="Heading 1 2 9 4" xfId="30757" xr:uid="{00000000-0005-0000-0000-000016610000}"/>
    <cellStyle name="Heading 1 3" xfId="6434" xr:uid="{00000000-0005-0000-0000-000017610000}"/>
    <cellStyle name="Heading 1 3 2" xfId="8672" xr:uid="{00000000-0005-0000-0000-000018610000}"/>
    <cellStyle name="Heading 1 3 3" xfId="30759" xr:uid="{00000000-0005-0000-0000-000019610000}"/>
    <cellStyle name="Heading 1 3 4" xfId="33090" xr:uid="{00000000-0005-0000-0000-00001A610000}"/>
    <cellStyle name="Heading 1 4" xfId="6435" xr:uid="{00000000-0005-0000-0000-00001B610000}"/>
    <cellStyle name="Heading 1 4 2" xfId="9983" xr:uid="{00000000-0005-0000-0000-00001C610000}"/>
    <cellStyle name="Heading 1 4 3" xfId="30760" xr:uid="{00000000-0005-0000-0000-00001D610000}"/>
    <cellStyle name="Heading 1 5" xfId="6436" xr:uid="{00000000-0005-0000-0000-00001E610000}"/>
    <cellStyle name="Heading 1 5 2" xfId="9984" xr:uid="{00000000-0005-0000-0000-00001F610000}"/>
    <cellStyle name="Heading 1 5 3" xfId="30761" xr:uid="{00000000-0005-0000-0000-000020610000}"/>
    <cellStyle name="Heading 1 6" xfId="6437" xr:uid="{00000000-0005-0000-0000-000021610000}"/>
    <cellStyle name="Heading 1 6 2" xfId="9985" xr:uid="{00000000-0005-0000-0000-000022610000}"/>
    <cellStyle name="Heading 1 6 3" xfId="30762" xr:uid="{00000000-0005-0000-0000-000023610000}"/>
    <cellStyle name="Heading 1 7" xfId="6438" xr:uid="{00000000-0005-0000-0000-000024610000}"/>
    <cellStyle name="Heading 1 7 2" xfId="9986" xr:uid="{00000000-0005-0000-0000-000025610000}"/>
    <cellStyle name="Heading 1 7 3" xfId="30763" xr:uid="{00000000-0005-0000-0000-000026610000}"/>
    <cellStyle name="Heading 1 8" xfId="9964" xr:uid="{00000000-0005-0000-0000-000027610000}"/>
    <cellStyle name="Heading 2" xfId="16" builtinId="17" customBuiltin="1"/>
    <cellStyle name="Heading 2 2" xfId="6439" xr:uid="{00000000-0005-0000-0000-000029610000}"/>
    <cellStyle name="Heading 2 2 10" xfId="6440" xr:uid="{00000000-0005-0000-0000-00002A610000}"/>
    <cellStyle name="Heading 2 2 10 2" xfId="6441" xr:uid="{00000000-0005-0000-0000-00002B610000}"/>
    <cellStyle name="Heading 2 2 10 2 2" xfId="11424" xr:uid="{00000000-0005-0000-0000-00002C610000}"/>
    <cellStyle name="Heading 2 2 10 2 3" xfId="30766" xr:uid="{00000000-0005-0000-0000-00002D610000}"/>
    <cellStyle name="Heading 2 2 10 3" xfId="9989" xr:uid="{00000000-0005-0000-0000-00002E610000}"/>
    <cellStyle name="Heading 2 2 10 4" xfId="30765" xr:uid="{00000000-0005-0000-0000-00002F610000}"/>
    <cellStyle name="Heading 2 2 11" xfId="6442" xr:uid="{00000000-0005-0000-0000-000030610000}"/>
    <cellStyle name="Heading 2 2 11 2" xfId="6443" xr:uid="{00000000-0005-0000-0000-000031610000}"/>
    <cellStyle name="Heading 2 2 11 2 2" xfId="11425" xr:uid="{00000000-0005-0000-0000-000032610000}"/>
    <cellStyle name="Heading 2 2 11 2 3" xfId="30768" xr:uid="{00000000-0005-0000-0000-000033610000}"/>
    <cellStyle name="Heading 2 2 11 3" xfId="9990" xr:uid="{00000000-0005-0000-0000-000034610000}"/>
    <cellStyle name="Heading 2 2 11 4" xfId="30767" xr:uid="{00000000-0005-0000-0000-000035610000}"/>
    <cellStyle name="Heading 2 2 12" xfId="6444" xr:uid="{00000000-0005-0000-0000-000036610000}"/>
    <cellStyle name="Heading 2 2 12 2" xfId="6445" xr:uid="{00000000-0005-0000-0000-000037610000}"/>
    <cellStyle name="Heading 2 2 12 2 2" xfId="11426" xr:uid="{00000000-0005-0000-0000-000038610000}"/>
    <cellStyle name="Heading 2 2 12 2 3" xfId="30770" xr:uid="{00000000-0005-0000-0000-000039610000}"/>
    <cellStyle name="Heading 2 2 12 3" xfId="9991" xr:uid="{00000000-0005-0000-0000-00003A610000}"/>
    <cellStyle name="Heading 2 2 12 4" xfId="30769" xr:uid="{00000000-0005-0000-0000-00003B610000}"/>
    <cellStyle name="Heading 2 2 13" xfId="6446" xr:uid="{00000000-0005-0000-0000-00003C610000}"/>
    <cellStyle name="Heading 2 2 13 2" xfId="6447" xr:uid="{00000000-0005-0000-0000-00003D610000}"/>
    <cellStyle name="Heading 2 2 13 2 2" xfId="15672" xr:uid="{00000000-0005-0000-0000-00003E610000}"/>
    <cellStyle name="Heading 2 2 13 2 3" xfId="30772" xr:uid="{00000000-0005-0000-0000-00003F610000}"/>
    <cellStyle name="Heading 2 2 13 3" xfId="9992" xr:uid="{00000000-0005-0000-0000-000040610000}"/>
    <cellStyle name="Heading 2 2 13 4" xfId="30771" xr:uid="{00000000-0005-0000-0000-000041610000}"/>
    <cellStyle name="Heading 2 2 14" xfId="6448" xr:uid="{00000000-0005-0000-0000-000042610000}"/>
    <cellStyle name="Heading 2 2 14 2" xfId="6449" xr:uid="{00000000-0005-0000-0000-000043610000}"/>
    <cellStyle name="Heading 2 2 14 2 2" xfId="15673" xr:uid="{00000000-0005-0000-0000-000044610000}"/>
    <cellStyle name="Heading 2 2 14 2 3" xfId="30774" xr:uid="{00000000-0005-0000-0000-000045610000}"/>
    <cellStyle name="Heading 2 2 14 3" xfId="10491" xr:uid="{00000000-0005-0000-0000-000046610000}"/>
    <cellStyle name="Heading 2 2 14 4" xfId="30773" xr:uid="{00000000-0005-0000-0000-000047610000}"/>
    <cellStyle name="Heading 2 2 15" xfId="6450" xr:uid="{00000000-0005-0000-0000-000048610000}"/>
    <cellStyle name="Heading 2 2 15 2" xfId="11423" xr:uid="{00000000-0005-0000-0000-000049610000}"/>
    <cellStyle name="Heading 2 2 15 3" xfId="30775" xr:uid="{00000000-0005-0000-0000-00004A610000}"/>
    <cellStyle name="Heading 2 2 16" xfId="8665" xr:uid="{00000000-0005-0000-0000-00004B610000}"/>
    <cellStyle name="Heading 2 2 16 2" xfId="9988" xr:uid="{00000000-0005-0000-0000-00004C610000}"/>
    <cellStyle name="Heading 2 2 17" xfId="17304" xr:uid="{00000000-0005-0000-0000-00004D610000}"/>
    <cellStyle name="Heading 2 2 18" xfId="30764" xr:uid="{00000000-0005-0000-0000-00004E610000}"/>
    <cellStyle name="Heading 2 2 19" xfId="33046" xr:uid="{00000000-0005-0000-0000-00004F610000}"/>
    <cellStyle name="Heading 2 2 2" xfId="6451" xr:uid="{00000000-0005-0000-0000-000050610000}"/>
    <cellStyle name="Heading 2 2 2 2" xfId="6452" xr:uid="{00000000-0005-0000-0000-000051610000}"/>
    <cellStyle name="Heading 2 2 2 2 2" xfId="6453" xr:uid="{00000000-0005-0000-0000-000052610000}"/>
    <cellStyle name="Heading 2 2 2 2 2 2" xfId="11427" xr:uid="{00000000-0005-0000-0000-000053610000}"/>
    <cellStyle name="Heading 2 2 2 2 2 3" xfId="30778" xr:uid="{00000000-0005-0000-0000-000054610000}"/>
    <cellStyle name="Heading 2 2 2 2 3" xfId="9994" xr:uid="{00000000-0005-0000-0000-000055610000}"/>
    <cellStyle name="Heading 2 2 2 2 4" xfId="30777" xr:uid="{00000000-0005-0000-0000-000056610000}"/>
    <cellStyle name="Heading 2 2 2 3" xfId="6454" xr:uid="{00000000-0005-0000-0000-000057610000}"/>
    <cellStyle name="Heading 2 2 2 3 2" xfId="6455" xr:uid="{00000000-0005-0000-0000-000058610000}"/>
    <cellStyle name="Heading 2 2 2 3 2 2" xfId="15674" xr:uid="{00000000-0005-0000-0000-000059610000}"/>
    <cellStyle name="Heading 2 2 2 3 2 3" xfId="30780" xr:uid="{00000000-0005-0000-0000-00005A610000}"/>
    <cellStyle name="Heading 2 2 2 3 3" xfId="11727" xr:uid="{00000000-0005-0000-0000-00005B610000}"/>
    <cellStyle name="Heading 2 2 2 3 4" xfId="30779" xr:uid="{00000000-0005-0000-0000-00005C610000}"/>
    <cellStyle name="Heading 2 2 2 4" xfId="6456" xr:uid="{00000000-0005-0000-0000-00005D610000}"/>
    <cellStyle name="Heading 2 2 2 4 2" xfId="12103" xr:uid="{00000000-0005-0000-0000-00005E610000}"/>
    <cellStyle name="Heading 2 2 2 4 3" xfId="30781" xr:uid="{00000000-0005-0000-0000-00005F610000}"/>
    <cellStyle name="Heading 2 2 2 5" xfId="6457" xr:uid="{00000000-0005-0000-0000-000060610000}"/>
    <cellStyle name="Heading 2 2 2 5 2" xfId="9993" xr:uid="{00000000-0005-0000-0000-000061610000}"/>
    <cellStyle name="Heading 2 2 2 5 3" xfId="30782" xr:uid="{00000000-0005-0000-0000-000062610000}"/>
    <cellStyle name="Heading 2 2 2 6" xfId="8694" xr:uid="{00000000-0005-0000-0000-000063610000}"/>
    <cellStyle name="Heading 2 2 2 7" xfId="30776" xr:uid="{00000000-0005-0000-0000-000064610000}"/>
    <cellStyle name="Heading 2 2 3" xfId="6458" xr:uid="{00000000-0005-0000-0000-000065610000}"/>
    <cellStyle name="Heading 2 2 3 2" xfId="6459" xr:uid="{00000000-0005-0000-0000-000066610000}"/>
    <cellStyle name="Heading 2 2 3 2 2" xfId="9996" xr:uid="{00000000-0005-0000-0000-000067610000}"/>
    <cellStyle name="Heading 2 2 3 2 3" xfId="30784" xr:uid="{00000000-0005-0000-0000-000068610000}"/>
    <cellStyle name="Heading 2 2 3 3" xfId="6460" xr:uid="{00000000-0005-0000-0000-000069610000}"/>
    <cellStyle name="Heading 2 2 3 3 2" xfId="11428" xr:uid="{00000000-0005-0000-0000-00006A610000}"/>
    <cellStyle name="Heading 2 2 3 3 3" xfId="30785" xr:uid="{00000000-0005-0000-0000-00006B610000}"/>
    <cellStyle name="Heading 2 2 3 4" xfId="6461" xr:uid="{00000000-0005-0000-0000-00006C610000}"/>
    <cellStyle name="Heading 2 2 3 4 2" xfId="17341" xr:uid="{00000000-0005-0000-0000-00006D610000}"/>
    <cellStyle name="Heading 2 2 3 4 3" xfId="30786" xr:uid="{00000000-0005-0000-0000-00006E610000}"/>
    <cellStyle name="Heading 2 2 3 5" xfId="8729" xr:uid="{00000000-0005-0000-0000-00006F610000}"/>
    <cellStyle name="Heading 2 2 3 6" xfId="9995" xr:uid="{00000000-0005-0000-0000-000070610000}"/>
    <cellStyle name="Heading 2 2 3 7" xfId="30783" xr:uid="{00000000-0005-0000-0000-000071610000}"/>
    <cellStyle name="Heading 2 2 4" xfId="6462" xr:uid="{00000000-0005-0000-0000-000072610000}"/>
    <cellStyle name="Heading 2 2 4 2" xfId="6463" xr:uid="{00000000-0005-0000-0000-000073610000}"/>
    <cellStyle name="Heading 2 2 4 2 2" xfId="9998" xr:uid="{00000000-0005-0000-0000-000074610000}"/>
    <cellStyle name="Heading 2 2 4 2 3" xfId="30788" xr:uid="{00000000-0005-0000-0000-000075610000}"/>
    <cellStyle name="Heading 2 2 4 3" xfId="6464" xr:uid="{00000000-0005-0000-0000-000076610000}"/>
    <cellStyle name="Heading 2 2 4 3 2" xfId="13217" xr:uid="{00000000-0005-0000-0000-000077610000}"/>
    <cellStyle name="Heading 2 2 4 3 3" xfId="30789" xr:uid="{00000000-0005-0000-0000-000078610000}"/>
    <cellStyle name="Heading 2 2 4 4" xfId="6465" xr:uid="{00000000-0005-0000-0000-000079610000}"/>
    <cellStyle name="Heading 2 2 4 4 2" xfId="13216" xr:uid="{00000000-0005-0000-0000-00007A610000}"/>
    <cellStyle name="Heading 2 2 4 4 3" xfId="30790" xr:uid="{00000000-0005-0000-0000-00007B610000}"/>
    <cellStyle name="Heading 2 2 4 5" xfId="9997" xr:uid="{00000000-0005-0000-0000-00007C610000}"/>
    <cellStyle name="Heading 2 2 4 6" xfId="30787" xr:uid="{00000000-0005-0000-0000-00007D610000}"/>
    <cellStyle name="Heading 2 2 5" xfId="6466" xr:uid="{00000000-0005-0000-0000-00007E610000}"/>
    <cellStyle name="Heading 2 2 5 2" xfId="6467" xr:uid="{00000000-0005-0000-0000-00007F610000}"/>
    <cellStyle name="Heading 2 2 5 2 2" xfId="13219" xr:uid="{00000000-0005-0000-0000-000080610000}"/>
    <cellStyle name="Heading 2 2 5 2 3" xfId="30792" xr:uid="{00000000-0005-0000-0000-000081610000}"/>
    <cellStyle name="Heading 2 2 5 3" xfId="6468" xr:uid="{00000000-0005-0000-0000-000082610000}"/>
    <cellStyle name="Heading 2 2 5 3 2" xfId="13218" xr:uid="{00000000-0005-0000-0000-000083610000}"/>
    <cellStyle name="Heading 2 2 5 3 3" xfId="30793" xr:uid="{00000000-0005-0000-0000-000084610000}"/>
    <cellStyle name="Heading 2 2 5 4" xfId="6469" xr:uid="{00000000-0005-0000-0000-000085610000}"/>
    <cellStyle name="Heading 2 2 5 4 2" xfId="15675" xr:uid="{00000000-0005-0000-0000-000086610000}"/>
    <cellStyle name="Heading 2 2 5 4 3" xfId="30794" xr:uid="{00000000-0005-0000-0000-000087610000}"/>
    <cellStyle name="Heading 2 2 5 5" xfId="9999" xr:uid="{00000000-0005-0000-0000-000088610000}"/>
    <cellStyle name="Heading 2 2 5 6" xfId="30791" xr:uid="{00000000-0005-0000-0000-000089610000}"/>
    <cellStyle name="Heading 2 2 6" xfId="6470" xr:uid="{00000000-0005-0000-0000-00008A610000}"/>
    <cellStyle name="Heading 2 2 6 2" xfId="6471" xr:uid="{00000000-0005-0000-0000-00008B610000}"/>
    <cellStyle name="Heading 2 2 6 2 2" xfId="6472" xr:uid="{00000000-0005-0000-0000-00008C610000}"/>
    <cellStyle name="Heading 2 2 6 2 2 2" xfId="11430" xr:uid="{00000000-0005-0000-0000-00008D610000}"/>
    <cellStyle name="Heading 2 2 6 2 2 3" xfId="30797" xr:uid="{00000000-0005-0000-0000-00008E610000}"/>
    <cellStyle name="Heading 2 2 6 2 3" xfId="10001" xr:uid="{00000000-0005-0000-0000-00008F610000}"/>
    <cellStyle name="Heading 2 2 6 2 4" xfId="30796" xr:uid="{00000000-0005-0000-0000-000090610000}"/>
    <cellStyle name="Heading 2 2 6 3" xfId="6473" xr:uid="{00000000-0005-0000-0000-000091610000}"/>
    <cellStyle name="Heading 2 2 6 3 2" xfId="11429" xr:uid="{00000000-0005-0000-0000-000092610000}"/>
    <cellStyle name="Heading 2 2 6 3 3" xfId="30798" xr:uid="{00000000-0005-0000-0000-000093610000}"/>
    <cellStyle name="Heading 2 2 6 4" xfId="10000" xr:uid="{00000000-0005-0000-0000-000094610000}"/>
    <cellStyle name="Heading 2 2 6 5" xfId="30795" xr:uid="{00000000-0005-0000-0000-000095610000}"/>
    <cellStyle name="Heading 2 2 7" xfId="6474" xr:uid="{00000000-0005-0000-0000-000096610000}"/>
    <cellStyle name="Heading 2 2 7 2" xfId="6475" xr:uid="{00000000-0005-0000-0000-000097610000}"/>
    <cellStyle name="Heading 2 2 7 2 2" xfId="6476" xr:uid="{00000000-0005-0000-0000-000098610000}"/>
    <cellStyle name="Heading 2 2 7 2 2 2" xfId="11432" xr:uid="{00000000-0005-0000-0000-000099610000}"/>
    <cellStyle name="Heading 2 2 7 2 2 3" xfId="30801" xr:uid="{00000000-0005-0000-0000-00009A610000}"/>
    <cellStyle name="Heading 2 2 7 2 3" xfId="10003" xr:uid="{00000000-0005-0000-0000-00009B610000}"/>
    <cellStyle name="Heading 2 2 7 2 4" xfId="30800" xr:uid="{00000000-0005-0000-0000-00009C610000}"/>
    <cellStyle name="Heading 2 2 7 3" xfId="6477" xr:uid="{00000000-0005-0000-0000-00009D610000}"/>
    <cellStyle name="Heading 2 2 7 3 2" xfId="11431" xr:uid="{00000000-0005-0000-0000-00009E610000}"/>
    <cellStyle name="Heading 2 2 7 3 3" xfId="30802" xr:uid="{00000000-0005-0000-0000-00009F610000}"/>
    <cellStyle name="Heading 2 2 7 4" xfId="10002" xr:uid="{00000000-0005-0000-0000-0000A0610000}"/>
    <cellStyle name="Heading 2 2 7 5" xfId="30799" xr:uid="{00000000-0005-0000-0000-0000A1610000}"/>
    <cellStyle name="Heading 2 2 8" xfId="6478" xr:uid="{00000000-0005-0000-0000-0000A2610000}"/>
    <cellStyle name="Heading 2 2 8 2" xfId="6479" xr:uid="{00000000-0005-0000-0000-0000A3610000}"/>
    <cellStyle name="Heading 2 2 8 2 2" xfId="11433" xr:uid="{00000000-0005-0000-0000-0000A4610000}"/>
    <cellStyle name="Heading 2 2 8 2 3" xfId="30804" xr:uid="{00000000-0005-0000-0000-0000A5610000}"/>
    <cellStyle name="Heading 2 2 8 3" xfId="10004" xr:uid="{00000000-0005-0000-0000-0000A6610000}"/>
    <cellStyle name="Heading 2 2 8 4" xfId="30803" xr:uid="{00000000-0005-0000-0000-0000A7610000}"/>
    <cellStyle name="Heading 2 2 9" xfId="6480" xr:uid="{00000000-0005-0000-0000-0000A8610000}"/>
    <cellStyle name="Heading 2 2 9 2" xfId="6481" xr:uid="{00000000-0005-0000-0000-0000A9610000}"/>
    <cellStyle name="Heading 2 2 9 2 2" xfId="11434" xr:uid="{00000000-0005-0000-0000-0000AA610000}"/>
    <cellStyle name="Heading 2 2 9 2 3" xfId="30806" xr:uid="{00000000-0005-0000-0000-0000AB610000}"/>
    <cellStyle name="Heading 2 2 9 3" xfId="10005" xr:uid="{00000000-0005-0000-0000-0000AC610000}"/>
    <cellStyle name="Heading 2 2 9 4" xfId="30805" xr:uid="{00000000-0005-0000-0000-0000AD610000}"/>
    <cellStyle name="Heading 2 3" xfId="6482" xr:uid="{00000000-0005-0000-0000-0000AE610000}"/>
    <cellStyle name="Heading 2 3 2" xfId="8673" xr:uid="{00000000-0005-0000-0000-0000AF610000}"/>
    <cellStyle name="Heading 2 3 3" xfId="30807" xr:uid="{00000000-0005-0000-0000-0000B0610000}"/>
    <cellStyle name="Heading 2 3 4" xfId="33091" xr:uid="{00000000-0005-0000-0000-0000B1610000}"/>
    <cellStyle name="Heading 2 4" xfId="6483" xr:uid="{00000000-0005-0000-0000-0000B2610000}"/>
    <cellStyle name="Heading 2 4 2" xfId="10006" xr:uid="{00000000-0005-0000-0000-0000B3610000}"/>
    <cellStyle name="Heading 2 4 3" xfId="30808" xr:uid="{00000000-0005-0000-0000-0000B4610000}"/>
    <cellStyle name="Heading 2 5" xfId="6484" xr:uid="{00000000-0005-0000-0000-0000B5610000}"/>
    <cellStyle name="Heading 2 5 2" xfId="10007" xr:uid="{00000000-0005-0000-0000-0000B6610000}"/>
    <cellStyle name="Heading 2 5 3" xfId="30809" xr:uid="{00000000-0005-0000-0000-0000B7610000}"/>
    <cellStyle name="Heading 2 6" xfId="6485" xr:uid="{00000000-0005-0000-0000-0000B8610000}"/>
    <cellStyle name="Heading 2 6 2" xfId="10008" xr:uid="{00000000-0005-0000-0000-0000B9610000}"/>
    <cellStyle name="Heading 2 6 3" xfId="30810" xr:uid="{00000000-0005-0000-0000-0000BA610000}"/>
    <cellStyle name="Heading 2 7" xfId="6486" xr:uid="{00000000-0005-0000-0000-0000BB610000}"/>
    <cellStyle name="Heading 2 7 2" xfId="10009" xr:uid="{00000000-0005-0000-0000-0000BC610000}"/>
    <cellStyle name="Heading 2 7 3" xfId="30811" xr:uid="{00000000-0005-0000-0000-0000BD610000}"/>
    <cellStyle name="Heading 2 8" xfId="9987" xr:uid="{00000000-0005-0000-0000-0000BE610000}"/>
    <cellStyle name="Heading 3" xfId="17" builtinId="18" customBuiltin="1"/>
    <cellStyle name="Heading 3 10" xfId="6487" xr:uid="{00000000-0005-0000-0000-0000C0610000}"/>
    <cellStyle name="Heading 3 10 2" xfId="6488" xr:uid="{00000000-0005-0000-0000-0000C1610000}"/>
    <cellStyle name="Heading 3 10 2 2" xfId="11436" xr:uid="{00000000-0005-0000-0000-0000C2610000}"/>
    <cellStyle name="Heading 3 10 2 3" xfId="30813" xr:uid="{00000000-0005-0000-0000-0000C3610000}"/>
    <cellStyle name="Heading 3 10 3" xfId="10011" xr:uid="{00000000-0005-0000-0000-0000C4610000}"/>
    <cellStyle name="Heading 3 10 4" xfId="30812" xr:uid="{00000000-0005-0000-0000-0000C5610000}"/>
    <cellStyle name="Heading 3 11" xfId="6489" xr:uid="{00000000-0005-0000-0000-0000C6610000}"/>
    <cellStyle name="Heading 3 11 2" xfId="6490" xr:uid="{00000000-0005-0000-0000-0000C7610000}"/>
    <cellStyle name="Heading 3 11 2 2" xfId="11437" xr:uid="{00000000-0005-0000-0000-0000C8610000}"/>
    <cellStyle name="Heading 3 11 2 3" xfId="30815" xr:uid="{00000000-0005-0000-0000-0000C9610000}"/>
    <cellStyle name="Heading 3 11 3" xfId="10012" xr:uid="{00000000-0005-0000-0000-0000CA610000}"/>
    <cellStyle name="Heading 3 11 4" xfId="30814" xr:uid="{00000000-0005-0000-0000-0000CB610000}"/>
    <cellStyle name="Heading 3 12" xfId="6491" xr:uid="{00000000-0005-0000-0000-0000CC610000}"/>
    <cellStyle name="Heading 3 12 2" xfId="6492" xr:uid="{00000000-0005-0000-0000-0000CD610000}"/>
    <cellStyle name="Heading 3 12 2 2" xfId="15676" xr:uid="{00000000-0005-0000-0000-0000CE610000}"/>
    <cellStyle name="Heading 3 12 2 3" xfId="30817" xr:uid="{00000000-0005-0000-0000-0000CF610000}"/>
    <cellStyle name="Heading 3 12 3" xfId="10013" xr:uid="{00000000-0005-0000-0000-0000D0610000}"/>
    <cellStyle name="Heading 3 12 4" xfId="30816" xr:uid="{00000000-0005-0000-0000-0000D1610000}"/>
    <cellStyle name="Heading 3 13" xfId="6493" xr:uid="{00000000-0005-0000-0000-0000D2610000}"/>
    <cellStyle name="Heading 3 13 2" xfId="6494" xr:uid="{00000000-0005-0000-0000-0000D3610000}"/>
    <cellStyle name="Heading 3 13 2 2" xfId="15677" xr:uid="{00000000-0005-0000-0000-0000D4610000}"/>
    <cellStyle name="Heading 3 13 2 3" xfId="30819" xr:uid="{00000000-0005-0000-0000-0000D5610000}"/>
    <cellStyle name="Heading 3 13 3" xfId="10492" xr:uid="{00000000-0005-0000-0000-0000D6610000}"/>
    <cellStyle name="Heading 3 13 4" xfId="30818" xr:uid="{00000000-0005-0000-0000-0000D7610000}"/>
    <cellStyle name="Heading 3 14" xfId="6495" xr:uid="{00000000-0005-0000-0000-0000D8610000}"/>
    <cellStyle name="Heading 3 14 2" xfId="11435" xr:uid="{00000000-0005-0000-0000-0000D9610000}"/>
    <cellStyle name="Heading 3 14 3" xfId="30820" xr:uid="{00000000-0005-0000-0000-0000DA610000}"/>
    <cellStyle name="Heading 3 15" xfId="6496" xr:uid="{00000000-0005-0000-0000-0000DB610000}"/>
    <cellStyle name="Heading 3 15 2" xfId="10010" xr:uid="{00000000-0005-0000-0000-0000DC610000}"/>
    <cellStyle name="Heading 3 15 3" xfId="30821" xr:uid="{00000000-0005-0000-0000-0000DD610000}"/>
    <cellStyle name="Heading 3 2" xfId="6497" xr:uid="{00000000-0005-0000-0000-0000DE610000}"/>
    <cellStyle name="Heading 3 2 2" xfId="6498" xr:uid="{00000000-0005-0000-0000-0000DF610000}"/>
    <cellStyle name="Heading 3 2 2 2" xfId="11694" xr:uid="{00000000-0005-0000-0000-0000E0610000}"/>
    <cellStyle name="Heading 3 2 2 3" xfId="30823" xr:uid="{00000000-0005-0000-0000-0000E1610000}"/>
    <cellStyle name="Heading 3 2 3" xfId="6499" xr:uid="{00000000-0005-0000-0000-0000E2610000}"/>
    <cellStyle name="Heading 3 2 3 2" xfId="17342" xr:uid="{00000000-0005-0000-0000-0000E3610000}"/>
    <cellStyle name="Heading 3 2 3 3" xfId="30824" xr:uid="{00000000-0005-0000-0000-0000E4610000}"/>
    <cellStyle name="Heading 3 2 4" xfId="8734" xr:uid="{00000000-0005-0000-0000-0000E5610000}"/>
    <cellStyle name="Heading 3 2 5" xfId="10014" xr:uid="{00000000-0005-0000-0000-0000E6610000}"/>
    <cellStyle name="Heading 3 2 6" xfId="30822" xr:uid="{00000000-0005-0000-0000-0000E7610000}"/>
    <cellStyle name="Heading 3 2 7" xfId="33047" xr:uid="{00000000-0005-0000-0000-0000E8610000}"/>
    <cellStyle name="Heading 3 3" xfId="6500" xr:uid="{00000000-0005-0000-0000-0000E9610000}"/>
    <cellStyle name="Heading 3 3 2" xfId="6501" xr:uid="{00000000-0005-0000-0000-0000EA610000}"/>
    <cellStyle name="Heading 3 3 2 2" xfId="10016" xr:uid="{00000000-0005-0000-0000-0000EB610000}"/>
    <cellStyle name="Heading 3 3 2 3" xfId="30826" xr:uid="{00000000-0005-0000-0000-0000EC610000}"/>
    <cellStyle name="Heading 3 3 3" xfId="6502" xr:uid="{00000000-0005-0000-0000-0000ED610000}"/>
    <cellStyle name="Heading 3 3 3 2" xfId="13220" xr:uid="{00000000-0005-0000-0000-0000EE610000}"/>
    <cellStyle name="Heading 3 3 3 3" xfId="30827" xr:uid="{00000000-0005-0000-0000-0000EF610000}"/>
    <cellStyle name="Heading 3 3 4" xfId="10015" xr:uid="{00000000-0005-0000-0000-0000F0610000}"/>
    <cellStyle name="Heading 3 3 5" xfId="30825" xr:uid="{00000000-0005-0000-0000-0000F1610000}"/>
    <cellStyle name="Heading 3 4" xfId="6503" xr:uid="{00000000-0005-0000-0000-0000F2610000}"/>
    <cellStyle name="Heading 3 4 2" xfId="6504" xr:uid="{00000000-0005-0000-0000-0000F3610000}"/>
    <cellStyle name="Heading 3 4 2 2" xfId="10018" xr:uid="{00000000-0005-0000-0000-0000F4610000}"/>
    <cellStyle name="Heading 3 4 2 3" xfId="30829" xr:uid="{00000000-0005-0000-0000-0000F5610000}"/>
    <cellStyle name="Heading 3 4 3" xfId="6505" xr:uid="{00000000-0005-0000-0000-0000F6610000}"/>
    <cellStyle name="Heading 3 4 3 2" xfId="13222" xr:uid="{00000000-0005-0000-0000-0000F7610000}"/>
    <cellStyle name="Heading 3 4 3 3" xfId="30830" xr:uid="{00000000-0005-0000-0000-0000F8610000}"/>
    <cellStyle name="Heading 3 4 4" xfId="6506" xr:uid="{00000000-0005-0000-0000-0000F9610000}"/>
    <cellStyle name="Heading 3 4 4 2" xfId="13221" xr:uid="{00000000-0005-0000-0000-0000FA610000}"/>
    <cellStyle name="Heading 3 4 4 3" xfId="30831" xr:uid="{00000000-0005-0000-0000-0000FB610000}"/>
    <cellStyle name="Heading 3 4 5" xfId="10017" xr:uid="{00000000-0005-0000-0000-0000FC610000}"/>
    <cellStyle name="Heading 3 4 6" xfId="30828" xr:uid="{00000000-0005-0000-0000-0000FD610000}"/>
    <cellStyle name="Heading 3 5" xfId="6507" xr:uid="{00000000-0005-0000-0000-0000FE610000}"/>
    <cellStyle name="Heading 3 5 2" xfId="6508" xr:uid="{00000000-0005-0000-0000-0000FF610000}"/>
    <cellStyle name="Heading 3 5 2 2" xfId="6509" xr:uid="{00000000-0005-0000-0000-000000620000}"/>
    <cellStyle name="Heading 3 5 2 2 2" xfId="11439" xr:uid="{00000000-0005-0000-0000-000001620000}"/>
    <cellStyle name="Heading 3 5 2 2 3" xfId="30834" xr:uid="{00000000-0005-0000-0000-000002620000}"/>
    <cellStyle name="Heading 3 5 2 3" xfId="10020" xr:uid="{00000000-0005-0000-0000-000003620000}"/>
    <cellStyle name="Heading 3 5 2 4" xfId="30833" xr:uid="{00000000-0005-0000-0000-000004620000}"/>
    <cellStyle name="Heading 3 5 3" xfId="6510" xr:uid="{00000000-0005-0000-0000-000005620000}"/>
    <cellStyle name="Heading 3 5 3 2" xfId="11438" xr:uid="{00000000-0005-0000-0000-000006620000}"/>
    <cellStyle name="Heading 3 5 3 3" xfId="30835" xr:uid="{00000000-0005-0000-0000-000007620000}"/>
    <cellStyle name="Heading 3 5 4" xfId="6511" xr:uid="{00000000-0005-0000-0000-000008620000}"/>
    <cellStyle name="Heading 3 5 4 2" xfId="13223" xr:uid="{00000000-0005-0000-0000-000009620000}"/>
    <cellStyle name="Heading 3 5 4 3" xfId="30836" xr:uid="{00000000-0005-0000-0000-00000A620000}"/>
    <cellStyle name="Heading 3 5 5" xfId="6512" xr:uid="{00000000-0005-0000-0000-00000B620000}"/>
    <cellStyle name="Heading 3 5 5 2" xfId="15678" xr:uid="{00000000-0005-0000-0000-00000C620000}"/>
    <cellStyle name="Heading 3 5 5 3" xfId="30837" xr:uid="{00000000-0005-0000-0000-00000D620000}"/>
    <cellStyle name="Heading 3 5 6" xfId="10019" xr:uid="{00000000-0005-0000-0000-00000E620000}"/>
    <cellStyle name="Heading 3 5 7" xfId="30832" xr:uid="{00000000-0005-0000-0000-00000F620000}"/>
    <cellStyle name="Heading 3 6" xfId="6513" xr:uid="{00000000-0005-0000-0000-000010620000}"/>
    <cellStyle name="Heading 3 6 2" xfId="6514" xr:uid="{00000000-0005-0000-0000-000011620000}"/>
    <cellStyle name="Heading 3 6 2 2" xfId="6515" xr:uid="{00000000-0005-0000-0000-000012620000}"/>
    <cellStyle name="Heading 3 6 2 2 2" xfId="11441" xr:uid="{00000000-0005-0000-0000-000013620000}"/>
    <cellStyle name="Heading 3 6 2 2 3" xfId="30840" xr:uid="{00000000-0005-0000-0000-000014620000}"/>
    <cellStyle name="Heading 3 6 2 3" xfId="10022" xr:uid="{00000000-0005-0000-0000-000015620000}"/>
    <cellStyle name="Heading 3 6 2 4" xfId="30839" xr:uid="{00000000-0005-0000-0000-000016620000}"/>
    <cellStyle name="Heading 3 6 3" xfId="6516" xr:uid="{00000000-0005-0000-0000-000017620000}"/>
    <cellStyle name="Heading 3 6 3 2" xfId="11440" xr:uid="{00000000-0005-0000-0000-000018620000}"/>
    <cellStyle name="Heading 3 6 3 3" xfId="30841" xr:uid="{00000000-0005-0000-0000-000019620000}"/>
    <cellStyle name="Heading 3 6 4" xfId="10021" xr:uid="{00000000-0005-0000-0000-00001A620000}"/>
    <cellStyle name="Heading 3 6 5" xfId="30838" xr:uid="{00000000-0005-0000-0000-00001B620000}"/>
    <cellStyle name="Heading 3 7" xfId="6517" xr:uid="{00000000-0005-0000-0000-00001C620000}"/>
    <cellStyle name="Heading 3 7 2" xfId="6518" xr:uid="{00000000-0005-0000-0000-00001D620000}"/>
    <cellStyle name="Heading 3 7 2 2" xfId="11442" xr:uid="{00000000-0005-0000-0000-00001E620000}"/>
    <cellStyle name="Heading 3 7 2 3" xfId="30843" xr:uid="{00000000-0005-0000-0000-00001F620000}"/>
    <cellStyle name="Heading 3 7 3" xfId="10023" xr:uid="{00000000-0005-0000-0000-000020620000}"/>
    <cellStyle name="Heading 3 7 4" xfId="30842" xr:uid="{00000000-0005-0000-0000-000021620000}"/>
    <cellStyle name="Heading 3 8" xfId="6519" xr:uid="{00000000-0005-0000-0000-000022620000}"/>
    <cellStyle name="Heading 3 8 2" xfId="6520" xr:uid="{00000000-0005-0000-0000-000023620000}"/>
    <cellStyle name="Heading 3 8 2 2" xfId="11443" xr:uid="{00000000-0005-0000-0000-000024620000}"/>
    <cellStyle name="Heading 3 8 2 3" xfId="30845" xr:uid="{00000000-0005-0000-0000-000025620000}"/>
    <cellStyle name="Heading 3 8 3" xfId="10024" xr:uid="{00000000-0005-0000-0000-000026620000}"/>
    <cellStyle name="Heading 3 8 4" xfId="30844" xr:uid="{00000000-0005-0000-0000-000027620000}"/>
    <cellStyle name="Heading 3 9" xfId="6521" xr:uid="{00000000-0005-0000-0000-000028620000}"/>
    <cellStyle name="Heading 3 9 2" xfId="6522" xr:uid="{00000000-0005-0000-0000-000029620000}"/>
    <cellStyle name="Heading 3 9 2 2" xfId="11444" xr:uid="{00000000-0005-0000-0000-00002A620000}"/>
    <cellStyle name="Heading 3 9 2 3" xfId="30847" xr:uid="{00000000-0005-0000-0000-00002B620000}"/>
    <cellStyle name="Heading 3 9 3" xfId="10025" xr:uid="{00000000-0005-0000-0000-00002C620000}"/>
    <cellStyle name="Heading 3 9 4" xfId="30846" xr:uid="{00000000-0005-0000-0000-00002D620000}"/>
    <cellStyle name="Heading 4" xfId="18" builtinId="19" customBuiltin="1"/>
    <cellStyle name="Heading 4 10" xfId="6523" xr:uid="{00000000-0005-0000-0000-00002F620000}"/>
    <cellStyle name="Heading 4 10 2" xfId="6524" xr:uid="{00000000-0005-0000-0000-000030620000}"/>
    <cellStyle name="Heading 4 10 2 2" xfId="11446" xr:uid="{00000000-0005-0000-0000-000031620000}"/>
    <cellStyle name="Heading 4 10 2 3" xfId="30849" xr:uid="{00000000-0005-0000-0000-000032620000}"/>
    <cellStyle name="Heading 4 10 3" xfId="10027" xr:uid="{00000000-0005-0000-0000-000033620000}"/>
    <cellStyle name="Heading 4 10 4" xfId="30848" xr:uid="{00000000-0005-0000-0000-000034620000}"/>
    <cellStyle name="Heading 4 11" xfId="6525" xr:uid="{00000000-0005-0000-0000-000035620000}"/>
    <cellStyle name="Heading 4 11 2" xfId="6526" xr:uid="{00000000-0005-0000-0000-000036620000}"/>
    <cellStyle name="Heading 4 11 2 2" xfId="15679" xr:uid="{00000000-0005-0000-0000-000037620000}"/>
    <cellStyle name="Heading 4 11 2 3" xfId="30851" xr:uid="{00000000-0005-0000-0000-000038620000}"/>
    <cellStyle name="Heading 4 11 3" xfId="10028" xr:uid="{00000000-0005-0000-0000-000039620000}"/>
    <cellStyle name="Heading 4 11 4" xfId="30850" xr:uid="{00000000-0005-0000-0000-00003A620000}"/>
    <cellStyle name="Heading 4 12" xfId="6527" xr:uid="{00000000-0005-0000-0000-00003B620000}"/>
    <cellStyle name="Heading 4 12 2" xfId="6528" xr:uid="{00000000-0005-0000-0000-00003C620000}"/>
    <cellStyle name="Heading 4 12 2 2" xfId="15680" xr:uid="{00000000-0005-0000-0000-00003D620000}"/>
    <cellStyle name="Heading 4 12 2 3" xfId="30853" xr:uid="{00000000-0005-0000-0000-00003E620000}"/>
    <cellStyle name="Heading 4 12 3" xfId="10493" xr:uid="{00000000-0005-0000-0000-00003F620000}"/>
    <cellStyle name="Heading 4 12 4" xfId="30852" xr:uid="{00000000-0005-0000-0000-000040620000}"/>
    <cellStyle name="Heading 4 13" xfId="6529" xr:uid="{00000000-0005-0000-0000-000041620000}"/>
    <cellStyle name="Heading 4 13 2" xfId="11445" xr:uid="{00000000-0005-0000-0000-000042620000}"/>
    <cellStyle name="Heading 4 13 3" xfId="30854" xr:uid="{00000000-0005-0000-0000-000043620000}"/>
    <cellStyle name="Heading 4 14" xfId="6530" xr:uid="{00000000-0005-0000-0000-000044620000}"/>
    <cellStyle name="Heading 4 14 2" xfId="10026" xr:uid="{00000000-0005-0000-0000-000045620000}"/>
    <cellStyle name="Heading 4 14 3" xfId="30855" xr:uid="{00000000-0005-0000-0000-000046620000}"/>
    <cellStyle name="Heading 4 2" xfId="6531" xr:uid="{00000000-0005-0000-0000-000047620000}"/>
    <cellStyle name="Heading 4 2 2" xfId="6532" xr:uid="{00000000-0005-0000-0000-000048620000}"/>
    <cellStyle name="Heading 4 2 2 2" xfId="10030" xr:uid="{00000000-0005-0000-0000-000049620000}"/>
    <cellStyle name="Heading 4 2 2 3" xfId="30857" xr:uid="{00000000-0005-0000-0000-00004A620000}"/>
    <cellStyle name="Heading 4 2 3" xfId="6533" xr:uid="{00000000-0005-0000-0000-00004B620000}"/>
    <cellStyle name="Heading 4 2 3 2" xfId="13224" xr:uid="{00000000-0005-0000-0000-00004C620000}"/>
    <cellStyle name="Heading 4 2 3 3" xfId="30858" xr:uid="{00000000-0005-0000-0000-00004D620000}"/>
    <cellStyle name="Heading 4 2 4" xfId="10029" xr:uid="{00000000-0005-0000-0000-00004E620000}"/>
    <cellStyle name="Heading 4 2 5" xfId="30856" xr:uid="{00000000-0005-0000-0000-00004F620000}"/>
    <cellStyle name="Heading 4 2 6" xfId="33048" xr:uid="{00000000-0005-0000-0000-000050620000}"/>
    <cellStyle name="Heading 4 3" xfId="6534" xr:uid="{00000000-0005-0000-0000-000051620000}"/>
    <cellStyle name="Heading 4 3 2" xfId="6535" xr:uid="{00000000-0005-0000-0000-000052620000}"/>
    <cellStyle name="Heading 4 3 2 2" xfId="10032" xr:uid="{00000000-0005-0000-0000-000053620000}"/>
    <cellStyle name="Heading 4 3 2 3" xfId="30860" xr:uid="{00000000-0005-0000-0000-000054620000}"/>
    <cellStyle name="Heading 4 3 3" xfId="6536" xr:uid="{00000000-0005-0000-0000-000055620000}"/>
    <cellStyle name="Heading 4 3 3 2" xfId="13226" xr:uid="{00000000-0005-0000-0000-000056620000}"/>
    <cellStyle name="Heading 4 3 3 3" xfId="30861" xr:uid="{00000000-0005-0000-0000-000057620000}"/>
    <cellStyle name="Heading 4 3 4" xfId="6537" xr:uid="{00000000-0005-0000-0000-000058620000}"/>
    <cellStyle name="Heading 4 3 4 2" xfId="13225" xr:uid="{00000000-0005-0000-0000-000059620000}"/>
    <cellStyle name="Heading 4 3 4 3" xfId="30862" xr:uid="{00000000-0005-0000-0000-00005A620000}"/>
    <cellStyle name="Heading 4 3 5" xfId="10031" xr:uid="{00000000-0005-0000-0000-00005B620000}"/>
    <cellStyle name="Heading 4 3 6" xfId="30859" xr:uid="{00000000-0005-0000-0000-00005C620000}"/>
    <cellStyle name="Heading 4 4" xfId="6538" xr:uid="{00000000-0005-0000-0000-00005D620000}"/>
    <cellStyle name="Heading 4 4 2" xfId="6539" xr:uid="{00000000-0005-0000-0000-00005E620000}"/>
    <cellStyle name="Heading 4 4 2 2" xfId="6540" xr:uid="{00000000-0005-0000-0000-00005F620000}"/>
    <cellStyle name="Heading 4 4 2 2 2" xfId="11448" xr:uid="{00000000-0005-0000-0000-000060620000}"/>
    <cellStyle name="Heading 4 4 2 2 3" xfId="30865" xr:uid="{00000000-0005-0000-0000-000061620000}"/>
    <cellStyle name="Heading 4 4 2 3" xfId="10034" xr:uid="{00000000-0005-0000-0000-000062620000}"/>
    <cellStyle name="Heading 4 4 2 4" xfId="30864" xr:uid="{00000000-0005-0000-0000-000063620000}"/>
    <cellStyle name="Heading 4 4 3" xfId="6541" xr:uid="{00000000-0005-0000-0000-000064620000}"/>
    <cellStyle name="Heading 4 4 3 2" xfId="11447" xr:uid="{00000000-0005-0000-0000-000065620000}"/>
    <cellStyle name="Heading 4 4 3 3" xfId="30866" xr:uid="{00000000-0005-0000-0000-000066620000}"/>
    <cellStyle name="Heading 4 4 4" xfId="6542" xr:uid="{00000000-0005-0000-0000-000067620000}"/>
    <cellStyle name="Heading 4 4 4 2" xfId="13227" xr:uid="{00000000-0005-0000-0000-000068620000}"/>
    <cellStyle name="Heading 4 4 4 3" xfId="30867" xr:uid="{00000000-0005-0000-0000-000069620000}"/>
    <cellStyle name="Heading 4 4 5" xfId="6543" xr:uid="{00000000-0005-0000-0000-00006A620000}"/>
    <cellStyle name="Heading 4 4 5 2" xfId="15681" xr:uid="{00000000-0005-0000-0000-00006B620000}"/>
    <cellStyle name="Heading 4 4 5 3" xfId="30868" xr:uid="{00000000-0005-0000-0000-00006C620000}"/>
    <cellStyle name="Heading 4 4 6" xfId="10033" xr:uid="{00000000-0005-0000-0000-00006D620000}"/>
    <cellStyle name="Heading 4 4 7" xfId="30863" xr:uid="{00000000-0005-0000-0000-00006E620000}"/>
    <cellStyle name="Heading 4 5" xfId="6544" xr:uid="{00000000-0005-0000-0000-00006F620000}"/>
    <cellStyle name="Heading 4 5 2" xfId="6545" xr:uid="{00000000-0005-0000-0000-000070620000}"/>
    <cellStyle name="Heading 4 5 2 2" xfId="6546" xr:uid="{00000000-0005-0000-0000-000071620000}"/>
    <cellStyle name="Heading 4 5 2 2 2" xfId="11450" xr:uid="{00000000-0005-0000-0000-000072620000}"/>
    <cellStyle name="Heading 4 5 2 2 3" xfId="30871" xr:uid="{00000000-0005-0000-0000-000073620000}"/>
    <cellStyle name="Heading 4 5 2 3" xfId="10036" xr:uid="{00000000-0005-0000-0000-000074620000}"/>
    <cellStyle name="Heading 4 5 2 4" xfId="30870" xr:uid="{00000000-0005-0000-0000-000075620000}"/>
    <cellStyle name="Heading 4 5 3" xfId="6547" xr:uid="{00000000-0005-0000-0000-000076620000}"/>
    <cellStyle name="Heading 4 5 3 2" xfId="11449" xr:uid="{00000000-0005-0000-0000-000077620000}"/>
    <cellStyle name="Heading 4 5 3 3" xfId="30872" xr:uid="{00000000-0005-0000-0000-000078620000}"/>
    <cellStyle name="Heading 4 5 4" xfId="10035" xr:uid="{00000000-0005-0000-0000-000079620000}"/>
    <cellStyle name="Heading 4 5 5" xfId="30869" xr:uid="{00000000-0005-0000-0000-00007A620000}"/>
    <cellStyle name="Heading 4 6" xfId="6548" xr:uid="{00000000-0005-0000-0000-00007B620000}"/>
    <cellStyle name="Heading 4 6 2" xfId="6549" xr:uid="{00000000-0005-0000-0000-00007C620000}"/>
    <cellStyle name="Heading 4 6 2 2" xfId="11451" xr:uid="{00000000-0005-0000-0000-00007D620000}"/>
    <cellStyle name="Heading 4 6 2 3" xfId="30874" xr:uid="{00000000-0005-0000-0000-00007E620000}"/>
    <cellStyle name="Heading 4 6 3" xfId="10037" xr:uid="{00000000-0005-0000-0000-00007F620000}"/>
    <cellStyle name="Heading 4 6 4" xfId="30873" xr:uid="{00000000-0005-0000-0000-000080620000}"/>
    <cellStyle name="Heading 4 7" xfId="6550" xr:uid="{00000000-0005-0000-0000-000081620000}"/>
    <cellStyle name="Heading 4 7 2" xfId="6551" xr:uid="{00000000-0005-0000-0000-000082620000}"/>
    <cellStyle name="Heading 4 7 2 2" xfId="11452" xr:uid="{00000000-0005-0000-0000-000083620000}"/>
    <cellStyle name="Heading 4 7 2 3" xfId="30876" xr:uid="{00000000-0005-0000-0000-000084620000}"/>
    <cellStyle name="Heading 4 7 3" xfId="10038" xr:uid="{00000000-0005-0000-0000-000085620000}"/>
    <cellStyle name="Heading 4 7 4" xfId="30875" xr:uid="{00000000-0005-0000-0000-000086620000}"/>
    <cellStyle name="Heading 4 8" xfId="6552" xr:uid="{00000000-0005-0000-0000-000087620000}"/>
    <cellStyle name="Heading 4 8 2" xfId="6553" xr:uid="{00000000-0005-0000-0000-000088620000}"/>
    <cellStyle name="Heading 4 8 2 2" xfId="11453" xr:uid="{00000000-0005-0000-0000-000089620000}"/>
    <cellStyle name="Heading 4 8 2 3" xfId="30878" xr:uid="{00000000-0005-0000-0000-00008A620000}"/>
    <cellStyle name="Heading 4 8 3" xfId="10039" xr:uid="{00000000-0005-0000-0000-00008B620000}"/>
    <cellStyle name="Heading 4 8 4" xfId="30877" xr:uid="{00000000-0005-0000-0000-00008C620000}"/>
    <cellStyle name="Heading 4 9" xfId="6554" xr:uid="{00000000-0005-0000-0000-00008D620000}"/>
    <cellStyle name="Heading 4 9 2" xfId="6555" xr:uid="{00000000-0005-0000-0000-00008E620000}"/>
    <cellStyle name="Heading 4 9 2 2" xfId="11454" xr:uid="{00000000-0005-0000-0000-00008F620000}"/>
    <cellStyle name="Heading 4 9 2 3" xfId="30880" xr:uid="{00000000-0005-0000-0000-000090620000}"/>
    <cellStyle name="Heading 4 9 3" xfId="10040" xr:uid="{00000000-0005-0000-0000-000091620000}"/>
    <cellStyle name="Heading 4 9 4" xfId="30879" xr:uid="{00000000-0005-0000-0000-000092620000}"/>
    <cellStyle name="Hyperlink" xfId="7" builtinId="8"/>
    <cellStyle name="Hyperlink 2" xfId="6556" xr:uid="{00000000-0005-0000-0000-000094620000}"/>
    <cellStyle name="Hyperlink 2 2" xfId="8699" xr:uid="{00000000-0005-0000-0000-000095620000}"/>
    <cellStyle name="Hyperlink 2 3" xfId="30881" xr:uid="{00000000-0005-0000-0000-000096620000}"/>
    <cellStyle name="Hyperlink 2 4" xfId="33097" xr:uid="{00000000-0005-0000-0000-000097620000}"/>
    <cellStyle name="Hyperlink 3" xfId="6557" xr:uid="{00000000-0005-0000-0000-000098620000}"/>
    <cellStyle name="Hyperlink 3 2" xfId="10041" xr:uid="{00000000-0005-0000-0000-000099620000}"/>
    <cellStyle name="Hyperlink 3 3" xfId="30882" xr:uid="{00000000-0005-0000-0000-00009A620000}"/>
    <cellStyle name="Input" xfId="22" builtinId="20" customBuiltin="1"/>
    <cellStyle name="Input 10" xfId="6558" xr:uid="{00000000-0005-0000-0000-00009C620000}"/>
    <cellStyle name="Input 10 2" xfId="10043" xr:uid="{00000000-0005-0000-0000-00009D620000}"/>
    <cellStyle name="Input 10 3" xfId="30883" xr:uid="{00000000-0005-0000-0000-00009E620000}"/>
    <cellStyle name="Input 11" xfId="6559" xr:uid="{00000000-0005-0000-0000-00009F620000}"/>
    <cellStyle name="Input 11 2" xfId="10044" xr:uid="{00000000-0005-0000-0000-0000A0620000}"/>
    <cellStyle name="Input 11 3" xfId="30884" xr:uid="{00000000-0005-0000-0000-0000A1620000}"/>
    <cellStyle name="Input 12" xfId="6560" xr:uid="{00000000-0005-0000-0000-0000A2620000}"/>
    <cellStyle name="Input 12 2" xfId="6561" xr:uid="{00000000-0005-0000-0000-0000A3620000}"/>
    <cellStyle name="Input 12 2 2" xfId="15682" xr:uid="{00000000-0005-0000-0000-0000A4620000}"/>
    <cellStyle name="Input 12 2 3" xfId="30886" xr:uid="{00000000-0005-0000-0000-0000A5620000}"/>
    <cellStyle name="Input 12 3" xfId="10494" xr:uid="{00000000-0005-0000-0000-0000A6620000}"/>
    <cellStyle name="Input 12 4" xfId="30885" xr:uid="{00000000-0005-0000-0000-0000A7620000}"/>
    <cellStyle name="Input 13" xfId="6562" xr:uid="{00000000-0005-0000-0000-0000A8620000}"/>
    <cellStyle name="Input 13 2" xfId="11455" xr:uid="{00000000-0005-0000-0000-0000A9620000}"/>
    <cellStyle name="Input 13 3" xfId="30887" xr:uid="{00000000-0005-0000-0000-0000AA620000}"/>
    <cellStyle name="Input 14" xfId="6563" xr:uid="{00000000-0005-0000-0000-0000AB620000}"/>
    <cellStyle name="Input 14 2" xfId="10042" xr:uid="{00000000-0005-0000-0000-0000AC620000}"/>
    <cellStyle name="Input 14 3" xfId="30888" xr:uid="{00000000-0005-0000-0000-0000AD620000}"/>
    <cellStyle name="Input 2" xfId="6564" xr:uid="{00000000-0005-0000-0000-0000AE620000}"/>
    <cellStyle name="Input 2 2" xfId="10045" xr:uid="{00000000-0005-0000-0000-0000AF620000}"/>
    <cellStyle name="Input 2 3" xfId="30889" xr:uid="{00000000-0005-0000-0000-0000B0620000}"/>
    <cellStyle name="Input 2 4" xfId="33052" xr:uid="{00000000-0005-0000-0000-0000B1620000}"/>
    <cellStyle name="Input 3" xfId="6565" xr:uid="{00000000-0005-0000-0000-0000B2620000}"/>
    <cellStyle name="Input 3 2" xfId="6566" xr:uid="{00000000-0005-0000-0000-0000B3620000}"/>
    <cellStyle name="Input 3 2 2" xfId="10047" xr:uid="{00000000-0005-0000-0000-0000B4620000}"/>
    <cellStyle name="Input 3 2 3" xfId="30891" xr:uid="{00000000-0005-0000-0000-0000B5620000}"/>
    <cellStyle name="Input 3 3" xfId="10046" xr:uid="{00000000-0005-0000-0000-0000B6620000}"/>
    <cellStyle name="Input 3 4" xfId="30890" xr:uid="{00000000-0005-0000-0000-0000B7620000}"/>
    <cellStyle name="Input 4" xfId="6567" xr:uid="{00000000-0005-0000-0000-0000B8620000}"/>
    <cellStyle name="Input 4 2" xfId="6568" xr:uid="{00000000-0005-0000-0000-0000B9620000}"/>
    <cellStyle name="Input 4 2 2" xfId="13229" xr:uid="{00000000-0005-0000-0000-0000BA620000}"/>
    <cellStyle name="Input 4 2 3" xfId="30893" xr:uid="{00000000-0005-0000-0000-0000BB620000}"/>
    <cellStyle name="Input 4 3" xfId="6569" xr:uid="{00000000-0005-0000-0000-0000BC620000}"/>
    <cellStyle name="Input 4 3 2" xfId="13228" xr:uid="{00000000-0005-0000-0000-0000BD620000}"/>
    <cellStyle name="Input 4 3 3" xfId="30894" xr:uid="{00000000-0005-0000-0000-0000BE620000}"/>
    <cellStyle name="Input 4 4" xfId="10048" xr:uid="{00000000-0005-0000-0000-0000BF620000}"/>
    <cellStyle name="Input 4 5" xfId="30892" xr:uid="{00000000-0005-0000-0000-0000C0620000}"/>
    <cellStyle name="Input 5" xfId="6570" xr:uid="{00000000-0005-0000-0000-0000C1620000}"/>
    <cellStyle name="Input 5 2" xfId="6571" xr:uid="{00000000-0005-0000-0000-0000C2620000}"/>
    <cellStyle name="Input 5 2 2" xfId="10050" xr:uid="{00000000-0005-0000-0000-0000C3620000}"/>
    <cellStyle name="Input 5 2 3" xfId="30896" xr:uid="{00000000-0005-0000-0000-0000C4620000}"/>
    <cellStyle name="Input 5 3" xfId="10049" xr:uid="{00000000-0005-0000-0000-0000C5620000}"/>
    <cellStyle name="Input 5 4" xfId="30895" xr:uid="{00000000-0005-0000-0000-0000C6620000}"/>
    <cellStyle name="Input 6" xfId="6572" xr:uid="{00000000-0005-0000-0000-0000C7620000}"/>
    <cellStyle name="Input 6 2" xfId="10051" xr:uid="{00000000-0005-0000-0000-0000C8620000}"/>
    <cellStyle name="Input 6 3" xfId="30897" xr:uid="{00000000-0005-0000-0000-0000C9620000}"/>
    <cellStyle name="Input 7" xfId="6573" xr:uid="{00000000-0005-0000-0000-0000CA620000}"/>
    <cellStyle name="Input 7 2" xfId="10052" xr:uid="{00000000-0005-0000-0000-0000CB620000}"/>
    <cellStyle name="Input 7 3" xfId="30898" xr:uid="{00000000-0005-0000-0000-0000CC620000}"/>
    <cellStyle name="Input 8" xfId="6574" xr:uid="{00000000-0005-0000-0000-0000CD620000}"/>
    <cellStyle name="Input 8 2" xfId="10053" xr:uid="{00000000-0005-0000-0000-0000CE620000}"/>
    <cellStyle name="Input 8 3" xfId="30899" xr:uid="{00000000-0005-0000-0000-0000CF620000}"/>
    <cellStyle name="Input 9" xfId="6575" xr:uid="{00000000-0005-0000-0000-0000D0620000}"/>
    <cellStyle name="Input 9 2" xfId="10054" xr:uid="{00000000-0005-0000-0000-0000D1620000}"/>
    <cellStyle name="Input 9 3" xfId="30900" xr:uid="{00000000-0005-0000-0000-0000D2620000}"/>
    <cellStyle name="Linked Cell" xfId="25" builtinId="24" customBuiltin="1"/>
    <cellStyle name="Linked Cell 10" xfId="6576" xr:uid="{00000000-0005-0000-0000-0000D4620000}"/>
    <cellStyle name="Linked Cell 10 2" xfId="6577" xr:uid="{00000000-0005-0000-0000-0000D5620000}"/>
    <cellStyle name="Linked Cell 10 2 2" xfId="11457" xr:uid="{00000000-0005-0000-0000-0000D6620000}"/>
    <cellStyle name="Linked Cell 10 2 3" xfId="30902" xr:uid="{00000000-0005-0000-0000-0000D7620000}"/>
    <cellStyle name="Linked Cell 10 3" xfId="10056" xr:uid="{00000000-0005-0000-0000-0000D8620000}"/>
    <cellStyle name="Linked Cell 10 4" xfId="30901" xr:uid="{00000000-0005-0000-0000-0000D9620000}"/>
    <cellStyle name="Linked Cell 11" xfId="6578" xr:uid="{00000000-0005-0000-0000-0000DA620000}"/>
    <cellStyle name="Linked Cell 11 2" xfId="6579" xr:uid="{00000000-0005-0000-0000-0000DB620000}"/>
    <cellStyle name="Linked Cell 11 2 2" xfId="11458" xr:uid="{00000000-0005-0000-0000-0000DC620000}"/>
    <cellStyle name="Linked Cell 11 2 3" xfId="30904" xr:uid="{00000000-0005-0000-0000-0000DD620000}"/>
    <cellStyle name="Linked Cell 11 3" xfId="10057" xr:uid="{00000000-0005-0000-0000-0000DE620000}"/>
    <cellStyle name="Linked Cell 11 4" xfId="30903" xr:uid="{00000000-0005-0000-0000-0000DF620000}"/>
    <cellStyle name="Linked Cell 12" xfId="6580" xr:uid="{00000000-0005-0000-0000-0000E0620000}"/>
    <cellStyle name="Linked Cell 12 2" xfId="6581" xr:uid="{00000000-0005-0000-0000-0000E1620000}"/>
    <cellStyle name="Linked Cell 12 2 2" xfId="15683" xr:uid="{00000000-0005-0000-0000-0000E2620000}"/>
    <cellStyle name="Linked Cell 12 2 3" xfId="30906" xr:uid="{00000000-0005-0000-0000-0000E3620000}"/>
    <cellStyle name="Linked Cell 12 3" xfId="10058" xr:uid="{00000000-0005-0000-0000-0000E4620000}"/>
    <cellStyle name="Linked Cell 12 4" xfId="30905" xr:uid="{00000000-0005-0000-0000-0000E5620000}"/>
    <cellStyle name="Linked Cell 13" xfId="6582" xr:uid="{00000000-0005-0000-0000-0000E6620000}"/>
    <cellStyle name="Linked Cell 13 2" xfId="6583" xr:uid="{00000000-0005-0000-0000-0000E7620000}"/>
    <cellStyle name="Linked Cell 13 2 2" xfId="15684" xr:uid="{00000000-0005-0000-0000-0000E8620000}"/>
    <cellStyle name="Linked Cell 13 2 3" xfId="30908" xr:uid="{00000000-0005-0000-0000-0000E9620000}"/>
    <cellStyle name="Linked Cell 13 3" xfId="10495" xr:uid="{00000000-0005-0000-0000-0000EA620000}"/>
    <cellStyle name="Linked Cell 13 4" xfId="30907" xr:uid="{00000000-0005-0000-0000-0000EB620000}"/>
    <cellStyle name="Linked Cell 14" xfId="6584" xr:uid="{00000000-0005-0000-0000-0000EC620000}"/>
    <cellStyle name="Linked Cell 14 2" xfId="11456" xr:uid="{00000000-0005-0000-0000-0000ED620000}"/>
    <cellStyle name="Linked Cell 14 3" xfId="30909" xr:uid="{00000000-0005-0000-0000-0000EE620000}"/>
    <cellStyle name="Linked Cell 15" xfId="6585" xr:uid="{00000000-0005-0000-0000-0000EF620000}"/>
    <cellStyle name="Linked Cell 15 2" xfId="10055" xr:uid="{00000000-0005-0000-0000-0000F0620000}"/>
    <cellStyle name="Linked Cell 15 3" xfId="30910" xr:uid="{00000000-0005-0000-0000-0000F1620000}"/>
    <cellStyle name="Linked Cell 2" xfId="6586" xr:uid="{00000000-0005-0000-0000-0000F2620000}"/>
    <cellStyle name="Linked Cell 2 2" xfId="6587" xr:uid="{00000000-0005-0000-0000-0000F3620000}"/>
    <cellStyle name="Linked Cell 2 2 2" xfId="10060" xr:uid="{00000000-0005-0000-0000-0000F4620000}"/>
    <cellStyle name="Linked Cell 2 2 3" xfId="30912" xr:uid="{00000000-0005-0000-0000-0000F5620000}"/>
    <cellStyle name="Linked Cell 2 3" xfId="6588" xr:uid="{00000000-0005-0000-0000-0000F6620000}"/>
    <cellStyle name="Linked Cell 2 3 2" xfId="13230" xr:uid="{00000000-0005-0000-0000-0000F7620000}"/>
    <cellStyle name="Linked Cell 2 3 3" xfId="30913" xr:uid="{00000000-0005-0000-0000-0000F8620000}"/>
    <cellStyle name="Linked Cell 2 4" xfId="10059" xr:uid="{00000000-0005-0000-0000-0000F9620000}"/>
    <cellStyle name="Linked Cell 2 5" xfId="30911" xr:uid="{00000000-0005-0000-0000-0000FA620000}"/>
    <cellStyle name="Linked Cell 2 6" xfId="33055" xr:uid="{00000000-0005-0000-0000-0000FB620000}"/>
    <cellStyle name="Linked Cell 3" xfId="6589" xr:uid="{00000000-0005-0000-0000-0000FC620000}"/>
    <cellStyle name="Linked Cell 3 2" xfId="6590" xr:uid="{00000000-0005-0000-0000-0000FD620000}"/>
    <cellStyle name="Linked Cell 3 2 2" xfId="10062" xr:uid="{00000000-0005-0000-0000-0000FE620000}"/>
    <cellStyle name="Linked Cell 3 2 3" xfId="30915" xr:uid="{00000000-0005-0000-0000-0000FF620000}"/>
    <cellStyle name="Linked Cell 3 3" xfId="6591" xr:uid="{00000000-0005-0000-0000-000000630000}"/>
    <cellStyle name="Linked Cell 3 3 2" xfId="13232" xr:uid="{00000000-0005-0000-0000-000001630000}"/>
    <cellStyle name="Linked Cell 3 3 3" xfId="30916" xr:uid="{00000000-0005-0000-0000-000002630000}"/>
    <cellStyle name="Linked Cell 3 4" xfId="6592" xr:uid="{00000000-0005-0000-0000-000003630000}"/>
    <cellStyle name="Linked Cell 3 4 2" xfId="13231" xr:uid="{00000000-0005-0000-0000-000004630000}"/>
    <cellStyle name="Linked Cell 3 4 3" xfId="30917" xr:uid="{00000000-0005-0000-0000-000005630000}"/>
    <cellStyle name="Linked Cell 3 5" xfId="10061" xr:uid="{00000000-0005-0000-0000-000006630000}"/>
    <cellStyle name="Linked Cell 3 6" xfId="30914" xr:uid="{00000000-0005-0000-0000-000007630000}"/>
    <cellStyle name="Linked Cell 4" xfId="6593" xr:uid="{00000000-0005-0000-0000-000008630000}"/>
    <cellStyle name="Linked Cell 4 2" xfId="6594" xr:uid="{00000000-0005-0000-0000-000009630000}"/>
    <cellStyle name="Linked Cell 4 2 2" xfId="6595" xr:uid="{00000000-0005-0000-0000-00000A630000}"/>
    <cellStyle name="Linked Cell 4 2 2 2" xfId="11460" xr:uid="{00000000-0005-0000-0000-00000B630000}"/>
    <cellStyle name="Linked Cell 4 2 2 3" xfId="30920" xr:uid="{00000000-0005-0000-0000-00000C630000}"/>
    <cellStyle name="Linked Cell 4 2 3" xfId="10064" xr:uid="{00000000-0005-0000-0000-00000D630000}"/>
    <cellStyle name="Linked Cell 4 2 4" xfId="30919" xr:uid="{00000000-0005-0000-0000-00000E630000}"/>
    <cellStyle name="Linked Cell 4 3" xfId="6596" xr:uid="{00000000-0005-0000-0000-00000F630000}"/>
    <cellStyle name="Linked Cell 4 3 2" xfId="11459" xr:uid="{00000000-0005-0000-0000-000010630000}"/>
    <cellStyle name="Linked Cell 4 3 3" xfId="30921" xr:uid="{00000000-0005-0000-0000-000011630000}"/>
    <cellStyle name="Linked Cell 4 4" xfId="6597" xr:uid="{00000000-0005-0000-0000-000012630000}"/>
    <cellStyle name="Linked Cell 4 4 2" xfId="13233" xr:uid="{00000000-0005-0000-0000-000013630000}"/>
    <cellStyle name="Linked Cell 4 4 3" xfId="30922" xr:uid="{00000000-0005-0000-0000-000014630000}"/>
    <cellStyle name="Linked Cell 4 5" xfId="6598" xr:uid="{00000000-0005-0000-0000-000015630000}"/>
    <cellStyle name="Linked Cell 4 5 2" xfId="15685" xr:uid="{00000000-0005-0000-0000-000016630000}"/>
    <cellStyle name="Linked Cell 4 5 3" xfId="30923" xr:uid="{00000000-0005-0000-0000-000017630000}"/>
    <cellStyle name="Linked Cell 4 6" xfId="10063" xr:uid="{00000000-0005-0000-0000-000018630000}"/>
    <cellStyle name="Linked Cell 4 7" xfId="30918" xr:uid="{00000000-0005-0000-0000-000019630000}"/>
    <cellStyle name="Linked Cell 5" xfId="6599" xr:uid="{00000000-0005-0000-0000-00001A630000}"/>
    <cellStyle name="Linked Cell 5 2" xfId="6600" xr:uid="{00000000-0005-0000-0000-00001B630000}"/>
    <cellStyle name="Linked Cell 5 2 2" xfId="6601" xr:uid="{00000000-0005-0000-0000-00001C630000}"/>
    <cellStyle name="Linked Cell 5 2 2 2" xfId="11462" xr:uid="{00000000-0005-0000-0000-00001D630000}"/>
    <cellStyle name="Linked Cell 5 2 2 3" xfId="30926" xr:uid="{00000000-0005-0000-0000-00001E630000}"/>
    <cellStyle name="Linked Cell 5 2 3" xfId="10066" xr:uid="{00000000-0005-0000-0000-00001F630000}"/>
    <cellStyle name="Linked Cell 5 2 4" xfId="30925" xr:uid="{00000000-0005-0000-0000-000020630000}"/>
    <cellStyle name="Linked Cell 5 3" xfId="6602" xr:uid="{00000000-0005-0000-0000-000021630000}"/>
    <cellStyle name="Linked Cell 5 3 2" xfId="11461" xr:uid="{00000000-0005-0000-0000-000022630000}"/>
    <cellStyle name="Linked Cell 5 3 3" xfId="30927" xr:uid="{00000000-0005-0000-0000-000023630000}"/>
    <cellStyle name="Linked Cell 5 4" xfId="10065" xr:uid="{00000000-0005-0000-0000-000024630000}"/>
    <cellStyle name="Linked Cell 5 5" xfId="30924" xr:uid="{00000000-0005-0000-0000-000025630000}"/>
    <cellStyle name="Linked Cell 6" xfId="6603" xr:uid="{00000000-0005-0000-0000-000026630000}"/>
    <cellStyle name="Linked Cell 6 2" xfId="10067" xr:uid="{00000000-0005-0000-0000-000027630000}"/>
    <cellStyle name="Linked Cell 6 3" xfId="30928" xr:uid="{00000000-0005-0000-0000-000028630000}"/>
    <cellStyle name="Linked Cell 7" xfId="6604" xr:uid="{00000000-0005-0000-0000-000029630000}"/>
    <cellStyle name="Linked Cell 7 2" xfId="6605" xr:uid="{00000000-0005-0000-0000-00002A630000}"/>
    <cellStyle name="Linked Cell 7 2 2" xfId="11463" xr:uid="{00000000-0005-0000-0000-00002B630000}"/>
    <cellStyle name="Linked Cell 7 2 3" xfId="30930" xr:uid="{00000000-0005-0000-0000-00002C630000}"/>
    <cellStyle name="Linked Cell 7 3" xfId="10068" xr:uid="{00000000-0005-0000-0000-00002D630000}"/>
    <cellStyle name="Linked Cell 7 4" xfId="30929" xr:uid="{00000000-0005-0000-0000-00002E630000}"/>
    <cellStyle name="Linked Cell 8" xfId="6606" xr:uid="{00000000-0005-0000-0000-00002F630000}"/>
    <cellStyle name="Linked Cell 8 2" xfId="6607" xr:uid="{00000000-0005-0000-0000-000030630000}"/>
    <cellStyle name="Linked Cell 8 2 2" xfId="11464" xr:uid="{00000000-0005-0000-0000-000031630000}"/>
    <cellStyle name="Linked Cell 8 2 3" xfId="30932" xr:uid="{00000000-0005-0000-0000-000032630000}"/>
    <cellStyle name="Linked Cell 8 3" xfId="10069" xr:uid="{00000000-0005-0000-0000-000033630000}"/>
    <cellStyle name="Linked Cell 8 4" xfId="30931" xr:uid="{00000000-0005-0000-0000-000034630000}"/>
    <cellStyle name="Linked Cell 9" xfId="6608" xr:uid="{00000000-0005-0000-0000-000035630000}"/>
    <cellStyle name="Linked Cell 9 2" xfId="6609" xr:uid="{00000000-0005-0000-0000-000036630000}"/>
    <cellStyle name="Linked Cell 9 2 2" xfId="11465" xr:uid="{00000000-0005-0000-0000-000037630000}"/>
    <cellStyle name="Linked Cell 9 2 3" xfId="30934" xr:uid="{00000000-0005-0000-0000-000038630000}"/>
    <cellStyle name="Linked Cell 9 3" xfId="10070" xr:uid="{00000000-0005-0000-0000-000039630000}"/>
    <cellStyle name="Linked Cell 9 4" xfId="30933" xr:uid="{00000000-0005-0000-0000-00003A630000}"/>
    <cellStyle name="Neutral" xfId="21" builtinId="28" customBuiltin="1"/>
    <cellStyle name="Neutral 10" xfId="6610" xr:uid="{00000000-0005-0000-0000-00003C630000}"/>
    <cellStyle name="Neutral 10 2" xfId="10072" xr:uid="{00000000-0005-0000-0000-00003D630000}"/>
    <cellStyle name="Neutral 10 3" xfId="30935" xr:uid="{00000000-0005-0000-0000-00003E630000}"/>
    <cellStyle name="Neutral 11" xfId="6611" xr:uid="{00000000-0005-0000-0000-00003F630000}"/>
    <cellStyle name="Neutral 11 2" xfId="10073" xr:uid="{00000000-0005-0000-0000-000040630000}"/>
    <cellStyle name="Neutral 11 3" xfId="30936" xr:uid="{00000000-0005-0000-0000-000041630000}"/>
    <cellStyle name="Neutral 12" xfId="6612" xr:uid="{00000000-0005-0000-0000-000042630000}"/>
    <cellStyle name="Neutral 12 2" xfId="6613" xr:uid="{00000000-0005-0000-0000-000043630000}"/>
    <cellStyle name="Neutral 12 2 2" xfId="15686" xr:uid="{00000000-0005-0000-0000-000044630000}"/>
    <cellStyle name="Neutral 12 2 3" xfId="30938" xr:uid="{00000000-0005-0000-0000-000045630000}"/>
    <cellStyle name="Neutral 12 3" xfId="10496" xr:uid="{00000000-0005-0000-0000-000046630000}"/>
    <cellStyle name="Neutral 12 4" xfId="30937" xr:uid="{00000000-0005-0000-0000-000047630000}"/>
    <cellStyle name="Neutral 13" xfId="6614" xr:uid="{00000000-0005-0000-0000-000048630000}"/>
    <cellStyle name="Neutral 13 2" xfId="11466" xr:uid="{00000000-0005-0000-0000-000049630000}"/>
    <cellStyle name="Neutral 13 3" xfId="30939" xr:uid="{00000000-0005-0000-0000-00004A630000}"/>
    <cellStyle name="Neutral 14" xfId="6615" xr:uid="{00000000-0005-0000-0000-00004B630000}"/>
    <cellStyle name="Neutral 14 2" xfId="10071" xr:uid="{00000000-0005-0000-0000-00004C630000}"/>
    <cellStyle name="Neutral 14 3" xfId="30940" xr:uid="{00000000-0005-0000-0000-00004D630000}"/>
    <cellStyle name="Neutral 2" xfId="6616" xr:uid="{00000000-0005-0000-0000-00004E630000}"/>
    <cellStyle name="Neutral 2 2" xfId="10074" xr:uid="{00000000-0005-0000-0000-00004F630000}"/>
    <cellStyle name="Neutral 2 3" xfId="30941" xr:uid="{00000000-0005-0000-0000-000050630000}"/>
    <cellStyle name="Neutral 2 4" xfId="33051" xr:uid="{00000000-0005-0000-0000-000051630000}"/>
    <cellStyle name="Neutral 3" xfId="6617" xr:uid="{00000000-0005-0000-0000-000052630000}"/>
    <cellStyle name="Neutral 3 2" xfId="6618" xr:uid="{00000000-0005-0000-0000-000053630000}"/>
    <cellStyle name="Neutral 3 2 2" xfId="10076" xr:uid="{00000000-0005-0000-0000-000054630000}"/>
    <cellStyle name="Neutral 3 2 3" xfId="30943" xr:uid="{00000000-0005-0000-0000-000055630000}"/>
    <cellStyle name="Neutral 3 3" xfId="10075" xr:uid="{00000000-0005-0000-0000-000056630000}"/>
    <cellStyle name="Neutral 3 4" xfId="30942" xr:uid="{00000000-0005-0000-0000-000057630000}"/>
    <cellStyle name="Neutral 3 5" xfId="33103" xr:uid="{00000000-0005-0000-0000-000058630000}"/>
    <cellStyle name="Neutral 4" xfId="6619" xr:uid="{00000000-0005-0000-0000-000059630000}"/>
    <cellStyle name="Neutral 4 2" xfId="6620" xr:uid="{00000000-0005-0000-0000-00005A630000}"/>
    <cellStyle name="Neutral 4 2 2" xfId="13235" xr:uid="{00000000-0005-0000-0000-00005B630000}"/>
    <cellStyle name="Neutral 4 2 3" xfId="30945" xr:uid="{00000000-0005-0000-0000-00005C630000}"/>
    <cellStyle name="Neutral 4 3" xfId="6621" xr:uid="{00000000-0005-0000-0000-00005D630000}"/>
    <cellStyle name="Neutral 4 3 2" xfId="13234" xr:uid="{00000000-0005-0000-0000-00005E630000}"/>
    <cellStyle name="Neutral 4 3 3" xfId="30946" xr:uid="{00000000-0005-0000-0000-00005F630000}"/>
    <cellStyle name="Neutral 4 4" xfId="10077" xr:uid="{00000000-0005-0000-0000-000060630000}"/>
    <cellStyle name="Neutral 4 5" xfId="30944" xr:uid="{00000000-0005-0000-0000-000061630000}"/>
    <cellStyle name="Neutral 5" xfId="6622" xr:uid="{00000000-0005-0000-0000-000062630000}"/>
    <cellStyle name="Neutral 5 2" xfId="6623" xr:uid="{00000000-0005-0000-0000-000063630000}"/>
    <cellStyle name="Neutral 5 2 2" xfId="10079" xr:uid="{00000000-0005-0000-0000-000064630000}"/>
    <cellStyle name="Neutral 5 2 3" xfId="30948" xr:uid="{00000000-0005-0000-0000-000065630000}"/>
    <cellStyle name="Neutral 5 3" xfId="10078" xr:uid="{00000000-0005-0000-0000-000066630000}"/>
    <cellStyle name="Neutral 5 4" xfId="30947" xr:uid="{00000000-0005-0000-0000-000067630000}"/>
    <cellStyle name="Neutral 6" xfId="6624" xr:uid="{00000000-0005-0000-0000-000068630000}"/>
    <cellStyle name="Neutral 6 2" xfId="10080" xr:uid="{00000000-0005-0000-0000-000069630000}"/>
    <cellStyle name="Neutral 6 3" xfId="30949" xr:uid="{00000000-0005-0000-0000-00006A630000}"/>
    <cellStyle name="Neutral 7" xfId="6625" xr:uid="{00000000-0005-0000-0000-00006B630000}"/>
    <cellStyle name="Neutral 7 2" xfId="10081" xr:uid="{00000000-0005-0000-0000-00006C630000}"/>
    <cellStyle name="Neutral 7 3" xfId="30950" xr:uid="{00000000-0005-0000-0000-00006D630000}"/>
    <cellStyle name="Neutral 8" xfId="6626" xr:uid="{00000000-0005-0000-0000-00006E630000}"/>
    <cellStyle name="Neutral 8 2" xfId="10082" xr:uid="{00000000-0005-0000-0000-00006F630000}"/>
    <cellStyle name="Neutral 8 3" xfId="30951" xr:uid="{00000000-0005-0000-0000-000070630000}"/>
    <cellStyle name="Neutral 9" xfId="6627" xr:uid="{00000000-0005-0000-0000-000071630000}"/>
    <cellStyle name="Neutral 9 2" xfId="10083" xr:uid="{00000000-0005-0000-0000-000072630000}"/>
    <cellStyle name="Neutral 9 3" xfId="30952" xr:uid="{00000000-0005-0000-0000-000073630000}"/>
    <cellStyle name="Normal" xfId="0" builtinId="0"/>
    <cellStyle name="Normal 10" xfId="6628" xr:uid="{00000000-0005-0000-0000-000075630000}"/>
    <cellStyle name="Normal 10 2" xfId="6629" xr:uid="{00000000-0005-0000-0000-000076630000}"/>
    <cellStyle name="Normal 10 2 2" xfId="6630" xr:uid="{00000000-0005-0000-0000-000077630000}"/>
    <cellStyle name="Normal 10 2 2 2" xfId="11693" xr:uid="{00000000-0005-0000-0000-000078630000}"/>
    <cellStyle name="Normal 10 2 2 2 2" xfId="25429" xr:uid="{00000000-0005-0000-0000-000079630000}"/>
    <cellStyle name="Normal 10 2 2 3" xfId="30953" xr:uid="{00000000-0005-0000-0000-00007A630000}"/>
    <cellStyle name="Normal 10 2 3" xfId="6631" xr:uid="{00000000-0005-0000-0000-00007B630000}"/>
    <cellStyle name="Normal 10 2 3 2" xfId="17343" xr:uid="{00000000-0005-0000-0000-00007C630000}"/>
    <cellStyle name="Normal 10 2 3 3" xfId="30954" xr:uid="{00000000-0005-0000-0000-00007D630000}"/>
    <cellStyle name="Normal 10 2 4" xfId="8730" xr:uid="{00000000-0005-0000-0000-00007E630000}"/>
    <cellStyle name="Normal 10 2 5" xfId="10085" xr:uid="{00000000-0005-0000-0000-00007F630000}"/>
    <cellStyle name="Normal 10 3" xfId="6632" xr:uid="{00000000-0005-0000-0000-000080630000}"/>
    <cellStyle name="Normal 10 3 2" xfId="6633" xr:uid="{00000000-0005-0000-0000-000081630000}"/>
    <cellStyle name="Normal 10 3 2 2" xfId="13237" xr:uid="{00000000-0005-0000-0000-000082630000}"/>
    <cellStyle name="Normal 10 3 2 2 2" xfId="26882" xr:uid="{00000000-0005-0000-0000-000083630000}"/>
    <cellStyle name="Normal 10 3 2 3" xfId="30956" xr:uid="{00000000-0005-0000-0000-000084630000}"/>
    <cellStyle name="Normal 10 3 3" xfId="6634" xr:uid="{00000000-0005-0000-0000-000085630000}"/>
    <cellStyle name="Normal 10 3 3 2" xfId="15688" xr:uid="{00000000-0005-0000-0000-000086630000}"/>
    <cellStyle name="Normal 10 3 3 2 2" xfId="29174" xr:uid="{00000000-0005-0000-0000-000087630000}"/>
    <cellStyle name="Normal 10 3 3 3" xfId="30957" xr:uid="{00000000-0005-0000-0000-000088630000}"/>
    <cellStyle name="Normal 10 3 4" xfId="11467" xr:uid="{00000000-0005-0000-0000-000089630000}"/>
    <cellStyle name="Normal 10 3 4 2" xfId="25299" xr:uid="{00000000-0005-0000-0000-00008A630000}"/>
    <cellStyle name="Normal 10 3 5" xfId="30955" xr:uid="{00000000-0005-0000-0000-00008B630000}"/>
    <cellStyle name="Normal 10 3 6" xfId="32946" xr:uid="{00000000-0005-0000-0000-00008C630000}"/>
    <cellStyle name="Normal 10 3 7" xfId="33004" xr:uid="{00000000-0005-0000-0000-00008D630000}"/>
    <cellStyle name="Normal 10 4" xfId="6635" xr:uid="{00000000-0005-0000-0000-00008E630000}"/>
    <cellStyle name="Normal 10 4 2" xfId="13236" xr:uid="{00000000-0005-0000-0000-00008F630000}"/>
    <cellStyle name="Normal 10 4 2 2" xfId="26881" xr:uid="{00000000-0005-0000-0000-000090630000}"/>
    <cellStyle name="Normal 10 4 3" xfId="30958" xr:uid="{00000000-0005-0000-0000-000091630000}"/>
    <cellStyle name="Normal 10 5" xfId="6636" xr:uid="{00000000-0005-0000-0000-000092630000}"/>
    <cellStyle name="Normal 10 5 2" xfId="15687" xr:uid="{00000000-0005-0000-0000-000093630000}"/>
    <cellStyle name="Normal 10 5 2 2" xfId="29173" xr:uid="{00000000-0005-0000-0000-000094630000}"/>
    <cellStyle name="Normal 10 5 3" xfId="30959" xr:uid="{00000000-0005-0000-0000-000095630000}"/>
    <cellStyle name="Normal 10 6" xfId="6637" xr:uid="{00000000-0005-0000-0000-000096630000}"/>
    <cellStyle name="Normal 10 6 2" xfId="15803" xr:uid="{00000000-0005-0000-0000-000097630000}"/>
    <cellStyle name="Normal 10 6 2 2" xfId="29210" xr:uid="{00000000-0005-0000-0000-000098630000}"/>
    <cellStyle name="Normal 10 6 3" xfId="30960" xr:uid="{00000000-0005-0000-0000-000099630000}"/>
    <cellStyle name="Normal 10 7" xfId="8720" xr:uid="{00000000-0005-0000-0000-00009A630000}"/>
    <cellStyle name="Normal 10 7 2" xfId="10084" xr:uid="{00000000-0005-0000-0000-00009B630000}"/>
    <cellStyle name="Normal 10 7 2 2" xfId="24316" xr:uid="{00000000-0005-0000-0000-00009C630000}"/>
    <cellStyle name="Normal 10 8" xfId="8721" xr:uid="{00000000-0005-0000-0000-00009D630000}"/>
    <cellStyle name="Normal 10 8 2" xfId="17329" xr:uid="{00000000-0005-0000-0000-00009E630000}"/>
    <cellStyle name="Normal 10 8 3" xfId="23236" xr:uid="{00000000-0005-0000-0000-00009F630000}"/>
    <cellStyle name="Normal 11" xfId="6638" xr:uid="{00000000-0005-0000-0000-0000A0630000}"/>
    <cellStyle name="Normal 11 2" xfId="10086" xr:uid="{00000000-0005-0000-0000-0000A1630000}"/>
    <cellStyle name="Normal 11 3" xfId="30961" xr:uid="{00000000-0005-0000-0000-0000A2630000}"/>
    <cellStyle name="Normal 11 4" xfId="32917" xr:uid="{00000000-0005-0000-0000-0000A3630000}"/>
    <cellStyle name="Normal 11 5" xfId="32977" xr:uid="{00000000-0005-0000-0000-0000A4630000}"/>
    <cellStyle name="Normal 12" xfId="6639" xr:uid="{00000000-0005-0000-0000-0000A5630000}"/>
    <cellStyle name="Normal 12 2" xfId="10087" xr:uid="{00000000-0005-0000-0000-0000A6630000}"/>
    <cellStyle name="Normal 12 3" xfId="30962" xr:uid="{00000000-0005-0000-0000-0000A7630000}"/>
    <cellStyle name="Normal 12 4" xfId="32943" xr:uid="{00000000-0005-0000-0000-0000A8630000}"/>
    <cellStyle name="Normal 13" xfId="6640" xr:uid="{00000000-0005-0000-0000-0000A9630000}"/>
    <cellStyle name="Normal 13 10" xfId="6641" xr:uid="{00000000-0005-0000-0000-0000AA630000}"/>
    <cellStyle name="Normal 13 10 2" xfId="6642" xr:uid="{00000000-0005-0000-0000-0000AB630000}"/>
    <cellStyle name="Normal 13 10 2 2" xfId="13238" xr:uid="{00000000-0005-0000-0000-0000AC630000}"/>
    <cellStyle name="Normal 13 10 2 2 2" xfId="26883" xr:uid="{00000000-0005-0000-0000-0000AD630000}"/>
    <cellStyle name="Normal 13 10 2 3" xfId="30964" xr:uid="{00000000-0005-0000-0000-0000AE630000}"/>
    <cellStyle name="Normal 13 10 3" xfId="6643" xr:uid="{00000000-0005-0000-0000-0000AF630000}"/>
    <cellStyle name="Normal 13 10 3 2" xfId="15689" xr:uid="{00000000-0005-0000-0000-0000B0630000}"/>
    <cellStyle name="Normal 13 10 3 2 2" xfId="29175" xr:uid="{00000000-0005-0000-0000-0000B1630000}"/>
    <cellStyle name="Normal 13 10 3 3" xfId="30965" xr:uid="{00000000-0005-0000-0000-0000B2630000}"/>
    <cellStyle name="Normal 13 10 4" xfId="6644" xr:uid="{00000000-0005-0000-0000-0000B3630000}"/>
    <cellStyle name="Normal 13 10 4 2" xfId="17110" xr:uid="{00000000-0005-0000-0000-0000B4630000}"/>
    <cellStyle name="Normal 13 10 4 2 2" xfId="30469" xr:uid="{00000000-0005-0000-0000-0000B5630000}"/>
    <cellStyle name="Normal 13 10 4 3" xfId="30966" xr:uid="{00000000-0005-0000-0000-0000B6630000}"/>
    <cellStyle name="Normal 13 10 5" xfId="10521" xr:uid="{00000000-0005-0000-0000-0000B7630000}"/>
    <cellStyle name="Normal 13 10 5 2" xfId="24467" xr:uid="{00000000-0005-0000-0000-0000B8630000}"/>
    <cellStyle name="Normal 13 10 6" xfId="30963" xr:uid="{00000000-0005-0000-0000-0000B9630000}"/>
    <cellStyle name="Normal 13 11" xfId="6645" xr:uid="{00000000-0005-0000-0000-0000BA630000}"/>
    <cellStyle name="Normal 13 11 2" xfId="6646" xr:uid="{00000000-0005-0000-0000-0000BB630000}"/>
    <cellStyle name="Normal 13 11 2 2" xfId="13239" xr:uid="{00000000-0005-0000-0000-0000BC630000}"/>
    <cellStyle name="Normal 13 11 2 2 2" xfId="26884" xr:uid="{00000000-0005-0000-0000-0000BD630000}"/>
    <cellStyle name="Normal 13 11 2 3" xfId="30968" xr:uid="{00000000-0005-0000-0000-0000BE630000}"/>
    <cellStyle name="Normal 13 11 3" xfId="6647" xr:uid="{00000000-0005-0000-0000-0000BF630000}"/>
    <cellStyle name="Normal 13 11 3 2" xfId="15690" xr:uid="{00000000-0005-0000-0000-0000C0630000}"/>
    <cellStyle name="Normal 13 11 3 2 2" xfId="29176" xr:uid="{00000000-0005-0000-0000-0000C1630000}"/>
    <cellStyle name="Normal 13 11 3 3" xfId="30969" xr:uid="{00000000-0005-0000-0000-0000C2630000}"/>
    <cellStyle name="Normal 13 11 4" xfId="6648" xr:uid="{00000000-0005-0000-0000-0000C3630000}"/>
    <cellStyle name="Normal 13 11 4 2" xfId="17199" xr:uid="{00000000-0005-0000-0000-0000C4630000}"/>
    <cellStyle name="Normal 13 11 4 2 2" xfId="30558" xr:uid="{00000000-0005-0000-0000-0000C5630000}"/>
    <cellStyle name="Normal 13 11 4 3" xfId="30970" xr:uid="{00000000-0005-0000-0000-0000C6630000}"/>
    <cellStyle name="Normal 13 11 5" xfId="11468" xr:uid="{00000000-0005-0000-0000-0000C7630000}"/>
    <cellStyle name="Normal 13 11 5 2" xfId="25300" xr:uid="{00000000-0005-0000-0000-0000C8630000}"/>
    <cellStyle name="Normal 13 11 6" xfId="30967" xr:uid="{00000000-0005-0000-0000-0000C9630000}"/>
    <cellStyle name="Normal 13 12" xfId="6649" xr:uid="{00000000-0005-0000-0000-0000CA630000}"/>
    <cellStyle name="Normal 13 12 2" xfId="6650" xr:uid="{00000000-0005-0000-0000-0000CB630000}"/>
    <cellStyle name="Normal 13 12 2 2" xfId="17288" xr:uid="{00000000-0005-0000-0000-0000CC630000}"/>
    <cellStyle name="Normal 13 12 2 2 2" xfId="30647" xr:uid="{00000000-0005-0000-0000-0000CD630000}"/>
    <cellStyle name="Normal 13 12 2 3" xfId="30972" xr:uid="{00000000-0005-0000-0000-0000CE630000}"/>
    <cellStyle name="Normal 13 12 3" xfId="11777" xr:uid="{00000000-0005-0000-0000-0000CF630000}"/>
    <cellStyle name="Normal 13 12 3 2" xfId="25492" xr:uid="{00000000-0005-0000-0000-0000D0630000}"/>
    <cellStyle name="Normal 13 12 4" xfId="30971" xr:uid="{00000000-0005-0000-0000-0000D1630000}"/>
    <cellStyle name="Normal 13 13" xfId="6651" xr:uid="{00000000-0005-0000-0000-0000D2630000}"/>
    <cellStyle name="Normal 13 13 2" xfId="6652" xr:uid="{00000000-0005-0000-0000-0000D3630000}"/>
    <cellStyle name="Normal 13 13 2 2" xfId="16440" xr:uid="{00000000-0005-0000-0000-0000D4630000}"/>
    <cellStyle name="Normal 13 13 2 2 2" xfId="29847" xr:uid="{00000000-0005-0000-0000-0000D5630000}"/>
    <cellStyle name="Normal 13 13 2 3" xfId="30974" xr:uid="{00000000-0005-0000-0000-0000D6630000}"/>
    <cellStyle name="Normal 13 13 3" xfId="13392" xr:uid="{00000000-0005-0000-0000-0000D7630000}"/>
    <cellStyle name="Normal 13 13 3 2" xfId="26941" xr:uid="{00000000-0005-0000-0000-0000D8630000}"/>
    <cellStyle name="Normal 13 13 4" xfId="30973" xr:uid="{00000000-0005-0000-0000-0000D9630000}"/>
    <cellStyle name="Normal 13 14" xfId="6653" xr:uid="{00000000-0005-0000-0000-0000DA630000}"/>
    <cellStyle name="Normal 13 14 2" xfId="13973" xr:uid="{00000000-0005-0000-0000-0000DB630000}"/>
    <cellStyle name="Normal 13 14 2 2" xfId="27522" xr:uid="{00000000-0005-0000-0000-0000DC630000}"/>
    <cellStyle name="Normal 13 14 3" xfId="30975" xr:uid="{00000000-0005-0000-0000-0000DD630000}"/>
    <cellStyle name="Normal 13 15" xfId="6654" xr:uid="{00000000-0005-0000-0000-0000DE630000}"/>
    <cellStyle name="Normal 13 15 2" xfId="15842" xr:uid="{00000000-0005-0000-0000-0000DF630000}"/>
    <cellStyle name="Normal 13 15 2 2" xfId="29249" xr:uid="{00000000-0005-0000-0000-0000E0630000}"/>
    <cellStyle name="Normal 13 15 3" xfId="30976" xr:uid="{00000000-0005-0000-0000-0000E1630000}"/>
    <cellStyle name="Normal 13 16" xfId="6655" xr:uid="{00000000-0005-0000-0000-0000E2630000}"/>
    <cellStyle name="Normal 13 16 2" xfId="15859" xr:uid="{00000000-0005-0000-0000-0000E3630000}"/>
    <cellStyle name="Normal 13 16 2 2" xfId="29266" xr:uid="{00000000-0005-0000-0000-0000E4630000}"/>
    <cellStyle name="Normal 13 16 3" xfId="30977" xr:uid="{00000000-0005-0000-0000-0000E5630000}"/>
    <cellStyle name="Normal 13 17" xfId="17375" xr:uid="{00000000-0005-0000-0000-0000E6630000}"/>
    <cellStyle name="Normal 13 18" xfId="10088" xr:uid="{00000000-0005-0000-0000-0000E7630000}"/>
    <cellStyle name="Normal 13 18 2" xfId="24317" xr:uid="{00000000-0005-0000-0000-0000E8630000}"/>
    <cellStyle name="Normal 13 2" xfId="6656" xr:uid="{00000000-0005-0000-0000-0000E9630000}"/>
    <cellStyle name="Normal 13 2 10" xfId="6657" xr:uid="{00000000-0005-0000-0000-0000EA630000}"/>
    <cellStyle name="Normal 13 2 10 2" xfId="15916" xr:uid="{00000000-0005-0000-0000-0000EB630000}"/>
    <cellStyle name="Normal 13 2 10 2 2" xfId="29323" xr:uid="{00000000-0005-0000-0000-0000EC630000}"/>
    <cellStyle name="Normal 13 2 10 3" xfId="30979" xr:uid="{00000000-0005-0000-0000-0000ED630000}"/>
    <cellStyle name="Normal 13 2 11" xfId="10089" xr:uid="{00000000-0005-0000-0000-0000EE630000}"/>
    <cellStyle name="Normal 13 2 11 2" xfId="24318" xr:uid="{00000000-0005-0000-0000-0000EF630000}"/>
    <cellStyle name="Normal 13 2 12" xfId="30978" xr:uid="{00000000-0005-0000-0000-0000F0630000}"/>
    <cellStyle name="Normal 13 2 2" xfId="6658" xr:uid="{00000000-0005-0000-0000-0000F1630000}"/>
    <cellStyle name="Normal 13 2 2 10" xfId="30980" xr:uid="{00000000-0005-0000-0000-0000F2630000}"/>
    <cellStyle name="Normal 13 2 2 2" xfId="6659" xr:uid="{00000000-0005-0000-0000-0000F3630000}"/>
    <cellStyle name="Normal 13 2 2 2 2" xfId="6660" xr:uid="{00000000-0005-0000-0000-0000F4630000}"/>
    <cellStyle name="Normal 13 2 2 2 2 2" xfId="6661" xr:uid="{00000000-0005-0000-0000-0000F5630000}"/>
    <cellStyle name="Normal 13 2 2 2 2 2 2" xfId="6662" xr:uid="{00000000-0005-0000-0000-0000F6630000}"/>
    <cellStyle name="Normal 13 2 2 2 2 2 2 2" xfId="16975" xr:uid="{00000000-0005-0000-0000-0000F7630000}"/>
    <cellStyle name="Normal 13 2 2 2 2 2 2 2 2" xfId="30382" xr:uid="{00000000-0005-0000-0000-0000F8630000}"/>
    <cellStyle name="Normal 13 2 2 2 2 2 2 3" xfId="30984" xr:uid="{00000000-0005-0000-0000-0000F9630000}"/>
    <cellStyle name="Normal 13 2 2 2 2 2 3" xfId="11472" xr:uid="{00000000-0005-0000-0000-0000FA630000}"/>
    <cellStyle name="Normal 13 2 2 2 2 2 3 2" xfId="25304" xr:uid="{00000000-0005-0000-0000-0000FB630000}"/>
    <cellStyle name="Normal 13 2 2 2 2 2 4" xfId="30983" xr:uid="{00000000-0005-0000-0000-0000FC630000}"/>
    <cellStyle name="Normal 13 2 2 2 2 3" xfId="6663" xr:uid="{00000000-0005-0000-0000-0000FD630000}"/>
    <cellStyle name="Normal 13 2 2 2 2 3 2" xfId="12363" xr:uid="{00000000-0005-0000-0000-0000FE630000}"/>
    <cellStyle name="Normal 13 2 2 2 2 3 2 2" xfId="26075" xr:uid="{00000000-0005-0000-0000-0000FF630000}"/>
    <cellStyle name="Normal 13 2 2 2 2 3 3" xfId="30985" xr:uid="{00000000-0005-0000-0000-000000640000}"/>
    <cellStyle name="Normal 13 2 2 2 2 4" xfId="6664" xr:uid="{00000000-0005-0000-0000-000001640000}"/>
    <cellStyle name="Normal 13 2 2 2 2 4 2" xfId="13927" xr:uid="{00000000-0005-0000-0000-000002640000}"/>
    <cellStyle name="Normal 13 2 2 2 2 4 2 2" xfId="27476" xr:uid="{00000000-0005-0000-0000-000003640000}"/>
    <cellStyle name="Normal 13 2 2 2 2 4 3" xfId="30986" xr:uid="{00000000-0005-0000-0000-000004640000}"/>
    <cellStyle name="Normal 13 2 2 2 2 5" xfId="6665" xr:uid="{00000000-0005-0000-0000-000005640000}"/>
    <cellStyle name="Normal 13 2 2 2 2 5 2" xfId="14508" xr:uid="{00000000-0005-0000-0000-000006640000}"/>
    <cellStyle name="Normal 13 2 2 2 2 5 2 2" xfId="28057" xr:uid="{00000000-0005-0000-0000-000007640000}"/>
    <cellStyle name="Normal 13 2 2 2 2 5 3" xfId="30987" xr:uid="{00000000-0005-0000-0000-000008640000}"/>
    <cellStyle name="Normal 13 2 2 2 2 6" xfId="6666" xr:uid="{00000000-0005-0000-0000-000009640000}"/>
    <cellStyle name="Normal 13 2 2 2 2 6 2" xfId="16394" xr:uid="{00000000-0005-0000-0000-00000A640000}"/>
    <cellStyle name="Normal 13 2 2 2 2 6 2 2" xfId="29801" xr:uid="{00000000-0005-0000-0000-00000B640000}"/>
    <cellStyle name="Normal 13 2 2 2 2 6 3" xfId="30988" xr:uid="{00000000-0005-0000-0000-00000C640000}"/>
    <cellStyle name="Normal 13 2 2 2 2 7" xfId="10092" xr:uid="{00000000-0005-0000-0000-00000D640000}"/>
    <cellStyle name="Normal 13 2 2 2 2 7 2" xfId="24321" xr:uid="{00000000-0005-0000-0000-00000E640000}"/>
    <cellStyle name="Normal 13 2 2 2 2 8" xfId="30982" xr:uid="{00000000-0005-0000-0000-00000F640000}"/>
    <cellStyle name="Normal 13 2 2 2 3" xfId="6667" xr:uid="{00000000-0005-0000-0000-000010640000}"/>
    <cellStyle name="Normal 13 2 2 2 3 2" xfId="6668" xr:uid="{00000000-0005-0000-0000-000011640000}"/>
    <cellStyle name="Normal 13 2 2 2 3 2 2" xfId="16686" xr:uid="{00000000-0005-0000-0000-000012640000}"/>
    <cellStyle name="Normal 13 2 2 2 3 2 2 2" xfId="30093" xr:uid="{00000000-0005-0000-0000-000013640000}"/>
    <cellStyle name="Normal 13 2 2 2 3 2 3" xfId="30990" xr:uid="{00000000-0005-0000-0000-000014640000}"/>
    <cellStyle name="Normal 13 2 2 2 3 3" xfId="11471" xr:uid="{00000000-0005-0000-0000-000015640000}"/>
    <cellStyle name="Normal 13 2 2 2 3 3 2" xfId="25303" xr:uid="{00000000-0005-0000-0000-000016640000}"/>
    <cellStyle name="Normal 13 2 2 2 3 4" xfId="30989" xr:uid="{00000000-0005-0000-0000-000017640000}"/>
    <cellStyle name="Normal 13 2 2 2 4" xfId="6669" xr:uid="{00000000-0005-0000-0000-000018640000}"/>
    <cellStyle name="Normal 13 2 2 2 4 2" xfId="12063" xr:uid="{00000000-0005-0000-0000-000019640000}"/>
    <cellStyle name="Normal 13 2 2 2 4 2 2" xfId="25778" xr:uid="{00000000-0005-0000-0000-00001A640000}"/>
    <cellStyle name="Normal 13 2 2 2 4 3" xfId="30991" xr:uid="{00000000-0005-0000-0000-00001B640000}"/>
    <cellStyle name="Normal 13 2 2 2 5" xfId="6670" xr:uid="{00000000-0005-0000-0000-00001C640000}"/>
    <cellStyle name="Normal 13 2 2 2 5 2" xfId="13638" xr:uid="{00000000-0005-0000-0000-00001D640000}"/>
    <cellStyle name="Normal 13 2 2 2 5 2 2" xfId="27187" xr:uid="{00000000-0005-0000-0000-00001E640000}"/>
    <cellStyle name="Normal 13 2 2 2 5 3" xfId="30992" xr:uid="{00000000-0005-0000-0000-00001F640000}"/>
    <cellStyle name="Normal 13 2 2 2 6" xfId="6671" xr:uid="{00000000-0005-0000-0000-000020640000}"/>
    <cellStyle name="Normal 13 2 2 2 6 2" xfId="14219" xr:uid="{00000000-0005-0000-0000-000021640000}"/>
    <cellStyle name="Normal 13 2 2 2 6 2 2" xfId="27768" xr:uid="{00000000-0005-0000-0000-000022640000}"/>
    <cellStyle name="Normal 13 2 2 2 6 3" xfId="30993" xr:uid="{00000000-0005-0000-0000-000023640000}"/>
    <cellStyle name="Normal 13 2 2 2 7" xfId="6672" xr:uid="{00000000-0005-0000-0000-000024640000}"/>
    <cellStyle name="Normal 13 2 2 2 7 2" xfId="16105" xr:uid="{00000000-0005-0000-0000-000025640000}"/>
    <cellStyle name="Normal 13 2 2 2 7 2 2" xfId="29512" xr:uid="{00000000-0005-0000-0000-000026640000}"/>
    <cellStyle name="Normal 13 2 2 2 7 3" xfId="30994" xr:uid="{00000000-0005-0000-0000-000027640000}"/>
    <cellStyle name="Normal 13 2 2 2 8" xfId="10091" xr:uid="{00000000-0005-0000-0000-000028640000}"/>
    <cellStyle name="Normal 13 2 2 2 8 2" xfId="24320" xr:uid="{00000000-0005-0000-0000-000029640000}"/>
    <cellStyle name="Normal 13 2 2 2 9" xfId="30981" xr:uid="{00000000-0005-0000-0000-00002A640000}"/>
    <cellStyle name="Normal 13 2 2 3" xfId="6673" xr:uid="{00000000-0005-0000-0000-00002B640000}"/>
    <cellStyle name="Normal 13 2 2 3 2" xfId="6674" xr:uid="{00000000-0005-0000-0000-00002C640000}"/>
    <cellStyle name="Normal 13 2 2 3 2 2" xfId="6675" xr:uid="{00000000-0005-0000-0000-00002D640000}"/>
    <cellStyle name="Normal 13 2 2 3 2 2 2" xfId="16832" xr:uid="{00000000-0005-0000-0000-00002E640000}"/>
    <cellStyle name="Normal 13 2 2 3 2 2 2 2" xfId="30239" xr:uid="{00000000-0005-0000-0000-00002F640000}"/>
    <cellStyle name="Normal 13 2 2 3 2 2 3" xfId="30997" xr:uid="{00000000-0005-0000-0000-000030640000}"/>
    <cellStyle name="Normal 13 2 2 3 2 3" xfId="11473" xr:uid="{00000000-0005-0000-0000-000031640000}"/>
    <cellStyle name="Normal 13 2 2 3 2 3 2" xfId="25305" xr:uid="{00000000-0005-0000-0000-000032640000}"/>
    <cellStyle name="Normal 13 2 2 3 2 4" xfId="30996" xr:uid="{00000000-0005-0000-0000-000033640000}"/>
    <cellStyle name="Normal 13 2 2 3 3" xfId="6676" xr:uid="{00000000-0005-0000-0000-000034640000}"/>
    <cellStyle name="Normal 13 2 2 3 3 2" xfId="12220" xr:uid="{00000000-0005-0000-0000-000035640000}"/>
    <cellStyle name="Normal 13 2 2 3 3 2 2" xfId="25932" xr:uid="{00000000-0005-0000-0000-000036640000}"/>
    <cellStyle name="Normal 13 2 2 3 3 3" xfId="30998" xr:uid="{00000000-0005-0000-0000-000037640000}"/>
    <cellStyle name="Normal 13 2 2 3 4" xfId="6677" xr:uid="{00000000-0005-0000-0000-000038640000}"/>
    <cellStyle name="Normal 13 2 2 3 4 2" xfId="13784" xr:uid="{00000000-0005-0000-0000-000039640000}"/>
    <cellStyle name="Normal 13 2 2 3 4 2 2" xfId="27333" xr:uid="{00000000-0005-0000-0000-00003A640000}"/>
    <cellStyle name="Normal 13 2 2 3 4 3" xfId="30999" xr:uid="{00000000-0005-0000-0000-00003B640000}"/>
    <cellStyle name="Normal 13 2 2 3 5" xfId="6678" xr:uid="{00000000-0005-0000-0000-00003C640000}"/>
    <cellStyle name="Normal 13 2 2 3 5 2" xfId="14365" xr:uid="{00000000-0005-0000-0000-00003D640000}"/>
    <cellStyle name="Normal 13 2 2 3 5 2 2" xfId="27914" xr:uid="{00000000-0005-0000-0000-00003E640000}"/>
    <cellStyle name="Normal 13 2 2 3 5 3" xfId="31000" xr:uid="{00000000-0005-0000-0000-00003F640000}"/>
    <cellStyle name="Normal 13 2 2 3 6" xfId="6679" xr:uid="{00000000-0005-0000-0000-000040640000}"/>
    <cellStyle name="Normal 13 2 2 3 6 2" xfId="16251" xr:uid="{00000000-0005-0000-0000-000041640000}"/>
    <cellStyle name="Normal 13 2 2 3 6 2 2" xfId="29658" xr:uid="{00000000-0005-0000-0000-000042640000}"/>
    <cellStyle name="Normal 13 2 2 3 6 3" xfId="31001" xr:uid="{00000000-0005-0000-0000-000043640000}"/>
    <cellStyle name="Normal 13 2 2 3 7" xfId="10093" xr:uid="{00000000-0005-0000-0000-000044640000}"/>
    <cellStyle name="Normal 13 2 2 3 7 2" xfId="24322" xr:uid="{00000000-0005-0000-0000-000045640000}"/>
    <cellStyle name="Normal 13 2 2 3 8" xfId="30995" xr:uid="{00000000-0005-0000-0000-000046640000}"/>
    <cellStyle name="Normal 13 2 2 4" xfId="6680" xr:uid="{00000000-0005-0000-0000-000047640000}"/>
    <cellStyle name="Normal 13 2 2 4 2" xfId="6681" xr:uid="{00000000-0005-0000-0000-000048640000}"/>
    <cellStyle name="Normal 13 2 2 4 2 2" xfId="17179" xr:uid="{00000000-0005-0000-0000-000049640000}"/>
    <cellStyle name="Normal 13 2 2 4 2 2 2" xfId="30538" xr:uid="{00000000-0005-0000-0000-00004A640000}"/>
    <cellStyle name="Normal 13 2 2 4 2 3" xfId="31003" xr:uid="{00000000-0005-0000-0000-00004B640000}"/>
    <cellStyle name="Normal 13 2 2 4 3" xfId="11470" xr:uid="{00000000-0005-0000-0000-00004C640000}"/>
    <cellStyle name="Normal 13 2 2 4 3 2" xfId="25302" xr:uid="{00000000-0005-0000-0000-00004D640000}"/>
    <cellStyle name="Normal 13 2 2 4 4" xfId="31002" xr:uid="{00000000-0005-0000-0000-00004E640000}"/>
    <cellStyle name="Normal 13 2 2 5" xfId="6682" xr:uid="{00000000-0005-0000-0000-00004F640000}"/>
    <cellStyle name="Normal 13 2 2 5 2" xfId="6683" xr:uid="{00000000-0005-0000-0000-000050640000}"/>
    <cellStyle name="Normal 13 2 2 5 2 2" xfId="17268" xr:uid="{00000000-0005-0000-0000-000051640000}"/>
    <cellStyle name="Normal 13 2 2 5 2 2 2" xfId="30627" xr:uid="{00000000-0005-0000-0000-000052640000}"/>
    <cellStyle name="Normal 13 2 2 5 2 3" xfId="31005" xr:uid="{00000000-0005-0000-0000-000053640000}"/>
    <cellStyle name="Normal 13 2 2 5 3" xfId="11918" xr:uid="{00000000-0005-0000-0000-000054640000}"/>
    <cellStyle name="Normal 13 2 2 5 3 2" xfId="25633" xr:uid="{00000000-0005-0000-0000-000055640000}"/>
    <cellStyle name="Normal 13 2 2 5 4" xfId="31004" xr:uid="{00000000-0005-0000-0000-000056640000}"/>
    <cellStyle name="Normal 13 2 2 6" xfId="6684" xr:uid="{00000000-0005-0000-0000-000057640000}"/>
    <cellStyle name="Normal 13 2 2 6 2" xfId="6685" xr:uid="{00000000-0005-0000-0000-000058640000}"/>
    <cellStyle name="Normal 13 2 2 6 2 2" xfId="16543" xr:uid="{00000000-0005-0000-0000-000059640000}"/>
    <cellStyle name="Normal 13 2 2 6 2 2 2" xfId="29950" xr:uid="{00000000-0005-0000-0000-00005A640000}"/>
    <cellStyle name="Normal 13 2 2 6 2 3" xfId="31007" xr:uid="{00000000-0005-0000-0000-00005B640000}"/>
    <cellStyle name="Normal 13 2 2 6 3" xfId="13495" xr:uid="{00000000-0005-0000-0000-00005C640000}"/>
    <cellStyle name="Normal 13 2 2 6 3 2" xfId="27044" xr:uid="{00000000-0005-0000-0000-00005D640000}"/>
    <cellStyle name="Normal 13 2 2 6 4" xfId="31006" xr:uid="{00000000-0005-0000-0000-00005E640000}"/>
    <cellStyle name="Normal 13 2 2 7" xfId="6686" xr:uid="{00000000-0005-0000-0000-00005F640000}"/>
    <cellStyle name="Normal 13 2 2 7 2" xfId="14076" xr:uid="{00000000-0005-0000-0000-000060640000}"/>
    <cellStyle name="Normal 13 2 2 7 2 2" xfId="27625" xr:uid="{00000000-0005-0000-0000-000061640000}"/>
    <cellStyle name="Normal 13 2 2 7 3" xfId="31008" xr:uid="{00000000-0005-0000-0000-000062640000}"/>
    <cellStyle name="Normal 13 2 2 8" xfId="6687" xr:uid="{00000000-0005-0000-0000-000063640000}"/>
    <cellStyle name="Normal 13 2 2 8 2" xfId="15962" xr:uid="{00000000-0005-0000-0000-000064640000}"/>
    <cellStyle name="Normal 13 2 2 8 2 2" xfId="29369" xr:uid="{00000000-0005-0000-0000-000065640000}"/>
    <cellStyle name="Normal 13 2 2 8 3" xfId="31009" xr:uid="{00000000-0005-0000-0000-000066640000}"/>
    <cellStyle name="Normal 13 2 2 9" xfId="10090" xr:uid="{00000000-0005-0000-0000-000067640000}"/>
    <cellStyle name="Normal 13 2 2 9 2" xfId="24319" xr:uid="{00000000-0005-0000-0000-000068640000}"/>
    <cellStyle name="Normal 13 2 3" xfId="6688" xr:uid="{00000000-0005-0000-0000-000069640000}"/>
    <cellStyle name="Normal 13 2 3 2" xfId="6689" xr:uid="{00000000-0005-0000-0000-00006A640000}"/>
    <cellStyle name="Normal 13 2 3 2 2" xfId="6690" xr:uid="{00000000-0005-0000-0000-00006B640000}"/>
    <cellStyle name="Normal 13 2 3 2 2 2" xfId="6691" xr:uid="{00000000-0005-0000-0000-00006C640000}"/>
    <cellStyle name="Normal 13 2 3 2 2 2 2" xfId="16929" xr:uid="{00000000-0005-0000-0000-00006D640000}"/>
    <cellStyle name="Normal 13 2 3 2 2 2 2 2" xfId="30336" xr:uid="{00000000-0005-0000-0000-00006E640000}"/>
    <cellStyle name="Normal 13 2 3 2 2 2 3" xfId="31013" xr:uid="{00000000-0005-0000-0000-00006F640000}"/>
    <cellStyle name="Normal 13 2 3 2 2 3" xfId="11475" xr:uid="{00000000-0005-0000-0000-000070640000}"/>
    <cellStyle name="Normal 13 2 3 2 2 3 2" xfId="25307" xr:uid="{00000000-0005-0000-0000-000071640000}"/>
    <cellStyle name="Normal 13 2 3 2 2 4" xfId="31012" xr:uid="{00000000-0005-0000-0000-000072640000}"/>
    <cellStyle name="Normal 13 2 3 2 3" xfId="6692" xr:uid="{00000000-0005-0000-0000-000073640000}"/>
    <cellStyle name="Normal 13 2 3 2 3 2" xfId="12317" xr:uid="{00000000-0005-0000-0000-000074640000}"/>
    <cellStyle name="Normal 13 2 3 2 3 2 2" xfId="26029" xr:uid="{00000000-0005-0000-0000-000075640000}"/>
    <cellStyle name="Normal 13 2 3 2 3 3" xfId="31014" xr:uid="{00000000-0005-0000-0000-000076640000}"/>
    <cellStyle name="Normal 13 2 3 2 4" xfId="6693" xr:uid="{00000000-0005-0000-0000-000077640000}"/>
    <cellStyle name="Normal 13 2 3 2 4 2" xfId="13881" xr:uid="{00000000-0005-0000-0000-000078640000}"/>
    <cellStyle name="Normal 13 2 3 2 4 2 2" xfId="27430" xr:uid="{00000000-0005-0000-0000-000079640000}"/>
    <cellStyle name="Normal 13 2 3 2 4 3" xfId="31015" xr:uid="{00000000-0005-0000-0000-00007A640000}"/>
    <cellStyle name="Normal 13 2 3 2 5" xfId="6694" xr:uid="{00000000-0005-0000-0000-00007B640000}"/>
    <cellStyle name="Normal 13 2 3 2 5 2" xfId="14462" xr:uid="{00000000-0005-0000-0000-00007C640000}"/>
    <cellStyle name="Normal 13 2 3 2 5 2 2" xfId="28011" xr:uid="{00000000-0005-0000-0000-00007D640000}"/>
    <cellStyle name="Normal 13 2 3 2 5 3" xfId="31016" xr:uid="{00000000-0005-0000-0000-00007E640000}"/>
    <cellStyle name="Normal 13 2 3 2 6" xfId="6695" xr:uid="{00000000-0005-0000-0000-00007F640000}"/>
    <cellStyle name="Normal 13 2 3 2 6 2" xfId="16348" xr:uid="{00000000-0005-0000-0000-000080640000}"/>
    <cellStyle name="Normal 13 2 3 2 6 2 2" xfId="29755" xr:uid="{00000000-0005-0000-0000-000081640000}"/>
    <cellStyle name="Normal 13 2 3 2 6 3" xfId="31017" xr:uid="{00000000-0005-0000-0000-000082640000}"/>
    <cellStyle name="Normal 13 2 3 2 7" xfId="10095" xr:uid="{00000000-0005-0000-0000-000083640000}"/>
    <cellStyle name="Normal 13 2 3 2 7 2" xfId="24324" xr:uid="{00000000-0005-0000-0000-000084640000}"/>
    <cellStyle name="Normal 13 2 3 2 8" xfId="31011" xr:uid="{00000000-0005-0000-0000-000085640000}"/>
    <cellStyle name="Normal 13 2 3 3" xfId="6696" xr:uid="{00000000-0005-0000-0000-000086640000}"/>
    <cellStyle name="Normal 13 2 3 3 2" xfId="6697" xr:uid="{00000000-0005-0000-0000-000087640000}"/>
    <cellStyle name="Normal 13 2 3 3 2 2" xfId="16640" xr:uid="{00000000-0005-0000-0000-000088640000}"/>
    <cellStyle name="Normal 13 2 3 3 2 2 2" xfId="30047" xr:uid="{00000000-0005-0000-0000-000089640000}"/>
    <cellStyle name="Normal 13 2 3 3 2 3" xfId="31019" xr:uid="{00000000-0005-0000-0000-00008A640000}"/>
    <cellStyle name="Normal 13 2 3 3 3" xfId="11474" xr:uid="{00000000-0005-0000-0000-00008B640000}"/>
    <cellStyle name="Normal 13 2 3 3 3 2" xfId="25306" xr:uid="{00000000-0005-0000-0000-00008C640000}"/>
    <cellStyle name="Normal 13 2 3 3 4" xfId="31018" xr:uid="{00000000-0005-0000-0000-00008D640000}"/>
    <cellStyle name="Normal 13 2 3 4" xfId="6698" xr:uid="{00000000-0005-0000-0000-00008E640000}"/>
    <cellStyle name="Normal 13 2 3 4 2" xfId="12017" xr:uid="{00000000-0005-0000-0000-00008F640000}"/>
    <cellStyle name="Normal 13 2 3 4 2 2" xfId="25732" xr:uid="{00000000-0005-0000-0000-000090640000}"/>
    <cellStyle name="Normal 13 2 3 4 3" xfId="31020" xr:uid="{00000000-0005-0000-0000-000091640000}"/>
    <cellStyle name="Normal 13 2 3 5" xfId="6699" xr:uid="{00000000-0005-0000-0000-000092640000}"/>
    <cellStyle name="Normal 13 2 3 5 2" xfId="13592" xr:uid="{00000000-0005-0000-0000-000093640000}"/>
    <cellStyle name="Normal 13 2 3 5 2 2" xfId="27141" xr:uid="{00000000-0005-0000-0000-000094640000}"/>
    <cellStyle name="Normal 13 2 3 5 3" xfId="31021" xr:uid="{00000000-0005-0000-0000-000095640000}"/>
    <cellStyle name="Normal 13 2 3 6" xfId="6700" xr:uid="{00000000-0005-0000-0000-000096640000}"/>
    <cellStyle name="Normal 13 2 3 6 2" xfId="14173" xr:uid="{00000000-0005-0000-0000-000097640000}"/>
    <cellStyle name="Normal 13 2 3 6 2 2" xfId="27722" xr:uid="{00000000-0005-0000-0000-000098640000}"/>
    <cellStyle name="Normal 13 2 3 6 3" xfId="31022" xr:uid="{00000000-0005-0000-0000-000099640000}"/>
    <cellStyle name="Normal 13 2 3 7" xfId="6701" xr:uid="{00000000-0005-0000-0000-00009A640000}"/>
    <cellStyle name="Normal 13 2 3 7 2" xfId="16059" xr:uid="{00000000-0005-0000-0000-00009B640000}"/>
    <cellStyle name="Normal 13 2 3 7 2 2" xfId="29466" xr:uid="{00000000-0005-0000-0000-00009C640000}"/>
    <cellStyle name="Normal 13 2 3 7 3" xfId="31023" xr:uid="{00000000-0005-0000-0000-00009D640000}"/>
    <cellStyle name="Normal 13 2 3 8" xfId="10094" xr:uid="{00000000-0005-0000-0000-00009E640000}"/>
    <cellStyle name="Normal 13 2 3 8 2" xfId="24323" xr:uid="{00000000-0005-0000-0000-00009F640000}"/>
    <cellStyle name="Normal 13 2 3 9" xfId="31010" xr:uid="{00000000-0005-0000-0000-0000A0640000}"/>
    <cellStyle name="Normal 13 2 4" xfId="6702" xr:uid="{00000000-0005-0000-0000-0000A1640000}"/>
    <cellStyle name="Normal 13 2 4 2" xfId="6703" xr:uid="{00000000-0005-0000-0000-0000A2640000}"/>
    <cellStyle name="Normal 13 2 4 2 2" xfId="6704" xr:uid="{00000000-0005-0000-0000-0000A3640000}"/>
    <cellStyle name="Normal 13 2 4 2 2 2" xfId="16786" xr:uid="{00000000-0005-0000-0000-0000A4640000}"/>
    <cellStyle name="Normal 13 2 4 2 2 2 2" xfId="30193" xr:uid="{00000000-0005-0000-0000-0000A5640000}"/>
    <cellStyle name="Normal 13 2 4 2 2 3" xfId="31026" xr:uid="{00000000-0005-0000-0000-0000A6640000}"/>
    <cellStyle name="Normal 13 2 4 2 3" xfId="11476" xr:uid="{00000000-0005-0000-0000-0000A7640000}"/>
    <cellStyle name="Normal 13 2 4 2 3 2" xfId="25308" xr:uid="{00000000-0005-0000-0000-0000A8640000}"/>
    <cellStyle name="Normal 13 2 4 2 4" xfId="31025" xr:uid="{00000000-0005-0000-0000-0000A9640000}"/>
    <cellStyle name="Normal 13 2 4 3" xfId="6705" xr:uid="{00000000-0005-0000-0000-0000AA640000}"/>
    <cellStyle name="Normal 13 2 4 3 2" xfId="12174" xr:uid="{00000000-0005-0000-0000-0000AB640000}"/>
    <cellStyle name="Normal 13 2 4 3 2 2" xfId="25886" xr:uid="{00000000-0005-0000-0000-0000AC640000}"/>
    <cellStyle name="Normal 13 2 4 3 3" xfId="31027" xr:uid="{00000000-0005-0000-0000-0000AD640000}"/>
    <cellStyle name="Normal 13 2 4 4" xfId="6706" xr:uid="{00000000-0005-0000-0000-0000AE640000}"/>
    <cellStyle name="Normal 13 2 4 4 2" xfId="13738" xr:uid="{00000000-0005-0000-0000-0000AF640000}"/>
    <cellStyle name="Normal 13 2 4 4 2 2" xfId="27287" xr:uid="{00000000-0005-0000-0000-0000B0640000}"/>
    <cellStyle name="Normal 13 2 4 4 3" xfId="31028" xr:uid="{00000000-0005-0000-0000-0000B1640000}"/>
    <cellStyle name="Normal 13 2 4 5" xfId="6707" xr:uid="{00000000-0005-0000-0000-0000B2640000}"/>
    <cellStyle name="Normal 13 2 4 5 2" xfId="14319" xr:uid="{00000000-0005-0000-0000-0000B3640000}"/>
    <cellStyle name="Normal 13 2 4 5 2 2" xfId="27868" xr:uid="{00000000-0005-0000-0000-0000B4640000}"/>
    <cellStyle name="Normal 13 2 4 5 3" xfId="31029" xr:uid="{00000000-0005-0000-0000-0000B5640000}"/>
    <cellStyle name="Normal 13 2 4 6" xfId="6708" xr:uid="{00000000-0005-0000-0000-0000B6640000}"/>
    <cellStyle name="Normal 13 2 4 6 2" xfId="16205" xr:uid="{00000000-0005-0000-0000-0000B7640000}"/>
    <cellStyle name="Normal 13 2 4 6 2 2" xfId="29612" xr:uid="{00000000-0005-0000-0000-0000B8640000}"/>
    <cellStyle name="Normal 13 2 4 6 3" xfId="31030" xr:uid="{00000000-0005-0000-0000-0000B9640000}"/>
    <cellStyle name="Normal 13 2 4 7" xfId="10096" xr:uid="{00000000-0005-0000-0000-0000BA640000}"/>
    <cellStyle name="Normal 13 2 4 7 2" xfId="24325" xr:uid="{00000000-0005-0000-0000-0000BB640000}"/>
    <cellStyle name="Normal 13 2 4 8" xfId="31024" xr:uid="{00000000-0005-0000-0000-0000BC640000}"/>
    <cellStyle name="Normal 13 2 5" xfId="6709" xr:uid="{00000000-0005-0000-0000-0000BD640000}"/>
    <cellStyle name="Normal 13 2 5 2" xfId="6710" xr:uid="{00000000-0005-0000-0000-0000BE640000}"/>
    <cellStyle name="Normal 13 2 5 2 2" xfId="13240" xr:uid="{00000000-0005-0000-0000-0000BF640000}"/>
    <cellStyle name="Normal 13 2 5 2 2 2" xfId="26885" xr:uid="{00000000-0005-0000-0000-0000C0640000}"/>
    <cellStyle name="Normal 13 2 5 2 3" xfId="31032" xr:uid="{00000000-0005-0000-0000-0000C1640000}"/>
    <cellStyle name="Normal 13 2 5 3" xfId="6711" xr:uid="{00000000-0005-0000-0000-0000C2640000}"/>
    <cellStyle name="Normal 13 2 5 3 2" xfId="15691" xr:uid="{00000000-0005-0000-0000-0000C3640000}"/>
    <cellStyle name="Normal 13 2 5 3 2 2" xfId="29177" xr:uid="{00000000-0005-0000-0000-0000C4640000}"/>
    <cellStyle name="Normal 13 2 5 3 3" xfId="31033" xr:uid="{00000000-0005-0000-0000-0000C5640000}"/>
    <cellStyle name="Normal 13 2 5 4" xfId="6712" xr:uid="{00000000-0005-0000-0000-0000C6640000}"/>
    <cellStyle name="Normal 13 2 5 4 2" xfId="17037" xr:uid="{00000000-0005-0000-0000-0000C7640000}"/>
    <cellStyle name="Normal 13 2 5 4 2 2" xfId="30440" xr:uid="{00000000-0005-0000-0000-0000C8640000}"/>
    <cellStyle name="Normal 13 2 5 4 3" xfId="31034" xr:uid="{00000000-0005-0000-0000-0000C9640000}"/>
    <cellStyle name="Normal 13 2 5 5" xfId="10542" xr:uid="{00000000-0005-0000-0000-0000CA640000}"/>
    <cellStyle name="Normal 13 2 5 5 2" xfId="24484" xr:uid="{00000000-0005-0000-0000-0000CB640000}"/>
    <cellStyle name="Normal 13 2 5 6" xfId="31031" xr:uid="{00000000-0005-0000-0000-0000CC640000}"/>
    <cellStyle name="Normal 13 2 6" xfId="6713" xr:uid="{00000000-0005-0000-0000-0000CD640000}"/>
    <cellStyle name="Normal 13 2 6 2" xfId="6714" xr:uid="{00000000-0005-0000-0000-0000CE640000}"/>
    <cellStyle name="Normal 13 2 6 2 2" xfId="13241" xr:uid="{00000000-0005-0000-0000-0000CF640000}"/>
    <cellStyle name="Normal 13 2 6 2 2 2" xfId="26886" xr:uid="{00000000-0005-0000-0000-0000D0640000}"/>
    <cellStyle name="Normal 13 2 6 2 3" xfId="31036" xr:uid="{00000000-0005-0000-0000-0000D1640000}"/>
    <cellStyle name="Normal 13 2 6 3" xfId="6715" xr:uid="{00000000-0005-0000-0000-0000D2640000}"/>
    <cellStyle name="Normal 13 2 6 3 2" xfId="15692" xr:uid="{00000000-0005-0000-0000-0000D3640000}"/>
    <cellStyle name="Normal 13 2 6 3 2 2" xfId="29178" xr:uid="{00000000-0005-0000-0000-0000D4640000}"/>
    <cellStyle name="Normal 13 2 6 3 3" xfId="31037" xr:uid="{00000000-0005-0000-0000-0000D5640000}"/>
    <cellStyle name="Normal 13 2 6 4" xfId="6716" xr:uid="{00000000-0005-0000-0000-0000D6640000}"/>
    <cellStyle name="Normal 13 2 6 4 2" xfId="17133" xr:uid="{00000000-0005-0000-0000-0000D7640000}"/>
    <cellStyle name="Normal 13 2 6 4 2 2" xfId="30492" xr:uid="{00000000-0005-0000-0000-0000D8640000}"/>
    <cellStyle name="Normal 13 2 6 4 3" xfId="31038" xr:uid="{00000000-0005-0000-0000-0000D9640000}"/>
    <cellStyle name="Normal 13 2 6 5" xfId="11469" xr:uid="{00000000-0005-0000-0000-0000DA640000}"/>
    <cellStyle name="Normal 13 2 6 5 2" xfId="25301" xr:uid="{00000000-0005-0000-0000-0000DB640000}"/>
    <cellStyle name="Normal 13 2 6 6" xfId="31035" xr:uid="{00000000-0005-0000-0000-0000DC640000}"/>
    <cellStyle name="Normal 13 2 7" xfId="6717" xr:uid="{00000000-0005-0000-0000-0000DD640000}"/>
    <cellStyle name="Normal 13 2 7 2" xfId="6718" xr:uid="{00000000-0005-0000-0000-0000DE640000}"/>
    <cellStyle name="Normal 13 2 7 2 2" xfId="17222" xr:uid="{00000000-0005-0000-0000-0000DF640000}"/>
    <cellStyle name="Normal 13 2 7 2 2 2" xfId="30581" xr:uid="{00000000-0005-0000-0000-0000E0640000}"/>
    <cellStyle name="Normal 13 2 7 2 3" xfId="31040" xr:uid="{00000000-0005-0000-0000-0000E1640000}"/>
    <cellStyle name="Normal 13 2 7 3" xfId="11859" xr:uid="{00000000-0005-0000-0000-0000E2640000}"/>
    <cellStyle name="Normal 13 2 7 3 2" xfId="25574" xr:uid="{00000000-0005-0000-0000-0000E3640000}"/>
    <cellStyle name="Normal 13 2 7 4" xfId="31039" xr:uid="{00000000-0005-0000-0000-0000E4640000}"/>
    <cellStyle name="Normal 13 2 8" xfId="6719" xr:uid="{00000000-0005-0000-0000-0000E5640000}"/>
    <cellStyle name="Normal 13 2 8 2" xfId="6720" xr:uid="{00000000-0005-0000-0000-0000E6640000}"/>
    <cellStyle name="Normal 13 2 8 2 2" xfId="16497" xr:uid="{00000000-0005-0000-0000-0000E7640000}"/>
    <cellStyle name="Normal 13 2 8 2 2 2" xfId="29904" xr:uid="{00000000-0005-0000-0000-0000E8640000}"/>
    <cellStyle name="Normal 13 2 8 2 3" xfId="31042" xr:uid="{00000000-0005-0000-0000-0000E9640000}"/>
    <cellStyle name="Normal 13 2 8 3" xfId="13449" xr:uid="{00000000-0005-0000-0000-0000EA640000}"/>
    <cellStyle name="Normal 13 2 8 3 2" xfId="26998" xr:uid="{00000000-0005-0000-0000-0000EB640000}"/>
    <cellStyle name="Normal 13 2 8 4" xfId="31041" xr:uid="{00000000-0005-0000-0000-0000EC640000}"/>
    <cellStyle name="Normal 13 2 9" xfId="6721" xr:uid="{00000000-0005-0000-0000-0000ED640000}"/>
    <cellStyle name="Normal 13 2 9 2" xfId="14030" xr:uid="{00000000-0005-0000-0000-0000EE640000}"/>
    <cellStyle name="Normal 13 2 9 2 2" xfId="27579" xr:uid="{00000000-0005-0000-0000-0000EF640000}"/>
    <cellStyle name="Normal 13 2 9 3" xfId="31043" xr:uid="{00000000-0005-0000-0000-0000F0640000}"/>
    <cellStyle name="Normal 13 3" xfId="6722" xr:uid="{00000000-0005-0000-0000-0000F1640000}"/>
    <cellStyle name="Normal 13 3 10" xfId="31044" xr:uid="{00000000-0005-0000-0000-0000F2640000}"/>
    <cellStyle name="Normal 13 3 2" xfId="6723" xr:uid="{00000000-0005-0000-0000-0000F3640000}"/>
    <cellStyle name="Normal 13 3 2 2" xfId="6724" xr:uid="{00000000-0005-0000-0000-0000F4640000}"/>
    <cellStyle name="Normal 13 3 2 2 2" xfId="6725" xr:uid="{00000000-0005-0000-0000-0000F5640000}"/>
    <cellStyle name="Normal 13 3 2 2 2 2" xfId="6726" xr:uid="{00000000-0005-0000-0000-0000F6640000}"/>
    <cellStyle name="Normal 13 3 2 2 2 2 2" xfId="16952" xr:uid="{00000000-0005-0000-0000-0000F7640000}"/>
    <cellStyle name="Normal 13 3 2 2 2 2 2 2" xfId="30359" xr:uid="{00000000-0005-0000-0000-0000F8640000}"/>
    <cellStyle name="Normal 13 3 2 2 2 2 3" xfId="31048" xr:uid="{00000000-0005-0000-0000-0000F9640000}"/>
    <cellStyle name="Normal 13 3 2 2 2 3" xfId="11479" xr:uid="{00000000-0005-0000-0000-0000FA640000}"/>
    <cellStyle name="Normal 13 3 2 2 2 3 2" xfId="25311" xr:uid="{00000000-0005-0000-0000-0000FB640000}"/>
    <cellStyle name="Normal 13 3 2 2 2 4" xfId="31047" xr:uid="{00000000-0005-0000-0000-0000FC640000}"/>
    <cellStyle name="Normal 13 3 2 2 3" xfId="6727" xr:uid="{00000000-0005-0000-0000-0000FD640000}"/>
    <cellStyle name="Normal 13 3 2 2 3 2" xfId="12340" xr:uid="{00000000-0005-0000-0000-0000FE640000}"/>
    <cellStyle name="Normal 13 3 2 2 3 2 2" xfId="26052" xr:uid="{00000000-0005-0000-0000-0000FF640000}"/>
    <cellStyle name="Normal 13 3 2 2 3 3" xfId="31049" xr:uid="{00000000-0005-0000-0000-000000650000}"/>
    <cellStyle name="Normal 13 3 2 2 4" xfId="6728" xr:uid="{00000000-0005-0000-0000-000001650000}"/>
    <cellStyle name="Normal 13 3 2 2 4 2" xfId="13904" xr:uid="{00000000-0005-0000-0000-000002650000}"/>
    <cellStyle name="Normal 13 3 2 2 4 2 2" xfId="27453" xr:uid="{00000000-0005-0000-0000-000003650000}"/>
    <cellStyle name="Normal 13 3 2 2 4 3" xfId="31050" xr:uid="{00000000-0005-0000-0000-000004650000}"/>
    <cellStyle name="Normal 13 3 2 2 5" xfId="6729" xr:uid="{00000000-0005-0000-0000-000005650000}"/>
    <cellStyle name="Normal 13 3 2 2 5 2" xfId="14485" xr:uid="{00000000-0005-0000-0000-000006650000}"/>
    <cellStyle name="Normal 13 3 2 2 5 2 2" xfId="28034" xr:uid="{00000000-0005-0000-0000-000007650000}"/>
    <cellStyle name="Normal 13 3 2 2 5 3" xfId="31051" xr:uid="{00000000-0005-0000-0000-000008650000}"/>
    <cellStyle name="Normal 13 3 2 2 6" xfId="6730" xr:uid="{00000000-0005-0000-0000-000009650000}"/>
    <cellStyle name="Normal 13 3 2 2 6 2" xfId="16371" xr:uid="{00000000-0005-0000-0000-00000A650000}"/>
    <cellStyle name="Normal 13 3 2 2 6 2 2" xfId="29778" xr:uid="{00000000-0005-0000-0000-00000B650000}"/>
    <cellStyle name="Normal 13 3 2 2 6 3" xfId="31052" xr:uid="{00000000-0005-0000-0000-00000C650000}"/>
    <cellStyle name="Normal 13 3 2 2 7" xfId="10099" xr:uid="{00000000-0005-0000-0000-00000D650000}"/>
    <cellStyle name="Normal 13 3 2 2 7 2" xfId="24328" xr:uid="{00000000-0005-0000-0000-00000E650000}"/>
    <cellStyle name="Normal 13 3 2 2 8" xfId="31046" xr:uid="{00000000-0005-0000-0000-00000F650000}"/>
    <cellStyle name="Normal 13 3 2 3" xfId="6731" xr:uid="{00000000-0005-0000-0000-000010650000}"/>
    <cellStyle name="Normal 13 3 2 3 2" xfId="6732" xr:uid="{00000000-0005-0000-0000-000011650000}"/>
    <cellStyle name="Normal 13 3 2 3 2 2" xfId="16663" xr:uid="{00000000-0005-0000-0000-000012650000}"/>
    <cellStyle name="Normal 13 3 2 3 2 2 2" xfId="30070" xr:uid="{00000000-0005-0000-0000-000013650000}"/>
    <cellStyle name="Normal 13 3 2 3 2 3" xfId="31054" xr:uid="{00000000-0005-0000-0000-000014650000}"/>
    <cellStyle name="Normal 13 3 2 3 3" xfId="11478" xr:uid="{00000000-0005-0000-0000-000015650000}"/>
    <cellStyle name="Normal 13 3 2 3 3 2" xfId="25310" xr:uid="{00000000-0005-0000-0000-000016650000}"/>
    <cellStyle name="Normal 13 3 2 3 4" xfId="31053" xr:uid="{00000000-0005-0000-0000-000017650000}"/>
    <cellStyle name="Normal 13 3 2 4" xfId="6733" xr:uid="{00000000-0005-0000-0000-000018650000}"/>
    <cellStyle name="Normal 13 3 2 4 2" xfId="12040" xr:uid="{00000000-0005-0000-0000-000019650000}"/>
    <cellStyle name="Normal 13 3 2 4 2 2" xfId="25755" xr:uid="{00000000-0005-0000-0000-00001A650000}"/>
    <cellStyle name="Normal 13 3 2 4 3" xfId="31055" xr:uid="{00000000-0005-0000-0000-00001B650000}"/>
    <cellStyle name="Normal 13 3 2 5" xfId="6734" xr:uid="{00000000-0005-0000-0000-00001C650000}"/>
    <cellStyle name="Normal 13 3 2 5 2" xfId="13615" xr:uid="{00000000-0005-0000-0000-00001D650000}"/>
    <cellStyle name="Normal 13 3 2 5 2 2" xfId="27164" xr:uid="{00000000-0005-0000-0000-00001E650000}"/>
    <cellStyle name="Normal 13 3 2 5 3" xfId="31056" xr:uid="{00000000-0005-0000-0000-00001F650000}"/>
    <cellStyle name="Normal 13 3 2 6" xfId="6735" xr:uid="{00000000-0005-0000-0000-000020650000}"/>
    <cellStyle name="Normal 13 3 2 6 2" xfId="14196" xr:uid="{00000000-0005-0000-0000-000021650000}"/>
    <cellStyle name="Normal 13 3 2 6 2 2" xfId="27745" xr:uid="{00000000-0005-0000-0000-000022650000}"/>
    <cellStyle name="Normal 13 3 2 6 3" xfId="31057" xr:uid="{00000000-0005-0000-0000-000023650000}"/>
    <cellStyle name="Normal 13 3 2 7" xfId="6736" xr:uid="{00000000-0005-0000-0000-000024650000}"/>
    <cellStyle name="Normal 13 3 2 7 2" xfId="16082" xr:uid="{00000000-0005-0000-0000-000025650000}"/>
    <cellStyle name="Normal 13 3 2 7 2 2" xfId="29489" xr:uid="{00000000-0005-0000-0000-000026650000}"/>
    <cellStyle name="Normal 13 3 2 7 3" xfId="31058" xr:uid="{00000000-0005-0000-0000-000027650000}"/>
    <cellStyle name="Normal 13 3 2 8" xfId="10098" xr:uid="{00000000-0005-0000-0000-000028650000}"/>
    <cellStyle name="Normal 13 3 2 8 2" xfId="24327" xr:uid="{00000000-0005-0000-0000-000029650000}"/>
    <cellStyle name="Normal 13 3 2 9" xfId="31045" xr:uid="{00000000-0005-0000-0000-00002A650000}"/>
    <cellStyle name="Normal 13 3 3" xfId="6737" xr:uid="{00000000-0005-0000-0000-00002B650000}"/>
    <cellStyle name="Normal 13 3 3 2" xfId="6738" xr:uid="{00000000-0005-0000-0000-00002C650000}"/>
    <cellStyle name="Normal 13 3 3 2 2" xfId="6739" xr:uid="{00000000-0005-0000-0000-00002D650000}"/>
    <cellStyle name="Normal 13 3 3 2 2 2" xfId="16809" xr:uid="{00000000-0005-0000-0000-00002E650000}"/>
    <cellStyle name="Normal 13 3 3 2 2 2 2" xfId="30216" xr:uid="{00000000-0005-0000-0000-00002F650000}"/>
    <cellStyle name="Normal 13 3 3 2 2 3" xfId="31061" xr:uid="{00000000-0005-0000-0000-000030650000}"/>
    <cellStyle name="Normal 13 3 3 2 3" xfId="11480" xr:uid="{00000000-0005-0000-0000-000031650000}"/>
    <cellStyle name="Normal 13 3 3 2 3 2" xfId="25312" xr:uid="{00000000-0005-0000-0000-000032650000}"/>
    <cellStyle name="Normal 13 3 3 2 4" xfId="31060" xr:uid="{00000000-0005-0000-0000-000033650000}"/>
    <cellStyle name="Normal 13 3 3 3" xfId="6740" xr:uid="{00000000-0005-0000-0000-000034650000}"/>
    <cellStyle name="Normal 13 3 3 3 2" xfId="12197" xr:uid="{00000000-0005-0000-0000-000035650000}"/>
    <cellStyle name="Normal 13 3 3 3 2 2" xfId="25909" xr:uid="{00000000-0005-0000-0000-000036650000}"/>
    <cellStyle name="Normal 13 3 3 3 3" xfId="31062" xr:uid="{00000000-0005-0000-0000-000037650000}"/>
    <cellStyle name="Normal 13 3 3 4" xfId="6741" xr:uid="{00000000-0005-0000-0000-000038650000}"/>
    <cellStyle name="Normal 13 3 3 4 2" xfId="13761" xr:uid="{00000000-0005-0000-0000-000039650000}"/>
    <cellStyle name="Normal 13 3 3 4 2 2" xfId="27310" xr:uid="{00000000-0005-0000-0000-00003A650000}"/>
    <cellStyle name="Normal 13 3 3 4 3" xfId="31063" xr:uid="{00000000-0005-0000-0000-00003B650000}"/>
    <cellStyle name="Normal 13 3 3 5" xfId="6742" xr:uid="{00000000-0005-0000-0000-00003C650000}"/>
    <cellStyle name="Normal 13 3 3 5 2" xfId="14342" xr:uid="{00000000-0005-0000-0000-00003D650000}"/>
    <cellStyle name="Normal 13 3 3 5 2 2" xfId="27891" xr:uid="{00000000-0005-0000-0000-00003E650000}"/>
    <cellStyle name="Normal 13 3 3 5 3" xfId="31064" xr:uid="{00000000-0005-0000-0000-00003F650000}"/>
    <cellStyle name="Normal 13 3 3 6" xfId="6743" xr:uid="{00000000-0005-0000-0000-000040650000}"/>
    <cellStyle name="Normal 13 3 3 6 2" xfId="16228" xr:uid="{00000000-0005-0000-0000-000041650000}"/>
    <cellStyle name="Normal 13 3 3 6 2 2" xfId="29635" xr:uid="{00000000-0005-0000-0000-000042650000}"/>
    <cellStyle name="Normal 13 3 3 6 3" xfId="31065" xr:uid="{00000000-0005-0000-0000-000043650000}"/>
    <cellStyle name="Normal 13 3 3 7" xfId="10100" xr:uid="{00000000-0005-0000-0000-000044650000}"/>
    <cellStyle name="Normal 13 3 3 7 2" xfId="24329" xr:uid="{00000000-0005-0000-0000-000045650000}"/>
    <cellStyle name="Normal 13 3 3 8" xfId="31059" xr:uid="{00000000-0005-0000-0000-000046650000}"/>
    <cellStyle name="Normal 13 3 4" xfId="6744" xr:uid="{00000000-0005-0000-0000-000047650000}"/>
    <cellStyle name="Normal 13 3 4 2" xfId="6745" xr:uid="{00000000-0005-0000-0000-000048650000}"/>
    <cellStyle name="Normal 13 3 4 2 2" xfId="17156" xr:uid="{00000000-0005-0000-0000-000049650000}"/>
    <cellStyle name="Normal 13 3 4 2 2 2" xfId="30515" xr:uid="{00000000-0005-0000-0000-00004A650000}"/>
    <cellStyle name="Normal 13 3 4 2 3" xfId="31067" xr:uid="{00000000-0005-0000-0000-00004B650000}"/>
    <cellStyle name="Normal 13 3 4 3" xfId="11477" xr:uid="{00000000-0005-0000-0000-00004C650000}"/>
    <cellStyle name="Normal 13 3 4 3 2" xfId="25309" xr:uid="{00000000-0005-0000-0000-00004D650000}"/>
    <cellStyle name="Normal 13 3 4 4" xfId="31066" xr:uid="{00000000-0005-0000-0000-00004E650000}"/>
    <cellStyle name="Normal 13 3 5" xfId="6746" xr:uid="{00000000-0005-0000-0000-00004F650000}"/>
    <cellStyle name="Normal 13 3 5 2" xfId="6747" xr:uid="{00000000-0005-0000-0000-000050650000}"/>
    <cellStyle name="Normal 13 3 5 2 2" xfId="17245" xr:uid="{00000000-0005-0000-0000-000051650000}"/>
    <cellStyle name="Normal 13 3 5 2 2 2" xfId="30604" xr:uid="{00000000-0005-0000-0000-000052650000}"/>
    <cellStyle name="Normal 13 3 5 2 3" xfId="31069" xr:uid="{00000000-0005-0000-0000-000053650000}"/>
    <cellStyle name="Normal 13 3 5 3" xfId="11895" xr:uid="{00000000-0005-0000-0000-000054650000}"/>
    <cellStyle name="Normal 13 3 5 3 2" xfId="25610" xr:uid="{00000000-0005-0000-0000-000055650000}"/>
    <cellStyle name="Normal 13 3 5 4" xfId="31068" xr:uid="{00000000-0005-0000-0000-000056650000}"/>
    <cellStyle name="Normal 13 3 6" xfId="6748" xr:uid="{00000000-0005-0000-0000-000057650000}"/>
    <cellStyle name="Normal 13 3 6 2" xfId="6749" xr:uid="{00000000-0005-0000-0000-000058650000}"/>
    <cellStyle name="Normal 13 3 6 2 2" xfId="16520" xr:uid="{00000000-0005-0000-0000-000059650000}"/>
    <cellStyle name="Normal 13 3 6 2 2 2" xfId="29927" xr:uid="{00000000-0005-0000-0000-00005A650000}"/>
    <cellStyle name="Normal 13 3 6 2 3" xfId="31071" xr:uid="{00000000-0005-0000-0000-00005B650000}"/>
    <cellStyle name="Normal 13 3 6 3" xfId="13472" xr:uid="{00000000-0005-0000-0000-00005C650000}"/>
    <cellStyle name="Normal 13 3 6 3 2" xfId="27021" xr:uid="{00000000-0005-0000-0000-00005D650000}"/>
    <cellStyle name="Normal 13 3 6 4" xfId="31070" xr:uid="{00000000-0005-0000-0000-00005E650000}"/>
    <cellStyle name="Normal 13 3 7" xfId="6750" xr:uid="{00000000-0005-0000-0000-00005F650000}"/>
    <cellStyle name="Normal 13 3 7 2" xfId="14053" xr:uid="{00000000-0005-0000-0000-000060650000}"/>
    <cellStyle name="Normal 13 3 7 2 2" xfId="27602" xr:uid="{00000000-0005-0000-0000-000061650000}"/>
    <cellStyle name="Normal 13 3 7 3" xfId="31072" xr:uid="{00000000-0005-0000-0000-000062650000}"/>
    <cellStyle name="Normal 13 3 8" xfId="6751" xr:uid="{00000000-0005-0000-0000-000063650000}"/>
    <cellStyle name="Normal 13 3 8 2" xfId="15939" xr:uid="{00000000-0005-0000-0000-000064650000}"/>
    <cellStyle name="Normal 13 3 8 2 2" xfId="29346" xr:uid="{00000000-0005-0000-0000-000065650000}"/>
    <cellStyle name="Normal 13 3 8 3" xfId="31073" xr:uid="{00000000-0005-0000-0000-000066650000}"/>
    <cellStyle name="Normal 13 3 9" xfId="10097" xr:uid="{00000000-0005-0000-0000-000067650000}"/>
    <cellStyle name="Normal 13 3 9 2" xfId="24326" xr:uid="{00000000-0005-0000-0000-000068650000}"/>
    <cellStyle name="Normal 13 4" xfId="6752" xr:uid="{00000000-0005-0000-0000-000069650000}"/>
    <cellStyle name="Normal 13 4 10" xfId="31074" xr:uid="{00000000-0005-0000-0000-00006A650000}"/>
    <cellStyle name="Normal 13 4 2" xfId="6753" xr:uid="{00000000-0005-0000-0000-00006B650000}"/>
    <cellStyle name="Normal 13 4 2 2" xfId="6754" xr:uid="{00000000-0005-0000-0000-00006C650000}"/>
    <cellStyle name="Normal 13 4 2 2 2" xfId="6755" xr:uid="{00000000-0005-0000-0000-00006D650000}"/>
    <cellStyle name="Normal 13 4 2 2 2 2" xfId="6756" xr:uid="{00000000-0005-0000-0000-00006E650000}"/>
    <cellStyle name="Normal 13 4 2 2 2 2 2" xfId="16906" xr:uid="{00000000-0005-0000-0000-00006F650000}"/>
    <cellStyle name="Normal 13 4 2 2 2 2 2 2" xfId="30313" xr:uid="{00000000-0005-0000-0000-000070650000}"/>
    <cellStyle name="Normal 13 4 2 2 2 2 3" xfId="31078" xr:uid="{00000000-0005-0000-0000-000071650000}"/>
    <cellStyle name="Normal 13 4 2 2 2 3" xfId="11483" xr:uid="{00000000-0005-0000-0000-000072650000}"/>
    <cellStyle name="Normal 13 4 2 2 2 3 2" xfId="25315" xr:uid="{00000000-0005-0000-0000-000073650000}"/>
    <cellStyle name="Normal 13 4 2 2 2 4" xfId="31077" xr:uid="{00000000-0005-0000-0000-000074650000}"/>
    <cellStyle name="Normal 13 4 2 2 3" xfId="6757" xr:uid="{00000000-0005-0000-0000-000075650000}"/>
    <cellStyle name="Normal 13 4 2 2 3 2" xfId="12294" xr:uid="{00000000-0005-0000-0000-000076650000}"/>
    <cellStyle name="Normal 13 4 2 2 3 2 2" xfId="26006" xr:uid="{00000000-0005-0000-0000-000077650000}"/>
    <cellStyle name="Normal 13 4 2 2 3 3" xfId="31079" xr:uid="{00000000-0005-0000-0000-000078650000}"/>
    <cellStyle name="Normal 13 4 2 2 4" xfId="6758" xr:uid="{00000000-0005-0000-0000-000079650000}"/>
    <cellStyle name="Normal 13 4 2 2 4 2" xfId="13858" xr:uid="{00000000-0005-0000-0000-00007A650000}"/>
    <cellStyle name="Normal 13 4 2 2 4 2 2" xfId="27407" xr:uid="{00000000-0005-0000-0000-00007B650000}"/>
    <cellStyle name="Normal 13 4 2 2 4 3" xfId="31080" xr:uid="{00000000-0005-0000-0000-00007C650000}"/>
    <cellStyle name="Normal 13 4 2 2 5" xfId="6759" xr:uid="{00000000-0005-0000-0000-00007D650000}"/>
    <cellStyle name="Normal 13 4 2 2 5 2" xfId="14439" xr:uid="{00000000-0005-0000-0000-00007E650000}"/>
    <cellStyle name="Normal 13 4 2 2 5 2 2" xfId="27988" xr:uid="{00000000-0005-0000-0000-00007F650000}"/>
    <cellStyle name="Normal 13 4 2 2 5 3" xfId="31081" xr:uid="{00000000-0005-0000-0000-000080650000}"/>
    <cellStyle name="Normal 13 4 2 2 6" xfId="6760" xr:uid="{00000000-0005-0000-0000-000081650000}"/>
    <cellStyle name="Normal 13 4 2 2 6 2" xfId="16325" xr:uid="{00000000-0005-0000-0000-000082650000}"/>
    <cellStyle name="Normal 13 4 2 2 6 2 2" xfId="29732" xr:uid="{00000000-0005-0000-0000-000083650000}"/>
    <cellStyle name="Normal 13 4 2 2 6 3" xfId="31082" xr:uid="{00000000-0005-0000-0000-000084650000}"/>
    <cellStyle name="Normal 13 4 2 2 7" xfId="10103" xr:uid="{00000000-0005-0000-0000-000085650000}"/>
    <cellStyle name="Normal 13 4 2 2 7 2" xfId="24332" xr:uid="{00000000-0005-0000-0000-000086650000}"/>
    <cellStyle name="Normal 13 4 2 2 8" xfId="31076" xr:uid="{00000000-0005-0000-0000-000087650000}"/>
    <cellStyle name="Normal 13 4 2 3" xfId="6761" xr:uid="{00000000-0005-0000-0000-000088650000}"/>
    <cellStyle name="Normal 13 4 2 3 2" xfId="6762" xr:uid="{00000000-0005-0000-0000-000089650000}"/>
    <cellStyle name="Normal 13 4 2 3 2 2" xfId="16617" xr:uid="{00000000-0005-0000-0000-00008A650000}"/>
    <cellStyle name="Normal 13 4 2 3 2 2 2" xfId="30024" xr:uid="{00000000-0005-0000-0000-00008B650000}"/>
    <cellStyle name="Normal 13 4 2 3 2 3" xfId="31084" xr:uid="{00000000-0005-0000-0000-00008C650000}"/>
    <cellStyle name="Normal 13 4 2 3 3" xfId="11482" xr:uid="{00000000-0005-0000-0000-00008D650000}"/>
    <cellStyle name="Normal 13 4 2 3 3 2" xfId="25314" xr:uid="{00000000-0005-0000-0000-00008E650000}"/>
    <cellStyle name="Normal 13 4 2 3 4" xfId="31083" xr:uid="{00000000-0005-0000-0000-00008F650000}"/>
    <cellStyle name="Normal 13 4 2 4" xfId="6763" xr:uid="{00000000-0005-0000-0000-000090650000}"/>
    <cellStyle name="Normal 13 4 2 4 2" xfId="11994" xr:uid="{00000000-0005-0000-0000-000091650000}"/>
    <cellStyle name="Normal 13 4 2 4 2 2" xfId="25709" xr:uid="{00000000-0005-0000-0000-000092650000}"/>
    <cellStyle name="Normal 13 4 2 4 3" xfId="31085" xr:uid="{00000000-0005-0000-0000-000093650000}"/>
    <cellStyle name="Normal 13 4 2 5" xfId="6764" xr:uid="{00000000-0005-0000-0000-000094650000}"/>
    <cellStyle name="Normal 13 4 2 5 2" xfId="13569" xr:uid="{00000000-0005-0000-0000-000095650000}"/>
    <cellStyle name="Normal 13 4 2 5 2 2" xfId="27118" xr:uid="{00000000-0005-0000-0000-000096650000}"/>
    <cellStyle name="Normal 13 4 2 5 3" xfId="31086" xr:uid="{00000000-0005-0000-0000-000097650000}"/>
    <cellStyle name="Normal 13 4 2 6" xfId="6765" xr:uid="{00000000-0005-0000-0000-000098650000}"/>
    <cellStyle name="Normal 13 4 2 6 2" xfId="14150" xr:uid="{00000000-0005-0000-0000-000099650000}"/>
    <cellStyle name="Normal 13 4 2 6 2 2" xfId="27699" xr:uid="{00000000-0005-0000-0000-00009A650000}"/>
    <cellStyle name="Normal 13 4 2 6 3" xfId="31087" xr:uid="{00000000-0005-0000-0000-00009B650000}"/>
    <cellStyle name="Normal 13 4 2 7" xfId="6766" xr:uid="{00000000-0005-0000-0000-00009C650000}"/>
    <cellStyle name="Normal 13 4 2 7 2" xfId="16036" xr:uid="{00000000-0005-0000-0000-00009D650000}"/>
    <cellStyle name="Normal 13 4 2 7 2 2" xfId="29443" xr:uid="{00000000-0005-0000-0000-00009E650000}"/>
    <cellStyle name="Normal 13 4 2 7 3" xfId="31088" xr:uid="{00000000-0005-0000-0000-00009F650000}"/>
    <cellStyle name="Normal 13 4 2 8" xfId="10102" xr:uid="{00000000-0005-0000-0000-0000A0650000}"/>
    <cellStyle name="Normal 13 4 2 8 2" xfId="24331" xr:uid="{00000000-0005-0000-0000-0000A1650000}"/>
    <cellStyle name="Normal 13 4 2 9" xfId="31075" xr:uid="{00000000-0005-0000-0000-0000A2650000}"/>
    <cellStyle name="Normal 13 4 3" xfId="6767" xr:uid="{00000000-0005-0000-0000-0000A3650000}"/>
    <cellStyle name="Normal 13 4 3 2" xfId="6768" xr:uid="{00000000-0005-0000-0000-0000A4650000}"/>
    <cellStyle name="Normal 13 4 3 2 2" xfId="6769" xr:uid="{00000000-0005-0000-0000-0000A5650000}"/>
    <cellStyle name="Normal 13 4 3 2 2 2" xfId="16766" xr:uid="{00000000-0005-0000-0000-0000A6650000}"/>
    <cellStyle name="Normal 13 4 3 2 2 2 2" xfId="30173" xr:uid="{00000000-0005-0000-0000-0000A7650000}"/>
    <cellStyle name="Normal 13 4 3 2 2 3" xfId="31091" xr:uid="{00000000-0005-0000-0000-0000A8650000}"/>
    <cellStyle name="Normal 13 4 3 2 3" xfId="11484" xr:uid="{00000000-0005-0000-0000-0000A9650000}"/>
    <cellStyle name="Normal 13 4 3 2 3 2" xfId="25316" xr:uid="{00000000-0005-0000-0000-0000AA650000}"/>
    <cellStyle name="Normal 13 4 3 2 4" xfId="31090" xr:uid="{00000000-0005-0000-0000-0000AB650000}"/>
    <cellStyle name="Normal 13 4 3 3" xfId="6770" xr:uid="{00000000-0005-0000-0000-0000AC650000}"/>
    <cellStyle name="Normal 13 4 3 3 2" xfId="12154" xr:uid="{00000000-0005-0000-0000-0000AD650000}"/>
    <cellStyle name="Normal 13 4 3 3 2 2" xfId="25866" xr:uid="{00000000-0005-0000-0000-0000AE650000}"/>
    <cellStyle name="Normal 13 4 3 3 3" xfId="31092" xr:uid="{00000000-0005-0000-0000-0000AF650000}"/>
    <cellStyle name="Normal 13 4 3 4" xfId="6771" xr:uid="{00000000-0005-0000-0000-0000B0650000}"/>
    <cellStyle name="Normal 13 4 3 4 2" xfId="13718" xr:uid="{00000000-0005-0000-0000-0000B1650000}"/>
    <cellStyle name="Normal 13 4 3 4 2 2" xfId="27267" xr:uid="{00000000-0005-0000-0000-0000B2650000}"/>
    <cellStyle name="Normal 13 4 3 4 3" xfId="31093" xr:uid="{00000000-0005-0000-0000-0000B3650000}"/>
    <cellStyle name="Normal 13 4 3 5" xfId="6772" xr:uid="{00000000-0005-0000-0000-0000B4650000}"/>
    <cellStyle name="Normal 13 4 3 5 2" xfId="14299" xr:uid="{00000000-0005-0000-0000-0000B5650000}"/>
    <cellStyle name="Normal 13 4 3 5 2 2" xfId="27848" xr:uid="{00000000-0005-0000-0000-0000B6650000}"/>
    <cellStyle name="Normal 13 4 3 5 3" xfId="31094" xr:uid="{00000000-0005-0000-0000-0000B7650000}"/>
    <cellStyle name="Normal 13 4 3 6" xfId="6773" xr:uid="{00000000-0005-0000-0000-0000B8650000}"/>
    <cellStyle name="Normal 13 4 3 6 2" xfId="16185" xr:uid="{00000000-0005-0000-0000-0000B9650000}"/>
    <cellStyle name="Normal 13 4 3 6 2 2" xfId="29592" xr:uid="{00000000-0005-0000-0000-0000BA650000}"/>
    <cellStyle name="Normal 13 4 3 6 3" xfId="31095" xr:uid="{00000000-0005-0000-0000-0000BB650000}"/>
    <cellStyle name="Normal 13 4 3 7" xfId="10104" xr:uid="{00000000-0005-0000-0000-0000BC650000}"/>
    <cellStyle name="Normal 13 4 3 7 2" xfId="24333" xr:uid="{00000000-0005-0000-0000-0000BD650000}"/>
    <cellStyle name="Normal 13 4 3 8" xfId="31089" xr:uid="{00000000-0005-0000-0000-0000BE650000}"/>
    <cellStyle name="Normal 13 4 4" xfId="6774" xr:uid="{00000000-0005-0000-0000-0000BF650000}"/>
    <cellStyle name="Normal 13 4 4 2" xfId="6775" xr:uid="{00000000-0005-0000-0000-0000C0650000}"/>
    <cellStyle name="Normal 13 4 4 2 2" xfId="16474" xr:uid="{00000000-0005-0000-0000-0000C1650000}"/>
    <cellStyle name="Normal 13 4 4 2 2 2" xfId="29881" xr:uid="{00000000-0005-0000-0000-0000C2650000}"/>
    <cellStyle name="Normal 13 4 4 2 3" xfId="31097" xr:uid="{00000000-0005-0000-0000-0000C3650000}"/>
    <cellStyle name="Normal 13 4 4 3" xfId="11481" xr:uid="{00000000-0005-0000-0000-0000C4650000}"/>
    <cellStyle name="Normal 13 4 4 3 2" xfId="25313" xr:uid="{00000000-0005-0000-0000-0000C5650000}"/>
    <cellStyle name="Normal 13 4 4 4" xfId="31096" xr:uid="{00000000-0005-0000-0000-0000C6650000}"/>
    <cellStyle name="Normal 13 4 5" xfId="6776" xr:uid="{00000000-0005-0000-0000-0000C7650000}"/>
    <cellStyle name="Normal 13 4 5 2" xfId="11825" xr:uid="{00000000-0005-0000-0000-0000C8650000}"/>
    <cellStyle name="Normal 13 4 5 2 2" xfId="25540" xr:uid="{00000000-0005-0000-0000-0000C9650000}"/>
    <cellStyle name="Normal 13 4 5 3" xfId="31098" xr:uid="{00000000-0005-0000-0000-0000CA650000}"/>
    <cellStyle name="Normal 13 4 6" xfId="6777" xr:uid="{00000000-0005-0000-0000-0000CB650000}"/>
    <cellStyle name="Normal 13 4 6 2" xfId="13426" xr:uid="{00000000-0005-0000-0000-0000CC650000}"/>
    <cellStyle name="Normal 13 4 6 2 2" xfId="26975" xr:uid="{00000000-0005-0000-0000-0000CD650000}"/>
    <cellStyle name="Normal 13 4 6 3" xfId="31099" xr:uid="{00000000-0005-0000-0000-0000CE650000}"/>
    <cellStyle name="Normal 13 4 7" xfId="6778" xr:uid="{00000000-0005-0000-0000-0000CF650000}"/>
    <cellStyle name="Normal 13 4 7 2" xfId="14007" xr:uid="{00000000-0005-0000-0000-0000D0650000}"/>
    <cellStyle name="Normal 13 4 7 2 2" xfId="27556" xr:uid="{00000000-0005-0000-0000-0000D1650000}"/>
    <cellStyle name="Normal 13 4 7 3" xfId="31100" xr:uid="{00000000-0005-0000-0000-0000D2650000}"/>
    <cellStyle name="Normal 13 4 8" xfId="6779" xr:uid="{00000000-0005-0000-0000-0000D3650000}"/>
    <cellStyle name="Normal 13 4 8 2" xfId="15893" xr:uid="{00000000-0005-0000-0000-0000D4650000}"/>
    <cellStyle name="Normal 13 4 8 2 2" xfId="29300" xr:uid="{00000000-0005-0000-0000-0000D5650000}"/>
    <cellStyle name="Normal 13 4 8 3" xfId="31101" xr:uid="{00000000-0005-0000-0000-0000D6650000}"/>
    <cellStyle name="Normal 13 4 9" xfId="10101" xr:uid="{00000000-0005-0000-0000-0000D7650000}"/>
    <cellStyle name="Normal 13 4 9 2" xfId="24330" xr:uid="{00000000-0005-0000-0000-0000D8650000}"/>
    <cellStyle name="Normal 13 5" xfId="6780" xr:uid="{00000000-0005-0000-0000-0000D9650000}"/>
    <cellStyle name="Normal 13 5 10" xfId="31102" xr:uid="{00000000-0005-0000-0000-0000DA650000}"/>
    <cellStyle name="Normal 13 5 2" xfId="6781" xr:uid="{00000000-0005-0000-0000-0000DB650000}"/>
    <cellStyle name="Normal 13 5 2 2" xfId="6782" xr:uid="{00000000-0005-0000-0000-0000DC650000}"/>
    <cellStyle name="Normal 13 5 2 2 2" xfId="6783" xr:uid="{00000000-0005-0000-0000-0000DD650000}"/>
    <cellStyle name="Normal 13 5 2 2 2 2" xfId="6784" xr:uid="{00000000-0005-0000-0000-0000DE650000}"/>
    <cellStyle name="Normal 13 5 2 2 2 2 2" xfId="16889" xr:uid="{00000000-0005-0000-0000-0000DF650000}"/>
    <cellStyle name="Normal 13 5 2 2 2 2 2 2" xfId="30296" xr:uid="{00000000-0005-0000-0000-0000E0650000}"/>
    <cellStyle name="Normal 13 5 2 2 2 2 3" xfId="31106" xr:uid="{00000000-0005-0000-0000-0000E1650000}"/>
    <cellStyle name="Normal 13 5 2 2 2 3" xfId="11487" xr:uid="{00000000-0005-0000-0000-0000E2650000}"/>
    <cellStyle name="Normal 13 5 2 2 2 3 2" xfId="25319" xr:uid="{00000000-0005-0000-0000-0000E3650000}"/>
    <cellStyle name="Normal 13 5 2 2 2 4" xfId="31105" xr:uid="{00000000-0005-0000-0000-0000E4650000}"/>
    <cellStyle name="Normal 13 5 2 2 3" xfId="6785" xr:uid="{00000000-0005-0000-0000-0000E5650000}"/>
    <cellStyle name="Normal 13 5 2 2 3 2" xfId="12277" xr:uid="{00000000-0005-0000-0000-0000E6650000}"/>
    <cellStyle name="Normal 13 5 2 2 3 2 2" xfId="25989" xr:uid="{00000000-0005-0000-0000-0000E7650000}"/>
    <cellStyle name="Normal 13 5 2 2 3 3" xfId="31107" xr:uid="{00000000-0005-0000-0000-0000E8650000}"/>
    <cellStyle name="Normal 13 5 2 2 4" xfId="6786" xr:uid="{00000000-0005-0000-0000-0000E9650000}"/>
    <cellStyle name="Normal 13 5 2 2 4 2" xfId="13841" xr:uid="{00000000-0005-0000-0000-0000EA650000}"/>
    <cellStyle name="Normal 13 5 2 2 4 2 2" xfId="27390" xr:uid="{00000000-0005-0000-0000-0000EB650000}"/>
    <cellStyle name="Normal 13 5 2 2 4 3" xfId="31108" xr:uid="{00000000-0005-0000-0000-0000EC650000}"/>
    <cellStyle name="Normal 13 5 2 2 5" xfId="6787" xr:uid="{00000000-0005-0000-0000-0000ED650000}"/>
    <cellStyle name="Normal 13 5 2 2 5 2" xfId="14422" xr:uid="{00000000-0005-0000-0000-0000EE650000}"/>
    <cellStyle name="Normal 13 5 2 2 5 2 2" xfId="27971" xr:uid="{00000000-0005-0000-0000-0000EF650000}"/>
    <cellStyle name="Normal 13 5 2 2 5 3" xfId="31109" xr:uid="{00000000-0005-0000-0000-0000F0650000}"/>
    <cellStyle name="Normal 13 5 2 2 6" xfId="6788" xr:uid="{00000000-0005-0000-0000-0000F1650000}"/>
    <cellStyle name="Normal 13 5 2 2 6 2" xfId="16308" xr:uid="{00000000-0005-0000-0000-0000F2650000}"/>
    <cellStyle name="Normal 13 5 2 2 6 2 2" xfId="29715" xr:uid="{00000000-0005-0000-0000-0000F3650000}"/>
    <cellStyle name="Normal 13 5 2 2 6 3" xfId="31110" xr:uid="{00000000-0005-0000-0000-0000F4650000}"/>
    <cellStyle name="Normal 13 5 2 2 7" xfId="10107" xr:uid="{00000000-0005-0000-0000-0000F5650000}"/>
    <cellStyle name="Normal 13 5 2 2 7 2" xfId="24336" xr:uid="{00000000-0005-0000-0000-0000F6650000}"/>
    <cellStyle name="Normal 13 5 2 2 8" xfId="31104" xr:uid="{00000000-0005-0000-0000-0000F7650000}"/>
    <cellStyle name="Normal 13 5 2 3" xfId="6789" xr:uid="{00000000-0005-0000-0000-0000F8650000}"/>
    <cellStyle name="Normal 13 5 2 3 2" xfId="6790" xr:uid="{00000000-0005-0000-0000-0000F9650000}"/>
    <cellStyle name="Normal 13 5 2 3 2 2" xfId="16600" xr:uid="{00000000-0005-0000-0000-0000FA650000}"/>
    <cellStyle name="Normal 13 5 2 3 2 2 2" xfId="30007" xr:uid="{00000000-0005-0000-0000-0000FB650000}"/>
    <cellStyle name="Normal 13 5 2 3 2 3" xfId="31112" xr:uid="{00000000-0005-0000-0000-0000FC650000}"/>
    <cellStyle name="Normal 13 5 2 3 3" xfId="11486" xr:uid="{00000000-0005-0000-0000-0000FD650000}"/>
    <cellStyle name="Normal 13 5 2 3 3 2" xfId="25318" xr:uid="{00000000-0005-0000-0000-0000FE650000}"/>
    <cellStyle name="Normal 13 5 2 3 4" xfId="31111" xr:uid="{00000000-0005-0000-0000-0000FF650000}"/>
    <cellStyle name="Normal 13 5 2 4" xfId="6791" xr:uid="{00000000-0005-0000-0000-000000660000}"/>
    <cellStyle name="Normal 13 5 2 4 2" xfId="11977" xr:uid="{00000000-0005-0000-0000-000001660000}"/>
    <cellStyle name="Normal 13 5 2 4 2 2" xfId="25692" xr:uid="{00000000-0005-0000-0000-000002660000}"/>
    <cellStyle name="Normal 13 5 2 4 3" xfId="31113" xr:uid="{00000000-0005-0000-0000-000003660000}"/>
    <cellStyle name="Normal 13 5 2 5" xfId="6792" xr:uid="{00000000-0005-0000-0000-000004660000}"/>
    <cellStyle name="Normal 13 5 2 5 2" xfId="13552" xr:uid="{00000000-0005-0000-0000-000005660000}"/>
    <cellStyle name="Normal 13 5 2 5 2 2" xfId="27101" xr:uid="{00000000-0005-0000-0000-000006660000}"/>
    <cellStyle name="Normal 13 5 2 5 3" xfId="31114" xr:uid="{00000000-0005-0000-0000-000007660000}"/>
    <cellStyle name="Normal 13 5 2 6" xfId="6793" xr:uid="{00000000-0005-0000-0000-000008660000}"/>
    <cellStyle name="Normal 13 5 2 6 2" xfId="14133" xr:uid="{00000000-0005-0000-0000-000009660000}"/>
    <cellStyle name="Normal 13 5 2 6 2 2" xfId="27682" xr:uid="{00000000-0005-0000-0000-00000A660000}"/>
    <cellStyle name="Normal 13 5 2 6 3" xfId="31115" xr:uid="{00000000-0005-0000-0000-00000B660000}"/>
    <cellStyle name="Normal 13 5 2 7" xfId="6794" xr:uid="{00000000-0005-0000-0000-00000C660000}"/>
    <cellStyle name="Normal 13 5 2 7 2" xfId="16019" xr:uid="{00000000-0005-0000-0000-00000D660000}"/>
    <cellStyle name="Normal 13 5 2 7 2 2" xfId="29426" xr:uid="{00000000-0005-0000-0000-00000E660000}"/>
    <cellStyle name="Normal 13 5 2 7 3" xfId="31116" xr:uid="{00000000-0005-0000-0000-00000F660000}"/>
    <cellStyle name="Normal 13 5 2 8" xfId="10106" xr:uid="{00000000-0005-0000-0000-000010660000}"/>
    <cellStyle name="Normal 13 5 2 8 2" xfId="24335" xr:uid="{00000000-0005-0000-0000-000011660000}"/>
    <cellStyle name="Normal 13 5 2 9" xfId="31103" xr:uid="{00000000-0005-0000-0000-000012660000}"/>
    <cellStyle name="Normal 13 5 3" xfId="6795" xr:uid="{00000000-0005-0000-0000-000013660000}"/>
    <cellStyle name="Normal 13 5 3 2" xfId="6796" xr:uid="{00000000-0005-0000-0000-000014660000}"/>
    <cellStyle name="Normal 13 5 3 2 2" xfId="6797" xr:uid="{00000000-0005-0000-0000-000015660000}"/>
    <cellStyle name="Normal 13 5 3 2 2 2" xfId="16749" xr:uid="{00000000-0005-0000-0000-000016660000}"/>
    <cellStyle name="Normal 13 5 3 2 2 2 2" xfId="30156" xr:uid="{00000000-0005-0000-0000-000017660000}"/>
    <cellStyle name="Normal 13 5 3 2 2 3" xfId="31119" xr:uid="{00000000-0005-0000-0000-000018660000}"/>
    <cellStyle name="Normal 13 5 3 2 3" xfId="11488" xr:uid="{00000000-0005-0000-0000-000019660000}"/>
    <cellStyle name="Normal 13 5 3 2 3 2" xfId="25320" xr:uid="{00000000-0005-0000-0000-00001A660000}"/>
    <cellStyle name="Normal 13 5 3 2 4" xfId="31118" xr:uid="{00000000-0005-0000-0000-00001B660000}"/>
    <cellStyle name="Normal 13 5 3 3" xfId="6798" xr:uid="{00000000-0005-0000-0000-00001C660000}"/>
    <cellStyle name="Normal 13 5 3 3 2" xfId="12137" xr:uid="{00000000-0005-0000-0000-00001D660000}"/>
    <cellStyle name="Normal 13 5 3 3 2 2" xfId="25849" xr:uid="{00000000-0005-0000-0000-00001E660000}"/>
    <cellStyle name="Normal 13 5 3 3 3" xfId="31120" xr:uid="{00000000-0005-0000-0000-00001F660000}"/>
    <cellStyle name="Normal 13 5 3 4" xfId="6799" xr:uid="{00000000-0005-0000-0000-000020660000}"/>
    <cellStyle name="Normal 13 5 3 4 2" xfId="13701" xr:uid="{00000000-0005-0000-0000-000021660000}"/>
    <cellStyle name="Normal 13 5 3 4 2 2" xfId="27250" xr:uid="{00000000-0005-0000-0000-000022660000}"/>
    <cellStyle name="Normal 13 5 3 4 3" xfId="31121" xr:uid="{00000000-0005-0000-0000-000023660000}"/>
    <cellStyle name="Normal 13 5 3 5" xfId="6800" xr:uid="{00000000-0005-0000-0000-000024660000}"/>
    <cellStyle name="Normal 13 5 3 5 2" xfId="14282" xr:uid="{00000000-0005-0000-0000-000025660000}"/>
    <cellStyle name="Normal 13 5 3 5 2 2" xfId="27831" xr:uid="{00000000-0005-0000-0000-000026660000}"/>
    <cellStyle name="Normal 13 5 3 5 3" xfId="31122" xr:uid="{00000000-0005-0000-0000-000027660000}"/>
    <cellStyle name="Normal 13 5 3 6" xfId="6801" xr:uid="{00000000-0005-0000-0000-000028660000}"/>
    <cellStyle name="Normal 13 5 3 6 2" xfId="16168" xr:uid="{00000000-0005-0000-0000-000029660000}"/>
    <cellStyle name="Normal 13 5 3 6 2 2" xfId="29575" xr:uid="{00000000-0005-0000-0000-00002A660000}"/>
    <cellStyle name="Normal 13 5 3 6 3" xfId="31123" xr:uid="{00000000-0005-0000-0000-00002B660000}"/>
    <cellStyle name="Normal 13 5 3 7" xfId="10108" xr:uid="{00000000-0005-0000-0000-00002C660000}"/>
    <cellStyle name="Normal 13 5 3 7 2" xfId="24337" xr:uid="{00000000-0005-0000-0000-00002D660000}"/>
    <cellStyle name="Normal 13 5 3 8" xfId="31117" xr:uid="{00000000-0005-0000-0000-00002E660000}"/>
    <cellStyle name="Normal 13 5 4" xfId="6802" xr:uid="{00000000-0005-0000-0000-00002F660000}"/>
    <cellStyle name="Normal 13 5 4 2" xfId="6803" xr:uid="{00000000-0005-0000-0000-000030660000}"/>
    <cellStyle name="Normal 13 5 4 2 2" xfId="16457" xr:uid="{00000000-0005-0000-0000-000031660000}"/>
    <cellStyle name="Normal 13 5 4 2 2 2" xfId="29864" xr:uid="{00000000-0005-0000-0000-000032660000}"/>
    <cellStyle name="Normal 13 5 4 2 3" xfId="31125" xr:uid="{00000000-0005-0000-0000-000033660000}"/>
    <cellStyle name="Normal 13 5 4 3" xfId="11485" xr:uid="{00000000-0005-0000-0000-000034660000}"/>
    <cellStyle name="Normal 13 5 4 3 2" xfId="25317" xr:uid="{00000000-0005-0000-0000-000035660000}"/>
    <cellStyle name="Normal 13 5 4 4" xfId="31124" xr:uid="{00000000-0005-0000-0000-000036660000}"/>
    <cellStyle name="Normal 13 5 5" xfId="6804" xr:uid="{00000000-0005-0000-0000-000037660000}"/>
    <cellStyle name="Normal 13 5 5 2" xfId="11808" xr:uid="{00000000-0005-0000-0000-000038660000}"/>
    <cellStyle name="Normal 13 5 5 2 2" xfId="25523" xr:uid="{00000000-0005-0000-0000-000039660000}"/>
    <cellStyle name="Normal 13 5 5 3" xfId="31126" xr:uid="{00000000-0005-0000-0000-00003A660000}"/>
    <cellStyle name="Normal 13 5 6" xfId="6805" xr:uid="{00000000-0005-0000-0000-00003B660000}"/>
    <cellStyle name="Normal 13 5 6 2" xfId="13409" xr:uid="{00000000-0005-0000-0000-00003C660000}"/>
    <cellStyle name="Normal 13 5 6 2 2" xfId="26958" xr:uid="{00000000-0005-0000-0000-00003D660000}"/>
    <cellStyle name="Normal 13 5 6 3" xfId="31127" xr:uid="{00000000-0005-0000-0000-00003E660000}"/>
    <cellStyle name="Normal 13 5 7" xfId="6806" xr:uid="{00000000-0005-0000-0000-00003F660000}"/>
    <cellStyle name="Normal 13 5 7 2" xfId="13990" xr:uid="{00000000-0005-0000-0000-000040660000}"/>
    <cellStyle name="Normal 13 5 7 2 2" xfId="27539" xr:uid="{00000000-0005-0000-0000-000041660000}"/>
    <cellStyle name="Normal 13 5 7 3" xfId="31128" xr:uid="{00000000-0005-0000-0000-000042660000}"/>
    <cellStyle name="Normal 13 5 8" xfId="6807" xr:uid="{00000000-0005-0000-0000-000043660000}"/>
    <cellStyle name="Normal 13 5 8 2" xfId="15876" xr:uid="{00000000-0005-0000-0000-000044660000}"/>
    <cellStyle name="Normal 13 5 8 2 2" xfId="29283" xr:uid="{00000000-0005-0000-0000-000045660000}"/>
    <cellStyle name="Normal 13 5 8 3" xfId="31129" xr:uid="{00000000-0005-0000-0000-000046660000}"/>
    <cellStyle name="Normal 13 5 9" xfId="10105" xr:uid="{00000000-0005-0000-0000-000047660000}"/>
    <cellStyle name="Normal 13 5 9 2" xfId="24334" xr:uid="{00000000-0005-0000-0000-000048660000}"/>
    <cellStyle name="Normal 13 6" xfId="6808" xr:uid="{00000000-0005-0000-0000-000049660000}"/>
    <cellStyle name="Normal 13 6 10" xfId="31130" xr:uid="{00000000-0005-0000-0000-00004A660000}"/>
    <cellStyle name="Normal 13 6 2" xfId="6809" xr:uid="{00000000-0005-0000-0000-00004B660000}"/>
    <cellStyle name="Normal 13 6 2 2" xfId="6810" xr:uid="{00000000-0005-0000-0000-00004C660000}"/>
    <cellStyle name="Normal 13 6 2 2 2" xfId="6811" xr:uid="{00000000-0005-0000-0000-00004D660000}"/>
    <cellStyle name="Normal 13 6 2 2 2 2" xfId="6812" xr:uid="{00000000-0005-0000-0000-00004E660000}"/>
    <cellStyle name="Normal 13 6 2 2 2 2 2" xfId="16995" xr:uid="{00000000-0005-0000-0000-00004F660000}"/>
    <cellStyle name="Normal 13 6 2 2 2 2 2 2" xfId="30402" xr:uid="{00000000-0005-0000-0000-000050660000}"/>
    <cellStyle name="Normal 13 6 2 2 2 2 3" xfId="31134" xr:uid="{00000000-0005-0000-0000-000051660000}"/>
    <cellStyle name="Normal 13 6 2 2 2 3" xfId="11491" xr:uid="{00000000-0005-0000-0000-000052660000}"/>
    <cellStyle name="Normal 13 6 2 2 2 3 2" xfId="25323" xr:uid="{00000000-0005-0000-0000-000053660000}"/>
    <cellStyle name="Normal 13 6 2 2 2 4" xfId="31133" xr:uid="{00000000-0005-0000-0000-000054660000}"/>
    <cellStyle name="Normal 13 6 2 2 3" xfId="6813" xr:uid="{00000000-0005-0000-0000-000055660000}"/>
    <cellStyle name="Normal 13 6 2 2 3 2" xfId="12383" xr:uid="{00000000-0005-0000-0000-000056660000}"/>
    <cellStyle name="Normal 13 6 2 2 3 2 2" xfId="26095" xr:uid="{00000000-0005-0000-0000-000057660000}"/>
    <cellStyle name="Normal 13 6 2 2 3 3" xfId="31135" xr:uid="{00000000-0005-0000-0000-000058660000}"/>
    <cellStyle name="Normal 13 6 2 2 4" xfId="6814" xr:uid="{00000000-0005-0000-0000-000059660000}"/>
    <cellStyle name="Normal 13 6 2 2 4 2" xfId="13947" xr:uid="{00000000-0005-0000-0000-00005A660000}"/>
    <cellStyle name="Normal 13 6 2 2 4 2 2" xfId="27496" xr:uid="{00000000-0005-0000-0000-00005B660000}"/>
    <cellStyle name="Normal 13 6 2 2 4 3" xfId="31136" xr:uid="{00000000-0005-0000-0000-00005C660000}"/>
    <cellStyle name="Normal 13 6 2 2 5" xfId="6815" xr:uid="{00000000-0005-0000-0000-00005D660000}"/>
    <cellStyle name="Normal 13 6 2 2 5 2" xfId="14528" xr:uid="{00000000-0005-0000-0000-00005E660000}"/>
    <cellStyle name="Normal 13 6 2 2 5 2 2" xfId="28077" xr:uid="{00000000-0005-0000-0000-00005F660000}"/>
    <cellStyle name="Normal 13 6 2 2 5 3" xfId="31137" xr:uid="{00000000-0005-0000-0000-000060660000}"/>
    <cellStyle name="Normal 13 6 2 2 6" xfId="6816" xr:uid="{00000000-0005-0000-0000-000061660000}"/>
    <cellStyle name="Normal 13 6 2 2 6 2" xfId="16414" xr:uid="{00000000-0005-0000-0000-000062660000}"/>
    <cellStyle name="Normal 13 6 2 2 6 2 2" xfId="29821" xr:uid="{00000000-0005-0000-0000-000063660000}"/>
    <cellStyle name="Normal 13 6 2 2 6 3" xfId="31138" xr:uid="{00000000-0005-0000-0000-000064660000}"/>
    <cellStyle name="Normal 13 6 2 2 7" xfId="10111" xr:uid="{00000000-0005-0000-0000-000065660000}"/>
    <cellStyle name="Normal 13 6 2 2 7 2" xfId="24340" xr:uid="{00000000-0005-0000-0000-000066660000}"/>
    <cellStyle name="Normal 13 6 2 2 8" xfId="31132" xr:uid="{00000000-0005-0000-0000-000067660000}"/>
    <cellStyle name="Normal 13 6 2 3" xfId="6817" xr:uid="{00000000-0005-0000-0000-000068660000}"/>
    <cellStyle name="Normal 13 6 2 3 2" xfId="6818" xr:uid="{00000000-0005-0000-0000-000069660000}"/>
    <cellStyle name="Normal 13 6 2 3 2 2" xfId="16706" xr:uid="{00000000-0005-0000-0000-00006A660000}"/>
    <cellStyle name="Normal 13 6 2 3 2 2 2" xfId="30113" xr:uid="{00000000-0005-0000-0000-00006B660000}"/>
    <cellStyle name="Normal 13 6 2 3 2 3" xfId="31140" xr:uid="{00000000-0005-0000-0000-00006C660000}"/>
    <cellStyle name="Normal 13 6 2 3 3" xfId="11490" xr:uid="{00000000-0005-0000-0000-00006D660000}"/>
    <cellStyle name="Normal 13 6 2 3 3 2" xfId="25322" xr:uid="{00000000-0005-0000-0000-00006E660000}"/>
    <cellStyle name="Normal 13 6 2 3 4" xfId="31139" xr:uid="{00000000-0005-0000-0000-00006F660000}"/>
    <cellStyle name="Normal 13 6 2 4" xfId="6819" xr:uid="{00000000-0005-0000-0000-000070660000}"/>
    <cellStyle name="Normal 13 6 2 4 2" xfId="12083" xr:uid="{00000000-0005-0000-0000-000071660000}"/>
    <cellStyle name="Normal 13 6 2 4 2 2" xfId="25798" xr:uid="{00000000-0005-0000-0000-000072660000}"/>
    <cellStyle name="Normal 13 6 2 4 3" xfId="31141" xr:uid="{00000000-0005-0000-0000-000073660000}"/>
    <cellStyle name="Normal 13 6 2 5" xfId="6820" xr:uid="{00000000-0005-0000-0000-000074660000}"/>
    <cellStyle name="Normal 13 6 2 5 2" xfId="13658" xr:uid="{00000000-0005-0000-0000-000075660000}"/>
    <cellStyle name="Normal 13 6 2 5 2 2" xfId="27207" xr:uid="{00000000-0005-0000-0000-000076660000}"/>
    <cellStyle name="Normal 13 6 2 5 3" xfId="31142" xr:uid="{00000000-0005-0000-0000-000077660000}"/>
    <cellStyle name="Normal 13 6 2 6" xfId="6821" xr:uid="{00000000-0005-0000-0000-000078660000}"/>
    <cellStyle name="Normal 13 6 2 6 2" xfId="14239" xr:uid="{00000000-0005-0000-0000-000079660000}"/>
    <cellStyle name="Normal 13 6 2 6 2 2" xfId="27788" xr:uid="{00000000-0005-0000-0000-00007A660000}"/>
    <cellStyle name="Normal 13 6 2 6 3" xfId="31143" xr:uid="{00000000-0005-0000-0000-00007B660000}"/>
    <cellStyle name="Normal 13 6 2 7" xfId="6822" xr:uid="{00000000-0005-0000-0000-00007C660000}"/>
    <cellStyle name="Normal 13 6 2 7 2" xfId="16125" xr:uid="{00000000-0005-0000-0000-00007D660000}"/>
    <cellStyle name="Normal 13 6 2 7 2 2" xfId="29532" xr:uid="{00000000-0005-0000-0000-00007E660000}"/>
    <cellStyle name="Normal 13 6 2 7 3" xfId="31144" xr:uid="{00000000-0005-0000-0000-00007F660000}"/>
    <cellStyle name="Normal 13 6 2 8" xfId="10110" xr:uid="{00000000-0005-0000-0000-000080660000}"/>
    <cellStyle name="Normal 13 6 2 8 2" xfId="24339" xr:uid="{00000000-0005-0000-0000-000081660000}"/>
    <cellStyle name="Normal 13 6 2 9" xfId="31131" xr:uid="{00000000-0005-0000-0000-000082660000}"/>
    <cellStyle name="Normal 13 6 3" xfId="6823" xr:uid="{00000000-0005-0000-0000-000083660000}"/>
    <cellStyle name="Normal 13 6 3 2" xfId="6824" xr:uid="{00000000-0005-0000-0000-000084660000}"/>
    <cellStyle name="Normal 13 6 3 2 2" xfId="6825" xr:uid="{00000000-0005-0000-0000-000085660000}"/>
    <cellStyle name="Normal 13 6 3 2 2 2" xfId="16852" xr:uid="{00000000-0005-0000-0000-000086660000}"/>
    <cellStyle name="Normal 13 6 3 2 2 2 2" xfId="30259" xr:uid="{00000000-0005-0000-0000-000087660000}"/>
    <cellStyle name="Normal 13 6 3 2 2 3" xfId="31147" xr:uid="{00000000-0005-0000-0000-000088660000}"/>
    <cellStyle name="Normal 13 6 3 2 3" xfId="11492" xr:uid="{00000000-0005-0000-0000-000089660000}"/>
    <cellStyle name="Normal 13 6 3 2 3 2" xfId="25324" xr:uid="{00000000-0005-0000-0000-00008A660000}"/>
    <cellStyle name="Normal 13 6 3 2 4" xfId="31146" xr:uid="{00000000-0005-0000-0000-00008B660000}"/>
    <cellStyle name="Normal 13 6 3 3" xfId="6826" xr:uid="{00000000-0005-0000-0000-00008C660000}"/>
    <cellStyle name="Normal 13 6 3 3 2" xfId="12240" xr:uid="{00000000-0005-0000-0000-00008D660000}"/>
    <cellStyle name="Normal 13 6 3 3 2 2" xfId="25952" xr:uid="{00000000-0005-0000-0000-00008E660000}"/>
    <cellStyle name="Normal 13 6 3 3 3" xfId="31148" xr:uid="{00000000-0005-0000-0000-00008F660000}"/>
    <cellStyle name="Normal 13 6 3 4" xfId="6827" xr:uid="{00000000-0005-0000-0000-000090660000}"/>
    <cellStyle name="Normal 13 6 3 4 2" xfId="13804" xr:uid="{00000000-0005-0000-0000-000091660000}"/>
    <cellStyle name="Normal 13 6 3 4 2 2" xfId="27353" xr:uid="{00000000-0005-0000-0000-000092660000}"/>
    <cellStyle name="Normal 13 6 3 4 3" xfId="31149" xr:uid="{00000000-0005-0000-0000-000093660000}"/>
    <cellStyle name="Normal 13 6 3 5" xfId="6828" xr:uid="{00000000-0005-0000-0000-000094660000}"/>
    <cellStyle name="Normal 13 6 3 5 2" xfId="14385" xr:uid="{00000000-0005-0000-0000-000095660000}"/>
    <cellStyle name="Normal 13 6 3 5 2 2" xfId="27934" xr:uid="{00000000-0005-0000-0000-000096660000}"/>
    <cellStyle name="Normal 13 6 3 5 3" xfId="31150" xr:uid="{00000000-0005-0000-0000-000097660000}"/>
    <cellStyle name="Normal 13 6 3 6" xfId="6829" xr:uid="{00000000-0005-0000-0000-000098660000}"/>
    <cellStyle name="Normal 13 6 3 6 2" xfId="16271" xr:uid="{00000000-0005-0000-0000-000099660000}"/>
    <cellStyle name="Normal 13 6 3 6 2 2" xfId="29678" xr:uid="{00000000-0005-0000-0000-00009A660000}"/>
    <cellStyle name="Normal 13 6 3 6 3" xfId="31151" xr:uid="{00000000-0005-0000-0000-00009B660000}"/>
    <cellStyle name="Normal 13 6 3 7" xfId="10112" xr:uid="{00000000-0005-0000-0000-00009C660000}"/>
    <cellStyle name="Normal 13 6 3 7 2" xfId="24341" xr:uid="{00000000-0005-0000-0000-00009D660000}"/>
    <cellStyle name="Normal 13 6 3 8" xfId="31145" xr:uid="{00000000-0005-0000-0000-00009E660000}"/>
    <cellStyle name="Normal 13 6 4" xfId="6830" xr:uid="{00000000-0005-0000-0000-00009F660000}"/>
    <cellStyle name="Normal 13 6 4 2" xfId="6831" xr:uid="{00000000-0005-0000-0000-0000A0660000}"/>
    <cellStyle name="Normal 13 6 4 2 2" xfId="16563" xr:uid="{00000000-0005-0000-0000-0000A1660000}"/>
    <cellStyle name="Normal 13 6 4 2 2 2" xfId="29970" xr:uid="{00000000-0005-0000-0000-0000A2660000}"/>
    <cellStyle name="Normal 13 6 4 2 3" xfId="31153" xr:uid="{00000000-0005-0000-0000-0000A3660000}"/>
    <cellStyle name="Normal 13 6 4 3" xfId="11489" xr:uid="{00000000-0005-0000-0000-0000A4660000}"/>
    <cellStyle name="Normal 13 6 4 3 2" xfId="25321" xr:uid="{00000000-0005-0000-0000-0000A5660000}"/>
    <cellStyle name="Normal 13 6 4 4" xfId="31152" xr:uid="{00000000-0005-0000-0000-0000A6660000}"/>
    <cellStyle name="Normal 13 6 5" xfId="6832" xr:uid="{00000000-0005-0000-0000-0000A7660000}"/>
    <cellStyle name="Normal 13 6 5 2" xfId="11938" xr:uid="{00000000-0005-0000-0000-0000A8660000}"/>
    <cellStyle name="Normal 13 6 5 2 2" xfId="25653" xr:uid="{00000000-0005-0000-0000-0000A9660000}"/>
    <cellStyle name="Normal 13 6 5 3" xfId="31154" xr:uid="{00000000-0005-0000-0000-0000AA660000}"/>
    <cellStyle name="Normal 13 6 6" xfId="6833" xr:uid="{00000000-0005-0000-0000-0000AB660000}"/>
    <cellStyle name="Normal 13 6 6 2" xfId="13515" xr:uid="{00000000-0005-0000-0000-0000AC660000}"/>
    <cellStyle name="Normal 13 6 6 2 2" xfId="27064" xr:uid="{00000000-0005-0000-0000-0000AD660000}"/>
    <cellStyle name="Normal 13 6 6 3" xfId="31155" xr:uid="{00000000-0005-0000-0000-0000AE660000}"/>
    <cellStyle name="Normal 13 6 7" xfId="6834" xr:uid="{00000000-0005-0000-0000-0000AF660000}"/>
    <cellStyle name="Normal 13 6 7 2" xfId="14096" xr:uid="{00000000-0005-0000-0000-0000B0660000}"/>
    <cellStyle name="Normal 13 6 7 2 2" xfId="27645" xr:uid="{00000000-0005-0000-0000-0000B1660000}"/>
    <cellStyle name="Normal 13 6 7 3" xfId="31156" xr:uid="{00000000-0005-0000-0000-0000B2660000}"/>
    <cellStyle name="Normal 13 6 8" xfId="6835" xr:uid="{00000000-0005-0000-0000-0000B3660000}"/>
    <cellStyle name="Normal 13 6 8 2" xfId="15982" xr:uid="{00000000-0005-0000-0000-0000B4660000}"/>
    <cellStyle name="Normal 13 6 8 2 2" xfId="29389" xr:uid="{00000000-0005-0000-0000-0000B5660000}"/>
    <cellStyle name="Normal 13 6 8 3" xfId="31157" xr:uid="{00000000-0005-0000-0000-0000B6660000}"/>
    <cellStyle name="Normal 13 6 9" xfId="10109" xr:uid="{00000000-0005-0000-0000-0000B7660000}"/>
    <cellStyle name="Normal 13 6 9 2" xfId="24338" xr:uid="{00000000-0005-0000-0000-0000B8660000}"/>
    <cellStyle name="Normal 13 7" xfId="6836" xr:uid="{00000000-0005-0000-0000-0000B9660000}"/>
    <cellStyle name="Normal 13 7 2" xfId="6837" xr:uid="{00000000-0005-0000-0000-0000BA660000}"/>
    <cellStyle name="Normal 13 7 2 2" xfId="6838" xr:uid="{00000000-0005-0000-0000-0000BB660000}"/>
    <cellStyle name="Normal 13 7 2 2 2" xfId="6839" xr:uid="{00000000-0005-0000-0000-0000BC660000}"/>
    <cellStyle name="Normal 13 7 2 2 2 2" xfId="16872" xr:uid="{00000000-0005-0000-0000-0000BD660000}"/>
    <cellStyle name="Normal 13 7 2 2 2 2 2" xfId="30279" xr:uid="{00000000-0005-0000-0000-0000BE660000}"/>
    <cellStyle name="Normal 13 7 2 2 2 3" xfId="31161" xr:uid="{00000000-0005-0000-0000-0000BF660000}"/>
    <cellStyle name="Normal 13 7 2 2 3" xfId="11494" xr:uid="{00000000-0005-0000-0000-0000C0660000}"/>
    <cellStyle name="Normal 13 7 2 2 3 2" xfId="25326" xr:uid="{00000000-0005-0000-0000-0000C1660000}"/>
    <cellStyle name="Normal 13 7 2 2 4" xfId="31160" xr:uid="{00000000-0005-0000-0000-0000C2660000}"/>
    <cellStyle name="Normal 13 7 2 3" xfId="6840" xr:uid="{00000000-0005-0000-0000-0000C3660000}"/>
    <cellStyle name="Normal 13 7 2 3 2" xfId="12260" xr:uid="{00000000-0005-0000-0000-0000C4660000}"/>
    <cellStyle name="Normal 13 7 2 3 2 2" xfId="25972" xr:uid="{00000000-0005-0000-0000-0000C5660000}"/>
    <cellStyle name="Normal 13 7 2 3 3" xfId="31162" xr:uid="{00000000-0005-0000-0000-0000C6660000}"/>
    <cellStyle name="Normal 13 7 2 4" xfId="6841" xr:uid="{00000000-0005-0000-0000-0000C7660000}"/>
    <cellStyle name="Normal 13 7 2 4 2" xfId="13824" xr:uid="{00000000-0005-0000-0000-0000C8660000}"/>
    <cellStyle name="Normal 13 7 2 4 2 2" xfId="27373" xr:uid="{00000000-0005-0000-0000-0000C9660000}"/>
    <cellStyle name="Normal 13 7 2 4 3" xfId="31163" xr:uid="{00000000-0005-0000-0000-0000CA660000}"/>
    <cellStyle name="Normal 13 7 2 5" xfId="6842" xr:uid="{00000000-0005-0000-0000-0000CB660000}"/>
    <cellStyle name="Normal 13 7 2 5 2" xfId="14405" xr:uid="{00000000-0005-0000-0000-0000CC660000}"/>
    <cellStyle name="Normal 13 7 2 5 2 2" xfId="27954" xr:uid="{00000000-0005-0000-0000-0000CD660000}"/>
    <cellStyle name="Normal 13 7 2 5 3" xfId="31164" xr:uid="{00000000-0005-0000-0000-0000CE660000}"/>
    <cellStyle name="Normal 13 7 2 6" xfId="6843" xr:uid="{00000000-0005-0000-0000-0000CF660000}"/>
    <cellStyle name="Normal 13 7 2 6 2" xfId="16291" xr:uid="{00000000-0005-0000-0000-0000D0660000}"/>
    <cellStyle name="Normal 13 7 2 6 2 2" xfId="29698" xr:uid="{00000000-0005-0000-0000-0000D1660000}"/>
    <cellStyle name="Normal 13 7 2 6 3" xfId="31165" xr:uid="{00000000-0005-0000-0000-0000D2660000}"/>
    <cellStyle name="Normal 13 7 2 7" xfId="10114" xr:uid="{00000000-0005-0000-0000-0000D3660000}"/>
    <cellStyle name="Normal 13 7 2 7 2" xfId="24343" xr:uid="{00000000-0005-0000-0000-0000D4660000}"/>
    <cellStyle name="Normal 13 7 2 8" xfId="31159" xr:uid="{00000000-0005-0000-0000-0000D5660000}"/>
    <cellStyle name="Normal 13 7 3" xfId="6844" xr:uid="{00000000-0005-0000-0000-0000D6660000}"/>
    <cellStyle name="Normal 13 7 3 2" xfId="6845" xr:uid="{00000000-0005-0000-0000-0000D7660000}"/>
    <cellStyle name="Normal 13 7 3 2 2" xfId="16583" xr:uid="{00000000-0005-0000-0000-0000D8660000}"/>
    <cellStyle name="Normal 13 7 3 2 2 2" xfId="29990" xr:uid="{00000000-0005-0000-0000-0000D9660000}"/>
    <cellStyle name="Normal 13 7 3 2 3" xfId="31167" xr:uid="{00000000-0005-0000-0000-0000DA660000}"/>
    <cellStyle name="Normal 13 7 3 3" xfId="11493" xr:uid="{00000000-0005-0000-0000-0000DB660000}"/>
    <cellStyle name="Normal 13 7 3 3 2" xfId="25325" xr:uid="{00000000-0005-0000-0000-0000DC660000}"/>
    <cellStyle name="Normal 13 7 3 4" xfId="31166" xr:uid="{00000000-0005-0000-0000-0000DD660000}"/>
    <cellStyle name="Normal 13 7 4" xfId="6846" xr:uid="{00000000-0005-0000-0000-0000DE660000}"/>
    <cellStyle name="Normal 13 7 4 2" xfId="11960" xr:uid="{00000000-0005-0000-0000-0000DF660000}"/>
    <cellStyle name="Normal 13 7 4 2 2" xfId="25675" xr:uid="{00000000-0005-0000-0000-0000E0660000}"/>
    <cellStyle name="Normal 13 7 4 3" xfId="31168" xr:uid="{00000000-0005-0000-0000-0000E1660000}"/>
    <cellStyle name="Normal 13 7 5" xfId="6847" xr:uid="{00000000-0005-0000-0000-0000E2660000}"/>
    <cellStyle name="Normal 13 7 5 2" xfId="13535" xr:uid="{00000000-0005-0000-0000-0000E3660000}"/>
    <cellStyle name="Normal 13 7 5 2 2" xfId="27084" xr:uid="{00000000-0005-0000-0000-0000E4660000}"/>
    <cellStyle name="Normal 13 7 5 3" xfId="31169" xr:uid="{00000000-0005-0000-0000-0000E5660000}"/>
    <cellStyle name="Normal 13 7 6" xfId="6848" xr:uid="{00000000-0005-0000-0000-0000E6660000}"/>
    <cellStyle name="Normal 13 7 6 2" xfId="14116" xr:uid="{00000000-0005-0000-0000-0000E7660000}"/>
    <cellStyle name="Normal 13 7 6 2 2" xfId="27665" xr:uid="{00000000-0005-0000-0000-0000E8660000}"/>
    <cellStyle name="Normal 13 7 6 3" xfId="31170" xr:uid="{00000000-0005-0000-0000-0000E9660000}"/>
    <cellStyle name="Normal 13 7 7" xfId="6849" xr:uid="{00000000-0005-0000-0000-0000EA660000}"/>
    <cellStyle name="Normal 13 7 7 2" xfId="16002" xr:uid="{00000000-0005-0000-0000-0000EB660000}"/>
    <cellStyle name="Normal 13 7 7 2 2" xfId="29409" xr:uid="{00000000-0005-0000-0000-0000EC660000}"/>
    <cellStyle name="Normal 13 7 7 3" xfId="31171" xr:uid="{00000000-0005-0000-0000-0000ED660000}"/>
    <cellStyle name="Normal 13 7 8" xfId="10113" xr:uid="{00000000-0005-0000-0000-0000EE660000}"/>
    <cellStyle name="Normal 13 7 8 2" xfId="24342" xr:uid="{00000000-0005-0000-0000-0000EF660000}"/>
    <cellStyle name="Normal 13 7 9" xfId="31158" xr:uid="{00000000-0005-0000-0000-0000F0660000}"/>
    <cellStyle name="Normal 13 8" xfId="6850" xr:uid="{00000000-0005-0000-0000-0000F1660000}"/>
    <cellStyle name="Normal 13 8 2" xfId="6851" xr:uid="{00000000-0005-0000-0000-0000F2660000}"/>
    <cellStyle name="Normal 13 8 2 2" xfId="6852" xr:uid="{00000000-0005-0000-0000-0000F3660000}"/>
    <cellStyle name="Normal 13 8 2 2 2" xfId="16728" xr:uid="{00000000-0005-0000-0000-0000F4660000}"/>
    <cellStyle name="Normal 13 8 2 2 2 2" xfId="30135" xr:uid="{00000000-0005-0000-0000-0000F5660000}"/>
    <cellStyle name="Normal 13 8 2 2 3" xfId="31174" xr:uid="{00000000-0005-0000-0000-0000F6660000}"/>
    <cellStyle name="Normal 13 8 2 3" xfId="11495" xr:uid="{00000000-0005-0000-0000-0000F7660000}"/>
    <cellStyle name="Normal 13 8 2 3 2" xfId="25327" xr:uid="{00000000-0005-0000-0000-0000F8660000}"/>
    <cellStyle name="Normal 13 8 2 4" xfId="31173" xr:uid="{00000000-0005-0000-0000-0000F9660000}"/>
    <cellStyle name="Normal 13 8 3" xfId="6853" xr:uid="{00000000-0005-0000-0000-0000FA660000}"/>
    <cellStyle name="Normal 13 8 3 2" xfId="12113" xr:uid="{00000000-0005-0000-0000-0000FB660000}"/>
    <cellStyle name="Normal 13 8 3 2 2" xfId="25825" xr:uid="{00000000-0005-0000-0000-0000FC660000}"/>
    <cellStyle name="Normal 13 8 3 3" xfId="31175" xr:uid="{00000000-0005-0000-0000-0000FD660000}"/>
    <cellStyle name="Normal 13 8 4" xfId="6854" xr:uid="{00000000-0005-0000-0000-0000FE660000}"/>
    <cellStyle name="Normal 13 8 4 2" xfId="13680" xr:uid="{00000000-0005-0000-0000-0000FF660000}"/>
    <cellStyle name="Normal 13 8 4 2 2" xfId="27229" xr:uid="{00000000-0005-0000-0000-000000670000}"/>
    <cellStyle name="Normal 13 8 4 3" xfId="31176" xr:uid="{00000000-0005-0000-0000-000001670000}"/>
    <cellStyle name="Normal 13 8 5" xfId="6855" xr:uid="{00000000-0005-0000-0000-000002670000}"/>
    <cellStyle name="Normal 13 8 5 2" xfId="14261" xr:uid="{00000000-0005-0000-0000-000003670000}"/>
    <cellStyle name="Normal 13 8 5 2 2" xfId="27810" xr:uid="{00000000-0005-0000-0000-000004670000}"/>
    <cellStyle name="Normal 13 8 5 3" xfId="31177" xr:uid="{00000000-0005-0000-0000-000005670000}"/>
    <cellStyle name="Normal 13 8 6" xfId="6856" xr:uid="{00000000-0005-0000-0000-000006670000}"/>
    <cellStyle name="Normal 13 8 6 2" xfId="16147" xr:uid="{00000000-0005-0000-0000-000007670000}"/>
    <cellStyle name="Normal 13 8 6 2 2" xfId="29554" xr:uid="{00000000-0005-0000-0000-000008670000}"/>
    <cellStyle name="Normal 13 8 6 3" xfId="31178" xr:uid="{00000000-0005-0000-0000-000009670000}"/>
    <cellStyle name="Normal 13 8 7" xfId="10115" xr:uid="{00000000-0005-0000-0000-00000A670000}"/>
    <cellStyle name="Normal 13 8 7 2" xfId="24344" xr:uid="{00000000-0005-0000-0000-00000B670000}"/>
    <cellStyle name="Normal 13 8 8" xfId="31172" xr:uid="{00000000-0005-0000-0000-00000C670000}"/>
    <cellStyle name="Normal 13 9" xfId="6857" xr:uid="{00000000-0005-0000-0000-00000D670000}"/>
    <cellStyle name="Normal 13 9 2" xfId="6858" xr:uid="{00000000-0005-0000-0000-00000E670000}"/>
    <cellStyle name="Normal 13 9 2 2" xfId="11724" xr:uid="{00000000-0005-0000-0000-00000F670000}"/>
    <cellStyle name="Normal 13 9 2 2 2" xfId="25444" xr:uid="{00000000-0005-0000-0000-000010670000}"/>
    <cellStyle name="Normal 13 9 2 3" xfId="31180" xr:uid="{00000000-0005-0000-0000-000011670000}"/>
    <cellStyle name="Normal 13 9 3" xfId="6859" xr:uid="{00000000-0005-0000-0000-000012670000}"/>
    <cellStyle name="Normal 13 9 3 2" xfId="13242" xr:uid="{00000000-0005-0000-0000-000013670000}"/>
    <cellStyle name="Normal 13 9 3 2 2" xfId="26887" xr:uid="{00000000-0005-0000-0000-000014670000}"/>
    <cellStyle name="Normal 13 9 3 3" xfId="31181" xr:uid="{00000000-0005-0000-0000-000015670000}"/>
    <cellStyle name="Normal 13 9 4" xfId="6860" xr:uid="{00000000-0005-0000-0000-000016670000}"/>
    <cellStyle name="Normal 13 9 4 2" xfId="15693" xr:uid="{00000000-0005-0000-0000-000017670000}"/>
    <cellStyle name="Normal 13 9 4 2 2" xfId="29179" xr:uid="{00000000-0005-0000-0000-000018670000}"/>
    <cellStyle name="Normal 13 9 4 3" xfId="31182" xr:uid="{00000000-0005-0000-0000-000019670000}"/>
    <cellStyle name="Normal 13 9 5" xfId="6861" xr:uid="{00000000-0005-0000-0000-00001A670000}"/>
    <cellStyle name="Normal 13 9 5 2" xfId="17036" xr:uid="{00000000-0005-0000-0000-00001B670000}"/>
    <cellStyle name="Normal 13 9 5 2 2" xfId="30439" xr:uid="{00000000-0005-0000-0000-00001C670000}"/>
    <cellStyle name="Normal 13 9 5 3" xfId="31183" xr:uid="{00000000-0005-0000-0000-00001D670000}"/>
    <cellStyle name="Normal 13 9 6" xfId="10497" xr:uid="{00000000-0005-0000-0000-00001E670000}"/>
    <cellStyle name="Normal 13 9 6 2" xfId="24448" xr:uid="{00000000-0005-0000-0000-00001F670000}"/>
    <cellStyle name="Normal 13 9 7" xfId="31179" xr:uid="{00000000-0005-0000-0000-000020670000}"/>
    <cellStyle name="Normal 14" xfId="6862" xr:uid="{00000000-0005-0000-0000-000021670000}"/>
    <cellStyle name="Normal 14 10" xfId="6863" xr:uid="{00000000-0005-0000-0000-000022670000}"/>
    <cellStyle name="Normal 14 10 2" xfId="6864" xr:uid="{00000000-0005-0000-0000-000023670000}"/>
    <cellStyle name="Normal 14 10 2 2" xfId="17291" xr:uid="{00000000-0005-0000-0000-000024670000}"/>
    <cellStyle name="Normal 14 10 2 2 2" xfId="30650" xr:uid="{00000000-0005-0000-0000-000025670000}"/>
    <cellStyle name="Normal 14 10 2 3" xfId="31186" xr:uid="{00000000-0005-0000-0000-000026670000}"/>
    <cellStyle name="Normal 14 10 3" xfId="14010" xr:uid="{00000000-0005-0000-0000-000027670000}"/>
    <cellStyle name="Normal 14 10 3 2" xfId="27559" xr:uid="{00000000-0005-0000-0000-000028670000}"/>
    <cellStyle name="Normal 14 10 4" xfId="31185" xr:uid="{00000000-0005-0000-0000-000029670000}"/>
    <cellStyle name="Normal 14 11" xfId="6865" xr:uid="{00000000-0005-0000-0000-00002A670000}"/>
    <cellStyle name="Normal 14 11 2" xfId="16477" xr:uid="{00000000-0005-0000-0000-00002B670000}"/>
    <cellStyle name="Normal 14 11 2 2" xfId="29884" xr:uid="{00000000-0005-0000-0000-00002C670000}"/>
    <cellStyle name="Normal 14 11 3" xfId="31187" xr:uid="{00000000-0005-0000-0000-00002D670000}"/>
    <cellStyle name="Normal 14 12" xfId="6866" xr:uid="{00000000-0005-0000-0000-00002E670000}"/>
    <cellStyle name="Normal 14 12 2" xfId="15896" xr:uid="{00000000-0005-0000-0000-00002F670000}"/>
    <cellStyle name="Normal 14 12 2 2" xfId="29303" xr:uid="{00000000-0005-0000-0000-000030670000}"/>
    <cellStyle name="Normal 14 12 3" xfId="31188" xr:uid="{00000000-0005-0000-0000-000031670000}"/>
    <cellStyle name="Normal 14 13" xfId="10116" xr:uid="{00000000-0005-0000-0000-000032670000}"/>
    <cellStyle name="Normal 14 14" xfId="31184" xr:uid="{00000000-0005-0000-0000-000033670000}"/>
    <cellStyle name="Normal 14 15" xfId="33038" xr:uid="{00000000-0005-0000-0000-000034670000}"/>
    <cellStyle name="Normal 14 2" xfId="6867" xr:uid="{00000000-0005-0000-0000-000035670000}"/>
    <cellStyle name="Normal 14 2 10" xfId="10117" xr:uid="{00000000-0005-0000-0000-000036670000}"/>
    <cellStyle name="Normal 14 2 10 2" xfId="24345" xr:uid="{00000000-0005-0000-0000-000037670000}"/>
    <cellStyle name="Normal 14 2 11" xfId="31189" xr:uid="{00000000-0005-0000-0000-000038670000}"/>
    <cellStyle name="Normal 14 2 2" xfId="6868" xr:uid="{00000000-0005-0000-0000-000039670000}"/>
    <cellStyle name="Normal 14 2 2 10" xfId="31190" xr:uid="{00000000-0005-0000-0000-00003A670000}"/>
    <cellStyle name="Normal 14 2 2 2" xfId="6869" xr:uid="{00000000-0005-0000-0000-00003B670000}"/>
    <cellStyle name="Normal 14 2 2 2 2" xfId="6870" xr:uid="{00000000-0005-0000-0000-00003C670000}"/>
    <cellStyle name="Normal 14 2 2 2 2 2" xfId="6871" xr:uid="{00000000-0005-0000-0000-00003D670000}"/>
    <cellStyle name="Normal 14 2 2 2 2 2 2" xfId="6872" xr:uid="{00000000-0005-0000-0000-00003E670000}"/>
    <cellStyle name="Normal 14 2 2 2 2 2 2 2" xfId="16978" xr:uid="{00000000-0005-0000-0000-00003F670000}"/>
    <cellStyle name="Normal 14 2 2 2 2 2 2 2 2" xfId="30385" xr:uid="{00000000-0005-0000-0000-000040670000}"/>
    <cellStyle name="Normal 14 2 2 2 2 2 2 3" xfId="31194" xr:uid="{00000000-0005-0000-0000-000041670000}"/>
    <cellStyle name="Normal 14 2 2 2 2 2 3" xfId="11499" xr:uid="{00000000-0005-0000-0000-000042670000}"/>
    <cellStyle name="Normal 14 2 2 2 2 2 3 2" xfId="25331" xr:uid="{00000000-0005-0000-0000-000043670000}"/>
    <cellStyle name="Normal 14 2 2 2 2 2 4" xfId="31193" xr:uid="{00000000-0005-0000-0000-000044670000}"/>
    <cellStyle name="Normal 14 2 2 2 2 3" xfId="6873" xr:uid="{00000000-0005-0000-0000-000045670000}"/>
    <cellStyle name="Normal 14 2 2 2 2 3 2" xfId="12366" xr:uid="{00000000-0005-0000-0000-000046670000}"/>
    <cellStyle name="Normal 14 2 2 2 2 3 2 2" xfId="26078" xr:uid="{00000000-0005-0000-0000-000047670000}"/>
    <cellStyle name="Normal 14 2 2 2 2 3 3" xfId="31195" xr:uid="{00000000-0005-0000-0000-000048670000}"/>
    <cellStyle name="Normal 14 2 2 2 2 4" xfId="6874" xr:uid="{00000000-0005-0000-0000-000049670000}"/>
    <cellStyle name="Normal 14 2 2 2 2 4 2" xfId="13930" xr:uid="{00000000-0005-0000-0000-00004A670000}"/>
    <cellStyle name="Normal 14 2 2 2 2 4 2 2" xfId="27479" xr:uid="{00000000-0005-0000-0000-00004B670000}"/>
    <cellStyle name="Normal 14 2 2 2 2 4 3" xfId="31196" xr:uid="{00000000-0005-0000-0000-00004C670000}"/>
    <cellStyle name="Normal 14 2 2 2 2 5" xfId="6875" xr:uid="{00000000-0005-0000-0000-00004D670000}"/>
    <cellStyle name="Normal 14 2 2 2 2 5 2" xfId="14511" xr:uid="{00000000-0005-0000-0000-00004E670000}"/>
    <cellStyle name="Normal 14 2 2 2 2 5 2 2" xfId="28060" xr:uid="{00000000-0005-0000-0000-00004F670000}"/>
    <cellStyle name="Normal 14 2 2 2 2 5 3" xfId="31197" xr:uid="{00000000-0005-0000-0000-000050670000}"/>
    <cellStyle name="Normal 14 2 2 2 2 6" xfId="6876" xr:uid="{00000000-0005-0000-0000-000051670000}"/>
    <cellStyle name="Normal 14 2 2 2 2 6 2" xfId="16397" xr:uid="{00000000-0005-0000-0000-000052670000}"/>
    <cellStyle name="Normal 14 2 2 2 2 6 2 2" xfId="29804" xr:uid="{00000000-0005-0000-0000-000053670000}"/>
    <cellStyle name="Normal 14 2 2 2 2 6 3" xfId="31198" xr:uid="{00000000-0005-0000-0000-000054670000}"/>
    <cellStyle name="Normal 14 2 2 2 2 7" xfId="10120" xr:uid="{00000000-0005-0000-0000-000055670000}"/>
    <cellStyle name="Normal 14 2 2 2 2 7 2" xfId="24348" xr:uid="{00000000-0005-0000-0000-000056670000}"/>
    <cellStyle name="Normal 14 2 2 2 2 8" xfId="31192" xr:uid="{00000000-0005-0000-0000-000057670000}"/>
    <cellStyle name="Normal 14 2 2 2 3" xfId="6877" xr:uid="{00000000-0005-0000-0000-000058670000}"/>
    <cellStyle name="Normal 14 2 2 2 3 2" xfId="6878" xr:uid="{00000000-0005-0000-0000-000059670000}"/>
    <cellStyle name="Normal 14 2 2 2 3 2 2" xfId="16689" xr:uid="{00000000-0005-0000-0000-00005A670000}"/>
    <cellStyle name="Normal 14 2 2 2 3 2 2 2" xfId="30096" xr:uid="{00000000-0005-0000-0000-00005B670000}"/>
    <cellStyle name="Normal 14 2 2 2 3 2 3" xfId="31200" xr:uid="{00000000-0005-0000-0000-00005C670000}"/>
    <cellStyle name="Normal 14 2 2 2 3 3" xfId="11498" xr:uid="{00000000-0005-0000-0000-00005D670000}"/>
    <cellStyle name="Normal 14 2 2 2 3 3 2" xfId="25330" xr:uid="{00000000-0005-0000-0000-00005E670000}"/>
    <cellStyle name="Normal 14 2 2 2 3 4" xfId="31199" xr:uid="{00000000-0005-0000-0000-00005F670000}"/>
    <cellStyle name="Normal 14 2 2 2 4" xfId="6879" xr:uid="{00000000-0005-0000-0000-000060670000}"/>
    <cellStyle name="Normal 14 2 2 2 4 2" xfId="12066" xr:uid="{00000000-0005-0000-0000-000061670000}"/>
    <cellStyle name="Normal 14 2 2 2 4 2 2" xfId="25781" xr:uid="{00000000-0005-0000-0000-000062670000}"/>
    <cellStyle name="Normal 14 2 2 2 4 3" xfId="31201" xr:uid="{00000000-0005-0000-0000-000063670000}"/>
    <cellStyle name="Normal 14 2 2 2 5" xfId="6880" xr:uid="{00000000-0005-0000-0000-000064670000}"/>
    <cellStyle name="Normal 14 2 2 2 5 2" xfId="13641" xr:uid="{00000000-0005-0000-0000-000065670000}"/>
    <cellStyle name="Normal 14 2 2 2 5 2 2" xfId="27190" xr:uid="{00000000-0005-0000-0000-000066670000}"/>
    <cellStyle name="Normal 14 2 2 2 5 3" xfId="31202" xr:uid="{00000000-0005-0000-0000-000067670000}"/>
    <cellStyle name="Normal 14 2 2 2 6" xfId="6881" xr:uid="{00000000-0005-0000-0000-000068670000}"/>
    <cellStyle name="Normal 14 2 2 2 6 2" xfId="14222" xr:uid="{00000000-0005-0000-0000-000069670000}"/>
    <cellStyle name="Normal 14 2 2 2 6 2 2" xfId="27771" xr:uid="{00000000-0005-0000-0000-00006A670000}"/>
    <cellStyle name="Normal 14 2 2 2 6 3" xfId="31203" xr:uid="{00000000-0005-0000-0000-00006B670000}"/>
    <cellStyle name="Normal 14 2 2 2 7" xfId="6882" xr:uid="{00000000-0005-0000-0000-00006C670000}"/>
    <cellStyle name="Normal 14 2 2 2 7 2" xfId="16108" xr:uid="{00000000-0005-0000-0000-00006D670000}"/>
    <cellStyle name="Normal 14 2 2 2 7 2 2" xfId="29515" xr:uid="{00000000-0005-0000-0000-00006E670000}"/>
    <cellStyle name="Normal 14 2 2 2 7 3" xfId="31204" xr:uid="{00000000-0005-0000-0000-00006F670000}"/>
    <cellStyle name="Normal 14 2 2 2 8" xfId="10119" xr:uid="{00000000-0005-0000-0000-000070670000}"/>
    <cellStyle name="Normal 14 2 2 2 8 2" xfId="24347" xr:uid="{00000000-0005-0000-0000-000071670000}"/>
    <cellStyle name="Normal 14 2 2 2 9" xfId="31191" xr:uid="{00000000-0005-0000-0000-000072670000}"/>
    <cellStyle name="Normal 14 2 2 3" xfId="6883" xr:uid="{00000000-0005-0000-0000-000073670000}"/>
    <cellStyle name="Normal 14 2 2 3 2" xfId="6884" xr:uid="{00000000-0005-0000-0000-000074670000}"/>
    <cellStyle name="Normal 14 2 2 3 2 2" xfId="6885" xr:uid="{00000000-0005-0000-0000-000075670000}"/>
    <cellStyle name="Normal 14 2 2 3 2 2 2" xfId="16835" xr:uid="{00000000-0005-0000-0000-000076670000}"/>
    <cellStyle name="Normal 14 2 2 3 2 2 2 2" xfId="30242" xr:uid="{00000000-0005-0000-0000-000077670000}"/>
    <cellStyle name="Normal 14 2 2 3 2 2 3" xfId="31207" xr:uid="{00000000-0005-0000-0000-000078670000}"/>
    <cellStyle name="Normal 14 2 2 3 2 3" xfId="11500" xr:uid="{00000000-0005-0000-0000-000079670000}"/>
    <cellStyle name="Normal 14 2 2 3 2 3 2" xfId="25332" xr:uid="{00000000-0005-0000-0000-00007A670000}"/>
    <cellStyle name="Normal 14 2 2 3 2 4" xfId="31206" xr:uid="{00000000-0005-0000-0000-00007B670000}"/>
    <cellStyle name="Normal 14 2 2 3 3" xfId="6886" xr:uid="{00000000-0005-0000-0000-00007C670000}"/>
    <cellStyle name="Normal 14 2 2 3 3 2" xfId="12223" xr:uid="{00000000-0005-0000-0000-00007D670000}"/>
    <cellStyle name="Normal 14 2 2 3 3 2 2" xfId="25935" xr:uid="{00000000-0005-0000-0000-00007E670000}"/>
    <cellStyle name="Normal 14 2 2 3 3 3" xfId="31208" xr:uid="{00000000-0005-0000-0000-00007F670000}"/>
    <cellStyle name="Normal 14 2 2 3 4" xfId="6887" xr:uid="{00000000-0005-0000-0000-000080670000}"/>
    <cellStyle name="Normal 14 2 2 3 4 2" xfId="13787" xr:uid="{00000000-0005-0000-0000-000081670000}"/>
    <cellStyle name="Normal 14 2 2 3 4 2 2" xfId="27336" xr:uid="{00000000-0005-0000-0000-000082670000}"/>
    <cellStyle name="Normal 14 2 2 3 4 3" xfId="31209" xr:uid="{00000000-0005-0000-0000-000083670000}"/>
    <cellStyle name="Normal 14 2 2 3 5" xfId="6888" xr:uid="{00000000-0005-0000-0000-000084670000}"/>
    <cellStyle name="Normal 14 2 2 3 5 2" xfId="14368" xr:uid="{00000000-0005-0000-0000-000085670000}"/>
    <cellStyle name="Normal 14 2 2 3 5 2 2" xfId="27917" xr:uid="{00000000-0005-0000-0000-000086670000}"/>
    <cellStyle name="Normal 14 2 2 3 5 3" xfId="31210" xr:uid="{00000000-0005-0000-0000-000087670000}"/>
    <cellStyle name="Normal 14 2 2 3 6" xfId="6889" xr:uid="{00000000-0005-0000-0000-000088670000}"/>
    <cellStyle name="Normal 14 2 2 3 6 2" xfId="16254" xr:uid="{00000000-0005-0000-0000-000089670000}"/>
    <cellStyle name="Normal 14 2 2 3 6 2 2" xfId="29661" xr:uid="{00000000-0005-0000-0000-00008A670000}"/>
    <cellStyle name="Normal 14 2 2 3 6 3" xfId="31211" xr:uid="{00000000-0005-0000-0000-00008B670000}"/>
    <cellStyle name="Normal 14 2 2 3 7" xfId="10121" xr:uid="{00000000-0005-0000-0000-00008C670000}"/>
    <cellStyle name="Normal 14 2 2 3 7 2" xfId="24349" xr:uid="{00000000-0005-0000-0000-00008D670000}"/>
    <cellStyle name="Normal 14 2 2 3 8" xfId="31205" xr:uid="{00000000-0005-0000-0000-00008E670000}"/>
    <cellStyle name="Normal 14 2 2 4" xfId="6890" xr:uid="{00000000-0005-0000-0000-00008F670000}"/>
    <cellStyle name="Normal 14 2 2 4 2" xfId="6891" xr:uid="{00000000-0005-0000-0000-000090670000}"/>
    <cellStyle name="Normal 14 2 2 4 2 2" xfId="17182" xr:uid="{00000000-0005-0000-0000-000091670000}"/>
    <cellStyle name="Normal 14 2 2 4 2 2 2" xfId="30541" xr:uid="{00000000-0005-0000-0000-000092670000}"/>
    <cellStyle name="Normal 14 2 2 4 2 3" xfId="31213" xr:uid="{00000000-0005-0000-0000-000093670000}"/>
    <cellStyle name="Normal 14 2 2 4 3" xfId="11497" xr:uid="{00000000-0005-0000-0000-000094670000}"/>
    <cellStyle name="Normal 14 2 2 4 3 2" xfId="25329" xr:uid="{00000000-0005-0000-0000-000095670000}"/>
    <cellStyle name="Normal 14 2 2 4 4" xfId="31212" xr:uid="{00000000-0005-0000-0000-000096670000}"/>
    <cellStyle name="Normal 14 2 2 5" xfId="6892" xr:uid="{00000000-0005-0000-0000-000097670000}"/>
    <cellStyle name="Normal 14 2 2 5 2" xfId="6893" xr:uid="{00000000-0005-0000-0000-000098670000}"/>
    <cellStyle name="Normal 14 2 2 5 2 2" xfId="17271" xr:uid="{00000000-0005-0000-0000-000099670000}"/>
    <cellStyle name="Normal 14 2 2 5 2 2 2" xfId="30630" xr:uid="{00000000-0005-0000-0000-00009A670000}"/>
    <cellStyle name="Normal 14 2 2 5 2 3" xfId="31215" xr:uid="{00000000-0005-0000-0000-00009B670000}"/>
    <cellStyle name="Normal 14 2 2 5 3" xfId="11921" xr:uid="{00000000-0005-0000-0000-00009C670000}"/>
    <cellStyle name="Normal 14 2 2 5 3 2" xfId="25636" xr:uid="{00000000-0005-0000-0000-00009D670000}"/>
    <cellStyle name="Normal 14 2 2 5 4" xfId="31214" xr:uid="{00000000-0005-0000-0000-00009E670000}"/>
    <cellStyle name="Normal 14 2 2 6" xfId="6894" xr:uid="{00000000-0005-0000-0000-00009F670000}"/>
    <cellStyle name="Normal 14 2 2 6 2" xfId="6895" xr:uid="{00000000-0005-0000-0000-0000A0670000}"/>
    <cellStyle name="Normal 14 2 2 6 2 2" xfId="16546" xr:uid="{00000000-0005-0000-0000-0000A1670000}"/>
    <cellStyle name="Normal 14 2 2 6 2 2 2" xfId="29953" xr:uid="{00000000-0005-0000-0000-0000A2670000}"/>
    <cellStyle name="Normal 14 2 2 6 2 3" xfId="31217" xr:uid="{00000000-0005-0000-0000-0000A3670000}"/>
    <cellStyle name="Normal 14 2 2 6 3" xfId="13498" xr:uid="{00000000-0005-0000-0000-0000A4670000}"/>
    <cellStyle name="Normal 14 2 2 6 3 2" xfId="27047" xr:uid="{00000000-0005-0000-0000-0000A5670000}"/>
    <cellStyle name="Normal 14 2 2 6 4" xfId="31216" xr:uid="{00000000-0005-0000-0000-0000A6670000}"/>
    <cellStyle name="Normal 14 2 2 7" xfId="6896" xr:uid="{00000000-0005-0000-0000-0000A7670000}"/>
    <cellStyle name="Normal 14 2 2 7 2" xfId="14079" xr:uid="{00000000-0005-0000-0000-0000A8670000}"/>
    <cellStyle name="Normal 14 2 2 7 2 2" xfId="27628" xr:uid="{00000000-0005-0000-0000-0000A9670000}"/>
    <cellStyle name="Normal 14 2 2 7 3" xfId="31218" xr:uid="{00000000-0005-0000-0000-0000AA670000}"/>
    <cellStyle name="Normal 14 2 2 8" xfId="6897" xr:uid="{00000000-0005-0000-0000-0000AB670000}"/>
    <cellStyle name="Normal 14 2 2 8 2" xfId="15965" xr:uid="{00000000-0005-0000-0000-0000AC670000}"/>
    <cellStyle name="Normal 14 2 2 8 2 2" xfId="29372" xr:uid="{00000000-0005-0000-0000-0000AD670000}"/>
    <cellStyle name="Normal 14 2 2 8 3" xfId="31219" xr:uid="{00000000-0005-0000-0000-0000AE670000}"/>
    <cellStyle name="Normal 14 2 2 9" xfId="10118" xr:uid="{00000000-0005-0000-0000-0000AF670000}"/>
    <cellStyle name="Normal 14 2 2 9 2" xfId="24346" xr:uid="{00000000-0005-0000-0000-0000B0670000}"/>
    <cellStyle name="Normal 14 2 3" xfId="6898" xr:uid="{00000000-0005-0000-0000-0000B1670000}"/>
    <cellStyle name="Normal 14 2 3 2" xfId="6899" xr:uid="{00000000-0005-0000-0000-0000B2670000}"/>
    <cellStyle name="Normal 14 2 3 2 2" xfId="6900" xr:uid="{00000000-0005-0000-0000-0000B3670000}"/>
    <cellStyle name="Normal 14 2 3 2 2 2" xfId="6901" xr:uid="{00000000-0005-0000-0000-0000B4670000}"/>
    <cellStyle name="Normal 14 2 3 2 2 2 2" xfId="16932" xr:uid="{00000000-0005-0000-0000-0000B5670000}"/>
    <cellStyle name="Normal 14 2 3 2 2 2 2 2" xfId="30339" xr:uid="{00000000-0005-0000-0000-0000B6670000}"/>
    <cellStyle name="Normal 14 2 3 2 2 2 3" xfId="31223" xr:uid="{00000000-0005-0000-0000-0000B7670000}"/>
    <cellStyle name="Normal 14 2 3 2 2 3" xfId="11502" xr:uid="{00000000-0005-0000-0000-0000B8670000}"/>
    <cellStyle name="Normal 14 2 3 2 2 3 2" xfId="25334" xr:uid="{00000000-0005-0000-0000-0000B9670000}"/>
    <cellStyle name="Normal 14 2 3 2 2 4" xfId="31222" xr:uid="{00000000-0005-0000-0000-0000BA670000}"/>
    <cellStyle name="Normal 14 2 3 2 3" xfId="6902" xr:uid="{00000000-0005-0000-0000-0000BB670000}"/>
    <cellStyle name="Normal 14 2 3 2 3 2" xfId="12320" xr:uid="{00000000-0005-0000-0000-0000BC670000}"/>
    <cellStyle name="Normal 14 2 3 2 3 2 2" xfId="26032" xr:uid="{00000000-0005-0000-0000-0000BD670000}"/>
    <cellStyle name="Normal 14 2 3 2 3 3" xfId="31224" xr:uid="{00000000-0005-0000-0000-0000BE670000}"/>
    <cellStyle name="Normal 14 2 3 2 4" xfId="6903" xr:uid="{00000000-0005-0000-0000-0000BF670000}"/>
    <cellStyle name="Normal 14 2 3 2 4 2" xfId="13884" xr:uid="{00000000-0005-0000-0000-0000C0670000}"/>
    <cellStyle name="Normal 14 2 3 2 4 2 2" xfId="27433" xr:uid="{00000000-0005-0000-0000-0000C1670000}"/>
    <cellStyle name="Normal 14 2 3 2 4 3" xfId="31225" xr:uid="{00000000-0005-0000-0000-0000C2670000}"/>
    <cellStyle name="Normal 14 2 3 2 5" xfId="6904" xr:uid="{00000000-0005-0000-0000-0000C3670000}"/>
    <cellStyle name="Normal 14 2 3 2 5 2" xfId="14465" xr:uid="{00000000-0005-0000-0000-0000C4670000}"/>
    <cellStyle name="Normal 14 2 3 2 5 2 2" xfId="28014" xr:uid="{00000000-0005-0000-0000-0000C5670000}"/>
    <cellStyle name="Normal 14 2 3 2 5 3" xfId="31226" xr:uid="{00000000-0005-0000-0000-0000C6670000}"/>
    <cellStyle name="Normal 14 2 3 2 6" xfId="6905" xr:uid="{00000000-0005-0000-0000-0000C7670000}"/>
    <cellStyle name="Normal 14 2 3 2 6 2" xfId="16351" xr:uid="{00000000-0005-0000-0000-0000C8670000}"/>
    <cellStyle name="Normal 14 2 3 2 6 2 2" xfId="29758" xr:uid="{00000000-0005-0000-0000-0000C9670000}"/>
    <cellStyle name="Normal 14 2 3 2 6 3" xfId="31227" xr:uid="{00000000-0005-0000-0000-0000CA670000}"/>
    <cellStyle name="Normal 14 2 3 2 7" xfId="10123" xr:uid="{00000000-0005-0000-0000-0000CB670000}"/>
    <cellStyle name="Normal 14 2 3 2 7 2" xfId="24351" xr:uid="{00000000-0005-0000-0000-0000CC670000}"/>
    <cellStyle name="Normal 14 2 3 2 8" xfId="31221" xr:uid="{00000000-0005-0000-0000-0000CD670000}"/>
    <cellStyle name="Normal 14 2 3 3" xfId="6906" xr:uid="{00000000-0005-0000-0000-0000CE670000}"/>
    <cellStyle name="Normal 14 2 3 3 2" xfId="6907" xr:uid="{00000000-0005-0000-0000-0000CF670000}"/>
    <cellStyle name="Normal 14 2 3 3 2 2" xfId="16643" xr:uid="{00000000-0005-0000-0000-0000D0670000}"/>
    <cellStyle name="Normal 14 2 3 3 2 2 2" xfId="30050" xr:uid="{00000000-0005-0000-0000-0000D1670000}"/>
    <cellStyle name="Normal 14 2 3 3 2 3" xfId="31229" xr:uid="{00000000-0005-0000-0000-0000D2670000}"/>
    <cellStyle name="Normal 14 2 3 3 3" xfId="11501" xr:uid="{00000000-0005-0000-0000-0000D3670000}"/>
    <cellStyle name="Normal 14 2 3 3 3 2" xfId="25333" xr:uid="{00000000-0005-0000-0000-0000D4670000}"/>
    <cellStyle name="Normal 14 2 3 3 4" xfId="31228" xr:uid="{00000000-0005-0000-0000-0000D5670000}"/>
    <cellStyle name="Normal 14 2 3 4" xfId="6908" xr:uid="{00000000-0005-0000-0000-0000D6670000}"/>
    <cellStyle name="Normal 14 2 3 4 2" xfId="12020" xr:uid="{00000000-0005-0000-0000-0000D7670000}"/>
    <cellStyle name="Normal 14 2 3 4 2 2" xfId="25735" xr:uid="{00000000-0005-0000-0000-0000D8670000}"/>
    <cellStyle name="Normal 14 2 3 4 3" xfId="31230" xr:uid="{00000000-0005-0000-0000-0000D9670000}"/>
    <cellStyle name="Normal 14 2 3 5" xfId="6909" xr:uid="{00000000-0005-0000-0000-0000DA670000}"/>
    <cellStyle name="Normal 14 2 3 5 2" xfId="13595" xr:uid="{00000000-0005-0000-0000-0000DB670000}"/>
    <cellStyle name="Normal 14 2 3 5 2 2" xfId="27144" xr:uid="{00000000-0005-0000-0000-0000DC670000}"/>
    <cellStyle name="Normal 14 2 3 5 3" xfId="31231" xr:uid="{00000000-0005-0000-0000-0000DD670000}"/>
    <cellStyle name="Normal 14 2 3 6" xfId="6910" xr:uid="{00000000-0005-0000-0000-0000DE670000}"/>
    <cellStyle name="Normal 14 2 3 6 2" xfId="14176" xr:uid="{00000000-0005-0000-0000-0000DF670000}"/>
    <cellStyle name="Normal 14 2 3 6 2 2" xfId="27725" xr:uid="{00000000-0005-0000-0000-0000E0670000}"/>
    <cellStyle name="Normal 14 2 3 6 3" xfId="31232" xr:uid="{00000000-0005-0000-0000-0000E1670000}"/>
    <cellStyle name="Normal 14 2 3 7" xfId="6911" xr:uid="{00000000-0005-0000-0000-0000E2670000}"/>
    <cellStyle name="Normal 14 2 3 7 2" xfId="16062" xr:uid="{00000000-0005-0000-0000-0000E3670000}"/>
    <cellStyle name="Normal 14 2 3 7 2 2" xfId="29469" xr:uid="{00000000-0005-0000-0000-0000E4670000}"/>
    <cellStyle name="Normal 14 2 3 7 3" xfId="31233" xr:uid="{00000000-0005-0000-0000-0000E5670000}"/>
    <cellStyle name="Normal 14 2 3 8" xfId="10122" xr:uid="{00000000-0005-0000-0000-0000E6670000}"/>
    <cellStyle name="Normal 14 2 3 8 2" xfId="24350" xr:uid="{00000000-0005-0000-0000-0000E7670000}"/>
    <cellStyle name="Normal 14 2 3 9" xfId="31220" xr:uid="{00000000-0005-0000-0000-0000E8670000}"/>
    <cellStyle name="Normal 14 2 4" xfId="6912" xr:uid="{00000000-0005-0000-0000-0000E9670000}"/>
    <cellStyle name="Normal 14 2 4 2" xfId="6913" xr:uid="{00000000-0005-0000-0000-0000EA670000}"/>
    <cellStyle name="Normal 14 2 4 2 2" xfId="6914" xr:uid="{00000000-0005-0000-0000-0000EB670000}"/>
    <cellStyle name="Normal 14 2 4 2 2 2" xfId="16789" xr:uid="{00000000-0005-0000-0000-0000EC670000}"/>
    <cellStyle name="Normal 14 2 4 2 2 2 2" xfId="30196" xr:uid="{00000000-0005-0000-0000-0000ED670000}"/>
    <cellStyle name="Normal 14 2 4 2 2 3" xfId="31236" xr:uid="{00000000-0005-0000-0000-0000EE670000}"/>
    <cellStyle name="Normal 14 2 4 2 3" xfId="11503" xr:uid="{00000000-0005-0000-0000-0000EF670000}"/>
    <cellStyle name="Normal 14 2 4 2 3 2" xfId="25335" xr:uid="{00000000-0005-0000-0000-0000F0670000}"/>
    <cellStyle name="Normal 14 2 4 2 4" xfId="31235" xr:uid="{00000000-0005-0000-0000-0000F1670000}"/>
    <cellStyle name="Normal 14 2 4 3" xfId="6915" xr:uid="{00000000-0005-0000-0000-0000F2670000}"/>
    <cellStyle name="Normal 14 2 4 3 2" xfId="12177" xr:uid="{00000000-0005-0000-0000-0000F3670000}"/>
    <cellStyle name="Normal 14 2 4 3 2 2" xfId="25889" xr:uid="{00000000-0005-0000-0000-0000F4670000}"/>
    <cellStyle name="Normal 14 2 4 3 3" xfId="31237" xr:uid="{00000000-0005-0000-0000-0000F5670000}"/>
    <cellStyle name="Normal 14 2 4 4" xfId="6916" xr:uid="{00000000-0005-0000-0000-0000F6670000}"/>
    <cellStyle name="Normal 14 2 4 4 2" xfId="13741" xr:uid="{00000000-0005-0000-0000-0000F7670000}"/>
    <cellStyle name="Normal 14 2 4 4 2 2" xfId="27290" xr:uid="{00000000-0005-0000-0000-0000F8670000}"/>
    <cellStyle name="Normal 14 2 4 4 3" xfId="31238" xr:uid="{00000000-0005-0000-0000-0000F9670000}"/>
    <cellStyle name="Normal 14 2 4 5" xfId="6917" xr:uid="{00000000-0005-0000-0000-0000FA670000}"/>
    <cellStyle name="Normal 14 2 4 5 2" xfId="14322" xr:uid="{00000000-0005-0000-0000-0000FB670000}"/>
    <cellStyle name="Normal 14 2 4 5 2 2" xfId="27871" xr:uid="{00000000-0005-0000-0000-0000FC670000}"/>
    <cellStyle name="Normal 14 2 4 5 3" xfId="31239" xr:uid="{00000000-0005-0000-0000-0000FD670000}"/>
    <cellStyle name="Normal 14 2 4 6" xfId="6918" xr:uid="{00000000-0005-0000-0000-0000FE670000}"/>
    <cellStyle name="Normal 14 2 4 6 2" xfId="16208" xr:uid="{00000000-0005-0000-0000-0000FF670000}"/>
    <cellStyle name="Normal 14 2 4 6 2 2" xfId="29615" xr:uid="{00000000-0005-0000-0000-000000680000}"/>
    <cellStyle name="Normal 14 2 4 6 3" xfId="31240" xr:uid="{00000000-0005-0000-0000-000001680000}"/>
    <cellStyle name="Normal 14 2 4 7" xfId="10124" xr:uid="{00000000-0005-0000-0000-000002680000}"/>
    <cellStyle name="Normal 14 2 4 7 2" xfId="24352" xr:uid="{00000000-0005-0000-0000-000003680000}"/>
    <cellStyle name="Normal 14 2 4 8" xfId="31234" xr:uid="{00000000-0005-0000-0000-000004680000}"/>
    <cellStyle name="Normal 14 2 5" xfId="6919" xr:uid="{00000000-0005-0000-0000-000005680000}"/>
    <cellStyle name="Normal 14 2 5 2" xfId="6920" xr:uid="{00000000-0005-0000-0000-000006680000}"/>
    <cellStyle name="Normal 14 2 5 2 2" xfId="17136" xr:uid="{00000000-0005-0000-0000-000007680000}"/>
    <cellStyle name="Normal 14 2 5 2 2 2" xfId="30495" xr:uid="{00000000-0005-0000-0000-000008680000}"/>
    <cellStyle name="Normal 14 2 5 2 3" xfId="31242" xr:uid="{00000000-0005-0000-0000-000009680000}"/>
    <cellStyle name="Normal 14 2 5 3" xfId="11496" xr:uid="{00000000-0005-0000-0000-00000A680000}"/>
    <cellStyle name="Normal 14 2 5 3 2" xfId="25328" xr:uid="{00000000-0005-0000-0000-00000B680000}"/>
    <cellStyle name="Normal 14 2 5 4" xfId="31241" xr:uid="{00000000-0005-0000-0000-00000C680000}"/>
    <cellStyle name="Normal 14 2 6" xfId="6921" xr:uid="{00000000-0005-0000-0000-00000D680000}"/>
    <cellStyle name="Normal 14 2 6 2" xfId="6922" xr:uid="{00000000-0005-0000-0000-00000E680000}"/>
    <cellStyle name="Normal 14 2 6 2 2" xfId="17225" xr:uid="{00000000-0005-0000-0000-00000F680000}"/>
    <cellStyle name="Normal 14 2 6 2 2 2" xfId="30584" xr:uid="{00000000-0005-0000-0000-000010680000}"/>
    <cellStyle name="Normal 14 2 6 2 3" xfId="31244" xr:uid="{00000000-0005-0000-0000-000011680000}"/>
    <cellStyle name="Normal 14 2 6 3" xfId="11864" xr:uid="{00000000-0005-0000-0000-000012680000}"/>
    <cellStyle name="Normal 14 2 6 3 2" xfId="25579" xr:uid="{00000000-0005-0000-0000-000013680000}"/>
    <cellStyle name="Normal 14 2 6 4" xfId="31243" xr:uid="{00000000-0005-0000-0000-000014680000}"/>
    <cellStyle name="Normal 14 2 7" xfId="6923" xr:uid="{00000000-0005-0000-0000-000015680000}"/>
    <cellStyle name="Normal 14 2 7 2" xfId="6924" xr:uid="{00000000-0005-0000-0000-000016680000}"/>
    <cellStyle name="Normal 14 2 7 2 2" xfId="16500" xr:uid="{00000000-0005-0000-0000-000017680000}"/>
    <cellStyle name="Normal 14 2 7 2 2 2" xfId="29907" xr:uid="{00000000-0005-0000-0000-000018680000}"/>
    <cellStyle name="Normal 14 2 7 2 3" xfId="31246" xr:uid="{00000000-0005-0000-0000-000019680000}"/>
    <cellStyle name="Normal 14 2 7 3" xfId="13452" xr:uid="{00000000-0005-0000-0000-00001A680000}"/>
    <cellStyle name="Normal 14 2 7 3 2" xfId="27001" xr:uid="{00000000-0005-0000-0000-00001B680000}"/>
    <cellStyle name="Normal 14 2 7 4" xfId="31245" xr:uid="{00000000-0005-0000-0000-00001C680000}"/>
    <cellStyle name="Normal 14 2 8" xfId="6925" xr:uid="{00000000-0005-0000-0000-00001D680000}"/>
    <cellStyle name="Normal 14 2 8 2" xfId="14033" xr:uid="{00000000-0005-0000-0000-00001E680000}"/>
    <cellStyle name="Normal 14 2 8 2 2" xfId="27582" xr:uid="{00000000-0005-0000-0000-00001F680000}"/>
    <cellStyle name="Normal 14 2 8 3" xfId="31247" xr:uid="{00000000-0005-0000-0000-000020680000}"/>
    <cellStyle name="Normal 14 2 9" xfId="6926" xr:uid="{00000000-0005-0000-0000-000021680000}"/>
    <cellStyle name="Normal 14 2 9 2" xfId="15919" xr:uid="{00000000-0005-0000-0000-000022680000}"/>
    <cellStyle name="Normal 14 2 9 2 2" xfId="29326" xr:uid="{00000000-0005-0000-0000-000023680000}"/>
    <cellStyle name="Normal 14 2 9 3" xfId="31248" xr:uid="{00000000-0005-0000-0000-000024680000}"/>
    <cellStyle name="Normal 14 3" xfId="6927" xr:uid="{00000000-0005-0000-0000-000025680000}"/>
    <cellStyle name="Normal 14 3 10" xfId="31249" xr:uid="{00000000-0005-0000-0000-000026680000}"/>
    <cellStyle name="Normal 14 3 2" xfId="6928" xr:uid="{00000000-0005-0000-0000-000027680000}"/>
    <cellStyle name="Normal 14 3 2 2" xfId="6929" xr:uid="{00000000-0005-0000-0000-000028680000}"/>
    <cellStyle name="Normal 14 3 2 2 2" xfId="6930" xr:uid="{00000000-0005-0000-0000-000029680000}"/>
    <cellStyle name="Normal 14 3 2 2 2 2" xfId="6931" xr:uid="{00000000-0005-0000-0000-00002A680000}"/>
    <cellStyle name="Normal 14 3 2 2 2 2 2" xfId="16955" xr:uid="{00000000-0005-0000-0000-00002B680000}"/>
    <cellStyle name="Normal 14 3 2 2 2 2 2 2" xfId="30362" xr:uid="{00000000-0005-0000-0000-00002C680000}"/>
    <cellStyle name="Normal 14 3 2 2 2 2 3" xfId="31253" xr:uid="{00000000-0005-0000-0000-00002D680000}"/>
    <cellStyle name="Normal 14 3 2 2 2 3" xfId="11506" xr:uid="{00000000-0005-0000-0000-00002E680000}"/>
    <cellStyle name="Normal 14 3 2 2 2 3 2" xfId="25338" xr:uid="{00000000-0005-0000-0000-00002F680000}"/>
    <cellStyle name="Normal 14 3 2 2 2 4" xfId="31252" xr:uid="{00000000-0005-0000-0000-000030680000}"/>
    <cellStyle name="Normal 14 3 2 2 3" xfId="6932" xr:uid="{00000000-0005-0000-0000-000031680000}"/>
    <cellStyle name="Normal 14 3 2 2 3 2" xfId="12343" xr:uid="{00000000-0005-0000-0000-000032680000}"/>
    <cellStyle name="Normal 14 3 2 2 3 2 2" xfId="26055" xr:uid="{00000000-0005-0000-0000-000033680000}"/>
    <cellStyle name="Normal 14 3 2 2 3 3" xfId="31254" xr:uid="{00000000-0005-0000-0000-000034680000}"/>
    <cellStyle name="Normal 14 3 2 2 4" xfId="6933" xr:uid="{00000000-0005-0000-0000-000035680000}"/>
    <cellStyle name="Normal 14 3 2 2 4 2" xfId="13907" xr:uid="{00000000-0005-0000-0000-000036680000}"/>
    <cellStyle name="Normal 14 3 2 2 4 2 2" xfId="27456" xr:uid="{00000000-0005-0000-0000-000037680000}"/>
    <cellStyle name="Normal 14 3 2 2 4 3" xfId="31255" xr:uid="{00000000-0005-0000-0000-000038680000}"/>
    <cellStyle name="Normal 14 3 2 2 5" xfId="6934" xr:uid="{00000000-0005-0000-0000-000039680000}"/>
    <cellStyle name="Normal 14 3 2 2 5 2" xfId="14488" xr:uid="{00000000-0005-0000-0000-00003A680000}"/>
    <cellStyle name="Normal 14 3 2 2 5 2 2" xfId="28037" xr:uid="{00000000-0005-0000-0000-00003B680000}"/>
    <cellStyle name="Normal 14 3 2 2 5 3" xfId="31256" xr:uid="{00000000-0005-0000-0000-00003C680000}"/>
    <cellStyle name="Normal 14 3 2 2 6" xfId="6935" xr:uid="{00000000-0005-0000-0000-00003D680000}"/>
    <cellStyle name="Normal 14 3 2 2 6 2" xfId="16374" xr:uid="{00000000-0005-0000-0000-00003E680000}"/>
    <cellStyle name="Normal 14 3 2 2 6 2 2" xfId="29781" xr:uid="{00000000-0005-0000-0000-00003F680000}"/>
    <cellStyle name="Normal 14 3 2 2 6 3" xfId="31257" xr:uid="{00000000-0005-0000-0000-000040680000}"/>
    <cellStyle name="Normal 14 3 2 2 7" xfId="10127" xr:uid="{00000000-0005-0000-0000-000041680000}"/>
    <cellStyle name="Normal 14 3 2 2 7 2" xfId="24355" xr:uid="{00000000-0005-0000-0000-000042680000}"/>
    <cellStyle name="Normal 14 3 2 2 8" xfId="31251" xr:uid="{00000000-0005-0000-0000-000043680000}"/>
    <cellStyle name="Normal 14 3 2 3" xfId="6936" xr:uid="{00000000-0005-0000-0000-000044680000}"/>
    <cellStyle name="Normal 14 3 2 3 2" xfId="6937" xr:uid="{00000000-0005-0000-0000-000045680000}"/>
    <cellStyle name="Normal 14 3 2 3 2 2" xfId="16666" xr:uid="{00000000-0005-0000-0000-000046680000}"/>
    <cellStyle name="Normal 14 3 2 3 2 2 2" xfId="30073" xr:uid="{00000000-0005-0000-0000-000047680000}"/>
    <cellStyle name="Normal 14 3 2 3 2 3" xfId="31259" xr:uid="{00000000-0005-0000-0000-000048680000}"/>
    <cellStyle name="Normal 14 3 2 3 3" xfId="11505" xr:uid="{00000000-0005-0000-0000-000049680000}"/>
    <cellStyle name="Normal 14 3 2 3 3 2" xfId="25337" xr:uid="{00000000-0005-0000-0000-00004A680000}"/>
    <cellStyle name="Normal 14 3 2 3 4" xfId="31258" xr:uid="{00000000-0005-0000-0000-00004B680000}"/>
    <cellStyle name="Normal 14 3 2 4" xfId="6938" xr:uid="{00000000-0005-0000-0000-00004C680000}"/>
    <cellStyle name="Normal 14 3 2 4 2" xfId="12043" xr:uid="{00000000-0005-0000-0000-00004D680000}"/>
    <cellStyle name="Normal 14 3 2 4 2 2" xfId="25758" xr:uid="{00000000-0005-0000-0000-00004E680000}"/>
    <cellStyle name="Normal 14 3 2 4 3" xfId="31260" xr:uid="{00000000-0005-0000-0000-00004F680000}"/>
    <cellStyle name="Normal 14 3 2 5" xfId="6939" xr:uid="{00000000-0005-0000-0000-000050680000}"/>
    <cellStyle name="Normal 14 3 2 5 2" xfId="13618" xr:uid="{00000000-0005-0000-0000-000051680000}"/>
    <cellStyle name="Normal 14 3 2 5 2 2" xfId="27167" xr:uid="{00000000-0005-0000-0000-000052680000}"/>
    <cellStyle name="Normal 14 3 2 5 3" xfId="31261" xr:uid="{00000000-0005-0000-0000-000053680000}"/>
    <cellStyle name="Normal 14 3 2 6" xfId="6940" xr:uid="{00000000-0005-0000-0000-000054680000}"/>
    <cellStyle name="Normal 14 3 2 6 2" xfId="14199" xr:uid="{00000000-0005-0000-0000-000055680000}"/>
    <cellStyle name="Normal 14 3 2 6 2 2" xfId="27748" xr:uid="{00000000-0005-0000-0000-000056680000}"/>
    <cellStyle name="Normal 14 3 2 6 3" xfId="31262" xr:uid="{00000000-0005-0000-0000-000057680000}"/>
    <cellStyle name="Normal 14 3 2 7" xfId="6941" xr:uid="{00000000-0005-0000-0000-000058680000}"/>
    <cellStyle name="Normal 14 3 2 7 2" xfId="16085" xr:uid="{00000000-0005-0000-0000-000059680000}"/>
    <cellStyle name="Normal 14 3 2 7 2 2" xfId="29492" xr:uid="{00000000-0005-0000-0000-00005A680000}"/>
    <cellStyle name="Normal 14 3 2 7 3" xfId="31263" xr:uid="{00000000-0005-0000-0000-00005B680000}"/>
    <cellStyle name="Normal 14 3 2 8" xfId="10126" xr:uid="{00000000-0005-0000-0000-00005C680000}"/>
    <cellStyle name="Normal 14 3 2 8 2" xfId="24354" xr:uid="{00000000-0005-0000-0000-00005D680000}"/>
    <cellStyle name="Normal 14 3 2 9" xfId="31250" xr:uid="{00000000-0005-0000-0000-00005E680000}"/>
    <cellStyle name="Normal 14 3 3" xfId="6942" xr:uid="{00000000-0005-0000-0000-00005F680000}"/>
    <cellStyle name="Normal 14 3 3 2" xfId="6943" xr:uid="{00000000-0005-0000-0000-000060680000}"/>
    <cellStyle name="Normal 14 3 3 2 2" xfId="6944" xr:uid="{00000000-0005-0000-0000-000061680000}"/>
    <cellStyle name="Normal 14 3 3 2 2 2" xfId="16812" xr:uid="{00000000-0005-0000-0000-000062680000}"/>
    <cellStyle name="Normal 14 3 3 2 2 2 2" xfId="30219" xr:uid="{00000000-0005-0000-0000-000063680000}"/>
    <cellStyle name="Normal 14 3 3 2 2 3" xfId="31266" xr:uid="{00000000-0005-0000-0000-000064680000}"/>
    <cellStyle name="Normal 14 3 3 2 3" xfId="11507" xr:uid="{00000000-0005-0000-0000-000065680000}"/>
    <cellStyle name="Normal 14 3 3 2 3 2" xfId="25339" xr:uid="{00000000-0005-0000-0000-000066680000}"/>
    <cellStyle name="Normal 14 3 3 2 4" xfId="31265" xr:uid="{00000000-0005-0000-0000-000067680000}"/>
    <cellStyle name="Normal 14 3 3 3" xfId="6945" xr:uid="{00000000-0005-0000-0000-000068680000}"/>
    <cellStyle name="Normal 14 3 3 3 2" xfId="12200" xr:uid="{00000000-0005-0000-0000-000069680000}"/>
    <cellStyle name="Normal 14 3 3 3 2 2" xfId="25912" xr:uid="{00000000-0005-0000-0000-00006A680000}"/>
    <cellStyle name="Normal 14 3 3 3 3" xfId="31267" xr:uid="{00000000-0005-0000-0000-00006B680000}"/>
    <cellStyle name="Normal 14 3 3 4" xfId="6946" xr:uid="{00000000-0005-0000-0000-00006C680000}"/>
    <cellStyle name="Normal 14 3 3 4 2" xfId="13764" xr:uid="{00000000-0005-0000-0000-00006D680000}"/>
    <cellStyle name="Normal 14 3 3 4 2 2" xfId="27313" xr:uid="{00000000-0005-0000-0000-00006E680000}"/>
    <cellStyle name="Normal 14 3 3 4 3" xfId="31268" xr:uid="{00000000-0005-0000-0000-00006F680000}"/>
    <cellStyle name="Normal 14 3 3 5" xfId="6947" xr:uid="{00000000-0005-0000-0000-000070680000}"/>
    <cellStyle name="Normal 14 3 3 5 2" xfId="14345" xr:uid="{00000000-0005-0000-0000-000071680000}"/>
    <cellStyle name="Normal 14 3 3 5 2 2" xfId="27894" xr:uid="{00000000-0005-0000-0000-000072680000}"/>
    <cellStyle name="Normal 14 3 3 5 3" xfId="31269" xr:uid="{00000000-0005-0000-0000-000073680000}"/>
    <cellStyle name="Normal 14 3 3 6" xfId="6948" xr:uid="{00000000-0005-0000-0000-000074680000}"/>
    <cellStyle name="Normal 14 3 3 6 2" xfId="16231" xr:uid="{00000000-0005-0000-0000-000075680000}"/>
    <cellStyle name="Normal 14 3 3 6 2 2" xfId="29638" xr:uid="{00000000-0005-0000-0000-000076680000}"/>
    <cellStyle name="Normal 14 3 3 6 3" xfId="31270" xr:uid="{00000000-0005-0000-0000-000077680000}"/>
    <cellStyle name="Normal 14 3 3 7" xfId="10128" xr:uid="{00000000-0005-0000-0000-000078680000}"/>
    <cellStyle name="Normal 14 3 3 7 2" xfId="24356" xr:uid="{00000000-0005-0000-0000-000079680000}"/>
    <cellStyle name="Normal 14 3 3 8" xfId="31264" xr:uid="{00000000-0005-0000-0000-00007A680000}"/>
    <cellStyle name="Normal 14 3 4" xfId="6949" xr:uid="{00000000-0005-0000-0000-00007B680000}"/>
    <cellStyle name="Normal 14 3 4 2" xfId="6950" xr:uid="{00000000-0005-0000-0000-00007C680000}"/>
    <cellStyle name="Normal 14 3 4 2 2" xfId="17159" xr:uid="{00000000-0005-0000-0000-00007D680000}"/>
    <cellStyle name="Normal 14 3 4 2 2 2" xfId="30518" xr:uid="{00000000-0005-0000-0000-00007E680000}"/>
    <cellStyle name="Normal 14 3 4 2 3" xfId="31272" xr:uid="{00000000-0005-0000-0000-00007F680000}"/>
    <cellStyle name="Normal 14 3 4 3" xfId="11504" xr:uid="{00000000-0005-0000-0000-000080680000}"/>
    <cellStyle name="Normal 14 3 4 3 2" xfId="25336" xr:uid="{00000000-0005-0000-0000-000081680000}"/>
    <cellStyle name="Normal 14 3 4 4" xfId="31271" xr:uid="{00000000-0005-0000-0000-000082680000}"/>
    <cellStyle name="Normal 14 3 5" xfId="6951" xr:uid="{00000000-0005-0000-0000-000083680000}"/>
    <cellStyle name="Normal 14 3 5 2" xfId="6952" xr:uid="{00000000-0005-0000-0000-000084680000}"/>
    <cellStyle name="Normal 14 3 5 2 2" xfId="17248" xr:uid="{00000000-0005-0000-0000-000085680000}"/>
    <cellStyle name="Normal 14 3 5 2 2 2" xfId="30607" xr:uid="{00000000-0005-0000-0000-000086680000}"/>
    <cellStyle name="Normal 14 3 5 2 3" xfId="31274" xr:uid="{00000000-0005-0000-0000-000087680000}"/>
    <cellStyle name="Normal 14 3 5 3" xfId="11898" xr:uid="{00000000-0005-0000-0000-000088680000}"/>
    <cellStyle name="Normal 14 3 5 3 2" xfId="25613" xr:uid="{00000000-0005-0000-0000-000089680000}"/>
    <cellStyle name="Normal 14 3 5 4" xfId="31273" xr:uid="{00000000-0005-0000-0000-00008A680000}"/>
    <cellStyle name="Normal 14 3 6" xfId="6953" xr:uid="{00000000-0005-0000-0000-00008B680000}"/>
    <cellStyle name="Normal 14 3 6 2" xfId="6954" xr:uid="{00000000-0005-0000-0000-00008C680000}"/>
    <cellStyle name="Normal 14 3 6 2 2" xfId="16523" xr:uid="{00000000-0005-0000-0000-00008D680000}"/>
    <cellStyle name="Normal 14 3 6 2 2 2" xfId="29930" xr:uid="{00000000-0005-0000-0000-00008E680000}"/>
    <cellStyle name="Normal 14 3 6 2 3" xfId="31276" xr:uid="{00000000-0005-0000-0000-00008F680000}"/>
    <cellStyle name="Normal 14 3 6 3" xfId="13475" xr:uid="{00000000-0005-0000-0000-000090680000}"/>
    <cellStyle name="Normal 14 3 6 3 2" xfId="27024" xr:uid="{00000000-0005-0000-0000-000091680000}"/>
    <cellStyle name="Normal 14 3 6 4" xfId="31275" xr:uid="{00000000-0005-0000-0000-000092680000}"/>
    <cellStyle name="Normal 14 3 7" xfId="6955" xr:uid="{00000000-0005-0000-0000-000093680000}"/>
    <cellStyle name="Normal 14 3 7 2" xfId="14056" xr:uid="{00000000-0005-0000-0000-000094680000}"/>
    <cellStyle name="Normal 14 3 7 2 2" xfId="27605" xr:uid="{00000000-0005-0000-0000-000095680000}"/>
    <cellStyle name="Normal 14 3 7 3" xfId="31277" xr:uid="{00000000-0005-0000-0000-000096680000}"/>
    <cellStyle name="Normal 14 3 8" xfId="6956" xr:uid="{00000000-0005-0000-0000-000097680000}"/>
    <cellStyle name="Normal 14 3 8 2" xfId="15942" xr:uid="{00000000-0005-0000-0000-000098680000}"/>
    <cellStyle name="Normal 14 3 8 2 2" xfId="29349" xr:uid="{00000000-0005-0000-0000-000099680000}"/>
    <cellStyle name="Normal 14 3 8 3" xfId="31278" xr:uid="{00000000-0005-0000-0000-00009A680000}"/>
    <cellStyle name="Normal 14 3 9" xfId="10125" xr:uid="{00000000-0005-0000-0000-00009B680000}"/>
    <cellStyle name="Normal 14 3 9 2" xfId="24353" xr:uid="{00000000-0005-0000-0000-00009C680000}"/>
    <cellStyle name="Normal 14 4" xfId="6957" xr:uid="{00000000-0005-0000-0000-00009D680000}"/>
    <cellStyle name="Normal 14 4 10" xfId="31279" xr:uid="{00000000-0005-0000-0000-00009E680000}"/>
    <cellStyle name="Normal 14 4 2" xfId="6958" xr:uid="{00000000-0005-0000-0000-00009F680000}"/>
    <cellStyle name="Normal 14 4 2 2" xfId="6959" xr:uid="{00000000-0005-0000-0000-0000A0680000}"/>
    <cellStyle name="Normal 14 4 2 2 2" xfId="6960" xr:uid="{00000000-0005-0000-0000-0000A1680000}"/>
    <cellStyle name="Normal 14 4 2 2 2 2" xfId="6961" xr:uid="{00000000-0005-0000-0000-0000A2680000}"/>
    <cellStyle name="Normal 14 4 2 2 2 2 2" xfId="16998" xr:uid="{00000000-0005-0000-0000-0000A3680000}"/>
    <cellStyle name="Normal 14 4 2 2 2 2 2 2" xfId="30405" xr:uid="{00000000-0005-0000-0000-0000A4680000}"/>
    <cellStyle name="Normal 14 4 2 2 2 2 3" xfId="31283" xr:uid="{00000000-0005-0000-0000-0000A5680000}"/>
    <cellStyle name="Normal 14 4 2 2 2 3" xfId="11510" xr:uid="{00000000-0005-0000-0000-0000A6680000}"/>
    <cellStyle name="Normal 14 4 2 2 2 3 2" xfId="25342" xr:uid="{00000000-0005-0000-0000-0000A7680000}"/>
    <cellStyle name="Normal 14 4 2 2 2 4" xfId="31282" xr:uid="{00000000-0005-0000-0000-0000A8680000}"/>
    <cellStyle name="Normal 14 4 2 2 3" xfId="6962" xr:uid="{00000000-0005-0000-0000-0000A9680000}"/>
    <cellStyle name="Normal 14 4 2 2 3 2" xfId="12386" xr:uid="{00000000-0005-0000-0000-0000AA680000}"/>
    <cellStyle name="Normal 14 4 2 2 3 2 2" xfId="26098" xr:uid="{00000000-0005-0000-0000-0000AB680000}"/>
    <cellStyle name="Normal 14 4 2 2 3 3" xfId="31284" xr:uid="{00000000-0005-0000-0000-0000AC680000}"/>
    <cellStyle name="Normal 14 4 2 2 4" xfId="6963" xr:uid="{00000000-0005-0000-0000-0000AD680000}"/>
    <cellStyle name="Normal 14 4 2 2 4 2" xfId="13950" xr:uid="{00000000-0005-0000-0000-0000AE680000}"/>
    <cellStyle name="Normal 14 4 2 2 4 2 2" xfId="27499" xr:uid="{00000000-0005-0000-0000-0000AF680000}"/>
    <cellStyle name="Normal 14 4 2 2 4 3" xfId="31285" xr:uid="{00000000-0005-0000-0000-0000B0680000}"/>
    <cellStyle name="Normal 14 4 2 2 5" xfId="6964" xr:uid="{00000000-0005-0000-0000-0000B1680000}"/>
    <cellStyle name="Normal 14 4 2 2 5 2" xfId="14531" xr:uid="{00000000-0005-0000-0000-0000B2680000}"/>
    <cellStyle name="Normal 14 4 2 2 5 2 2" xfId="28080" xr:uid="{00000000-0005-0000-0000-0000B3680000}"/>
    <cellStyle name="Normal 14 4 2 2 5 3" xfId="31286" xr:uid="{00000000-0005-0000-0000-0000B4680000}"/>
    <cellStyle name="Normal 14 4 2 2 6" xfId="6965" xr:uid="{00000000-0005-0000-0000-0000B5680000}"/>
    <cellStyle name="Normal 14 4 2 2 6 2" xfId="16417" xr:uid="{00000000-0005-0000-0000-0000B6680000}"/>
    <cellStyle name="Normal 14 4 2 2 6 2 2" xfId="29824" xr:uid="{00000000-0005-0000-0000-0000B7680000}"/>
    <cellStyle name="Normal 14 4 2 2 6 3" xfId="31287" xr:uid="{00000000-0005-0000-0000-0000B8680000}"/>
    <cellStyle name="Normal 14 4 2 2 7" xfId="10131" xr:uid="{00000000-0005-0000-0000-0000B9680000}"/>
    <cellStyle name="Normal 14 4 2 2 7 2" xfId="24359" xr:uid="{00000000-0005-0000-0000-0000BA680000}"/>
    <cellStyle name="Normal 14 4 2 2 8" xfId="31281" xr:uid="{00000000-0005-0000-0000-0000BB680000}"/>
    <cellStyle name="Normal 14 4 2 3" xfId="6966" xr:uid="{00000000-0005-0000-0000-0000BC680000}"/>
    <cellStyle name="Normal 14 4 2 3 2" xfId="6967" xr:uid="{00000000-0005-0000-0000-0000BD680000}"/>
    <cellStyle name="Normal 14 4 2 3 2 2" xfId="16709" xr:uid="{00000000-0005-0000-0000-0000BE680000}"/>
    <cellStyle name="Normal 14 4 2 3 2 2 2" xfId="30116" xr:uid="{00000000-0005-0000-0000-0000BF680000}"/>
    <cellStyle name="Normal 14 4 2 3 2 3" xfId="31289" xr:uid="{00000000-0005-0000-0000-0000C0680000}"/>
    <cellStyle name="Normal 14 4 2 3 3" xfId="11509" xr:uid="{00000000-0005-0000-0000-0000C1680000}"/>
    <cellStyle name="Normal 14 4 2 3 3 2" xfId="25341" xr:uid="{00000000-0005-0000-0000-0000C2680000}"/>
    <cellStyle name="Normal 14 4 2 3 4" xfId="31288" xr:uid="{00000000-0005-0000-0000-0000C3680000}"/>
    <cellStyle name="Normal 14 4 2 4" xfId="6968" xr:uid="{00000000-0005-0000-0000-0000C4680000}"/>
    <cellStyle name="Normal 14 4 2 4 2" xfId="12086" xr:uid="{00000000-0005-0000-0000-0000C5680000}"/>
    <cellStyle name="Normal 14 4 2 4 2 2" xfId="25801" xr:uid="{00000000-0005-0000-0000-0000C6680000}"/>
    <cellStyle name="Normal 14 4 2 4 3" xfId="31290" xr:uid="{00000000-0005-0000-0000-0000C7680000}"/>
    <cellStyle name="Normal 14 4 2 5" xfId="6969" xr:uid="{00000000-0005-0000-0000-0000C8680000}"/>
    <cellStyle name="Normal 14 4 2 5 2" xfId="13661" xr:uid="{00000000-0005-0000-0000-0000C9680000}"/>
    <cellStyle name="Normal 14 4 2 5 2 2" xfId="27210" xr:uid="{00000000-0005-0000-0000-0000CA680000}"/>
    <cellStyle name="Normal 14 4 2 5 3" xfId="31291" xr:uid="{00000000-0005-0000-0000-0000CB680000}"/>
    <cellStyle name="Normal 14 4 2 6" xfId="6970" xr:uid="{00000000-0005-0000-0000-0000CC680000}"/>
    <cellStyle name="Normal 14 4 2 6 2" xfId="14242" xr:uid="{00000000-0005-0000-0000-0000CD680000}"/>
    <cellStyle name="Normal 14 4 2 6 2 2" xfId="27791" xr:uid="{00000000-0005-0000-0000-0000CE680000}"/>
    <cellStyle name="Normal 14 4 2 6 3" xfId="31292" xr:uid="{00000000-0005-0000-0000-0000CF680000}"/>
    <cellStyle name="Normal 14 4 2 7" xfId="6971" xr:uid="{00000000-0005-0000-0000-0000D0680000}"/>
    <cellStyle name="Normal 14 4 2 7 2" xfId="16128" xr:uid="{00000000-0005-0000-0000-0000D1680000}"/>
    <cellStyle name="Normal 14 4 2 7 2 2" xfId="29535" xr:uid="{00000000-0005-0000-0000-0000D2680000}"/>
    <cellStyle name="Normal 14 4 2 7 3" xfId="31293" xr:uid="{00000000-0005-0000-0000-0000D3680000}"/>
    <cellStyle name="Normal 14 4 2 8" xfId="10130" xr:uid="{00000000-0005-0000-0000-0000D4680000}"/>
    <cellStyle name="Normal 14 4 2 8 2" xfId="24358" xr:uid="{00000000-0005-0000-0000-0000D5680000}"/>
    <cellStyle name="Normal 14 4 2 9" xfId="31280" xr:uid="{00000000-0005-0000-0000-0000D6680000}"/>
    <cellStyle name="Normal 14 4 3" xfId="6972" xr:uid="{00000000-0005-0000-0000-0000D7680000}"/>
    <cellStyle name="Normal 14 4 3 2" xfId="6973" xr:uid="{00000000-0005-0000-0000-0000D8680000}"/>
    <cellStyle name="Normal 14 4 3 2 2" xfId="6974" xr:uid="{00000000-0005-0000-0000-0000D9680000}"/>
    <cellStyle name="Normal 14 4 3 2 2 2" xfId="16855" xr:uid="{00000000-0005-0000-0000-0000DA680000}"/>
    <cellStyle name="Normal 14 4 3 2 2 2 2" xfId="30262" xr:uid="{00000000-0005-0000-0000-0000DB680000}"/>
    <cellStyle name="Normal 14 4 3 2 2 3" xfId="31296" xr:uid="{00000000-0005-0000-0000-0000DC680000}"/>
    <cellStyle name="Normal 14 4 3 2 3" xfId="11511" xr:uid="{00000000-0005-0000-0000-0000DD680000}"/>
    <cellStyle name="Normal 14 4 3 2 3 2" xfId="25343" xr:uid="{00000000-0005-0000-0000-0000DE680000}"/>
    <cellStyle name="Normal 14 4 3 2 4" xfId="31295" xr:uid="{00000000-0005-0000-0000-0000DF680000}"/>
    <cellStyle name="Normal 14 4 3 3" xfId="6975" xr:uid="{00000000-0005-0000-0000-0000E0680000}"/>
    <cellStyle name="Normal 14 4 3 3 2" xfId="12243" xr:uid="{00000000-0005-0000-0000-0000E1680000}"/>
    <cellStyle name="Normal 14 4 3 3 2 2" xfId="25955" xr:uid="{00000000-0005-0000-0000-0000E2680000}"/>
    <cellStyle name="Normal 14 4 3 3 3" xfId="31297" xr:uid="{00000000-0005-0000-0000-0000E3680000}"/>
    <cellStyle name="Normal 14 4 3 4" xfId="6976" xr:uid="{00000000-0005-0000-0000-0000E4680000}"/>
    <cellStyle name="Normal 14 4 3 4 2" xfId="13807" xr:uid="{00000000-0005-0000-0000-0000E5680000}"/>
    <cellStyle name="Normal 14 4 3 4 2 2" xfId="27356" xr:uid="{00000000-0005-0000-0000-0000E6680000}"/>
    <cellStyle name="Normal 14 4 3 4 3" xfId="31298" xr:uid="{00000000-0005-0000-0000-0000E7680000}"/>
    <cellStyle name="Normal 14 4 3 5" xfId="6977" xr:uid="{00000000-0005-0000-0000-0000E8680000}"/>
    <cellStyle name="Normal 14 4 3 5 2" xfId="14388" xr:uid="{00000000-0005-0000-0000-0000E9680000}"/>
    <cellStyle name="Normal 14 4 3 5 2 2" xfId="27937" xr:uid="{00000000-0005-0000-0000-0000EA680000}"/>
    <cellStyle name="Normal 14 4 3 5 3" xfId="31299" xr:uid="{00000000-0005-0000-0000-0000EB680000}"/>
    <cellStyle name="Normal 14 4 3 6" xfId="6978" xr:uid="{00000000-0005-0000-0000-0000EC680000}"/>
    <cellStyle name="Normal 14 4 3 6 2" xfId="16274" xr:uid="{00000000-0005-0000-0000-0000ED680000}"/>
    <cellStyle name="Normal 14 4 3 6 2 2" xfId="29681" xr:uid="{00000000-0005-0000-0000-0000EE680000}"/>
    <cellStyle name="Normal 14 4 3 6 3" xfId="31300" xr:uid="{00000000-0005-0000-0000-0000EF680000}"/>
    <cellStyle name="Normal 14 4 3 7" xfId="10132" xr:uid="{00000000-0005-0000-0000-0000F0680000}"/>
    <cellStyle name="Normal 14 4 3 7 2" xfId="24360" xr:uid="{00000000-0005-0000-0000-0000F1680000}"/>
    <cellStyle name="Normal 14 4 3 8" xfId="31294" xr:uid="{00000000-0005-0000-0000-0000F2680000}"/>
    <cellStyle name="Normal 14 4 4" xfId="6979" xr:uid="{00000000-0005-0000-0000-0000F3680000}"/>
    <cellStyle name="Normal 14 4 4 2" xfId="6980" xr:uid="{00000000-0005-0000-0000-0000F4680000}"/>
    <cellStyle name="Normal 14 4 4 2 2" xfId="16566" xr:uid="{00000000-0005-0000-0000-0000F5680000}"/>
    <cellStyle name="Normal 14 4 4 2 2 2" xfId="29973" xr:uid="{00000000-0005-0000-0000-0000F6680000}"/>
    <cellStyle name="Normal 14 4 4 2 3" xfId="31302" xr:uid="{00000000-0005-0000-0000-0000F7680000}"/>
    <cellStyle name="Normal 14 4 4 3" xfId="11508" xr:uid="{00000000-0005-0000-0000-0000F8680000}"/>
    <cellStyle name="Normal 14 4 4 3 2" xfId="25340" xr:uid="{00000000-0005-0000-0000-0000F9680000}"/>
    <cellStyle name="Normal 14 4 4 4" xfId="31301" xr:uid="{00000000-0005-0000-0000-0000FA680000}"/>
    <cellStyle name="Normal 14 4 5" xfId="6981" xr:uid="{00000000-0005-0000-0000-0000FB680000}"/>
    <cellStyle name="Normal 14 4 5 2" xfId="11941" xr:uid="{00000000-0005-0000-0000-0000FC680000}"/>
    <cellStyle name="Normal 14 4 5 2 2" xfId="25656" xr:uid="{00000000-0005-0000-0000-0000FD680000}"/>
    <cellStyle name="Normal 14 4 5 3" xfId="31303" xr:uid="{00000000-0005-0000-0000-0000FE680000}"/>
    <cellStyle name="Normal 14 4 6" xfId="6982" xr:uid="{00000000-0005-0000-0000-0000FF680000}"/>
    <cellStyle name="Normal 14 4 6 2" xfId="13518" xr:uid="{00000000-0005-0000-0000-000000690000}"/>
    <cellStyle name="Normal 14 4 6 2 2" xfId="27067" xr:uid="{00000000-0005-0000-0000-000001690000}"/>
    <cellStyle name="Normal 14 4 6 3" xfId="31304" xr:uid="{00000000-0005-0000-0000-000002690000}"/>
    <cellStyle name="Normal 14 4 7" xfId="6983" xr:uid="{00000000-0005-0000-0000-000003690000}"/>
    <cellStyle name="Normal 14 4 7 2" xfId="14099" xr:uid="{00000000-0005-0000-0000-000004690000}"/>
    <cellStyle name="Normal 14 4 7 2 2" xfId="27648" xr:uid="{00000000-0005-0000-0000-000005690000}"/>
    <cellStyle name="Normal 14 4 7 3" xfId="31305" xr:uid="{00000000-0005-0000-0000-000006690000}"/>
    <cellStyle name="Normal 14 4 8" xfId="6984" xr:uid="{00000000-0005-0000-0000-000007690000}"/>
    <cellStyle name="Normal 14 4 8 2" xfId="15985" xr:uid="{00000000-0005-0000-0000-000008690000}"/>
    <cellStyle name="Normal 14 4 8 2 2" xfId="29392" xr:uid="{00000000-0005-0000-0000-000009690000}"/>
    <cellStyle name="Normal 14 4 8 3" xfId="31306" xr:uid="{00000000-0005-0000-0000-00000A690000}"/>
    <cellStyle name="Normal 14 4 9" xfId="10129" xr:uid="{00000000-0005-0000-0000-00000B690000}"/>
    <cellStyle name="Normal 14 4 9 2" xfId="24357" xr:uid="{00000000-0005-0000-0000-00000C690000}"/>
    <cellStyle name="Normal 14 5" xfId="6985" xr:uid="{00000000-0005-0000-0000-00000D690000}"/>
    <cellStyle name="Normal 14 5 2" xfId="6986" xr:uid="{00000000-0005-0000-0000-00000E690000}"/>
    <cellStyle name="Normal 14 5 2 2" xfId="6987" xr:uid="{00000000-0005-0000-0000-00000F690000}"/>
    <cellStyle name="Normal 14 5 2 2 2" xfId="6988" xr:uid="{00000000-0005-0000-0000-000010690000}"/>
    <cellStyle name="Normal 14 5 2 2 2 2" xfId="16909" xr:uid="{00000000-0005-0000-0000-000011690000}"/>
    <cellStyle name="Normal 14 5 2 2 2 2 2" xfId="30316" xr:uid="{00000000-0005-0000-0000-000012690000}"/>
    <cellStyle name="Normal 14 5 2 2 2 3" xfId="31310" xr:uid="{00000000-0005-0000-0000-000013690000}"/>
    <cellStyle name="Normal 14 5 2 2 3" xfId="11513" xr:uid="{00000000-0005-0000-0000-000014690000}"/>
    <cellStyle name="Normal 14 5 2 2 3 2" xfId="25345" xr:uid="{00000000-0005-0000-0000-000015690000}"/>
    <cellStyle name="Normal 14 5 2 2 4" xfId="31309" xr:uid="{00000000-0005-0000-0000-000016690000}"/>
    <cellStyle name="Normal 14 5 2 3" xfId="6989" xr:uid="{00000000-0005-0000-0000-000017690000}"/>
    <cellStyle name="Normal 14 5 2 3 2" xfId="12297" xr:uid="{00000000-0005-0000-0000-000018690000}"/>
    <cellStyle name="Normal 14 5 2 3 2 2" xfId="26009" xr:uid="{00000000-0005-0000-0000-000019690000}"/>
    <cellStyle name="Normal 14 5 2 3 3" xfId="31311" xr:uid="{00000000-0005-0000-0000-00001A690000}"/>
    <cellStyle name="Normal 14 5 2 4" xfId="6990" xr:uid="{00000000-0005-0000-0000-00001B690000}"/>
    <cellStyle name="Normal 14 5 2 4 2" xfId="13861" xr:uid="{00000000-0005-0000-0000-00001C690000}"/>
    <cellStyle name="Normal 14 5 2 4 2 2" xfId="27410" xr:uid="{00000000-0005-0000-0000-00001D690000}"/>
    <cellStyle name="Normal 14 5 2 4 3" xfId="31312" xr:uid="{00000000-0005-0000-0000-00001E690000}"/>
    <cellStyle name="Normal 14 5 2 5" xfId="6991" xr:uid="{00000000-0005-0000-0000-00001F690000}"/>
    <cellStyle name="Normal 14 5 2 5 2" xfId="14442" xr:uid="{00000000-0005-0000-0000-000020690000}"/>
    <cellStyle name="Normal 14 5 2 5 2 2" xfId="27991" xr:uid="{00000000-0005-0000-0000-000021690000}"/>
    <cellStyle name="Normal 14 5 2 5 3" xfId="31313" xr:uid="{00000000-0005-0000-0000-000022690000}"/>
    <cellStyle name="Normal 14 5 2 6" xfId="6992" xr:uid="{00000000-0005-0000-0000-000023690000}"/>
    <cellStyle name="Normal 14 5 2 6 2" xfId="16328" xr:uid="{00000000-0005-0000-0000-000024690000}"/>
    <cellStyle name="Normal 14 5 2 6 2 2" xfId="29735" xr:uid="{00000000-0005-0000-0000-000025690000}"/>
    <cellStyle name="Normal 14 5 2 6 3" xfId="31314" xr:uid="{00000000-0005-0000-0000-000026690000}"/>
    <cellStyle name="Normal 14 5 2 7" xfId="10134" xr:uid="{00000000-0005-0000-0000-000027690000}"/>
    <cellStyle name="Normal 14 5 2 7 2" xfId="24362" xr:uid="{00000000-0005-0000-0000-000028690000}"/>
    <cellStyle name="Normal 14 5 2 8" xfId="31308" xr:uid="{00000000-0005-0000-0000-000029690000}"/>
    <cellStyle name="Normal 14 5 3" xfId="6993" xr:uid="{00000000-0005-0000-0000-00002A690000}"/>
    <cellStyle name="Normal 14 5 3 2" xfId="6994" xr:uid="{00000000-0005-0000-0000-00002B690000}"/>
    <cellStyle name="Normal 14 5 3 2 2" xfId="16620" xr:uid="{00000000-0005-0000-0000-00002C690000}"/>
    <cellStyle name="Normal 14 5 3 2 2 2" xfId="30027" xr:uid="{00000000-0005-0000-0000-00002D690000}"/>
    <cellStyle name="Normal 14 5 3 2 3" xfId="31316" xr:uid="{00000000-0005-0000-0000-00002E690000}"/>
    <cellStyle name="Normal 14 5 3 3" xfId="11512" xr:uid="{00000000-0005-0000-0000-00002F690000}"/>
    <cellStyle name="Normal 14 5 3 3 2" xfId="25344" xr:uid="{00000000-0005-0000-0000-000030690000}"/>
    <cellStyle name="Normal 14 5 3 4" xfId="31315" xr:uid="{00000000-0005-0000-0000-000031690000}"/>
    <cellStyle name="Normal 14 5 4" xfId="6995" xr:uid="{00000000-0005-0000-0000-000032690000}"/>
    <cellStyle name="Normal 14 5 4 2" xfId="11997" xr:uid="{00000000-0005-0000-0000-000033690000}"/>
    <cellStyle name="Normal 14 5 4 2 2" xfId="25712" xr:uid="{00000000-0005-0000-0000-000034690000}"/>
    <cellStyle name="Normal 14 5 4 3" xfId="31317" xr:uid="{00000000-0005-0000-0000-000035690000}"/>
    <cellStyle name="Normal 14 5 5" xfId="6996" xr:uid="{00000000-0005-0000-0000-000036690000}"/>
    <cellStyle name="Normal 14 5 5 2" xfId="13572" xr:uid="{00000000-0005-0000-0000-000037690000}"/>
    <cellStyle name="Normal 14 5 5 2 2" xfId="27121" xr:uid="{00000000-0005-0000-0000-000038690000}"/>
    <cellStyle name="Normal 14 5 5 3" xfId="31318" xr:uid="{00000000-0005-0000-0000-000039690000}"/>
    <cellStyle name="Normal 14 5 6" xfId="6997" xr:uid="{00000000-0005-0000-0000-00003A690000}"/>
    <cellStyle name="Normal 14 5 6 2" xfId="14153" xr:uid="{00000000-0005-0000-0000-00003B690000}"/>
    <cellStyle name="Normal 14 5 6 2 2" xfId="27702" xr:uid="{00000000-0005-0000-0000-00003C690000}"/>
    <cellStyle name="Normal 14 5 6 3" xfId="31319" xr:uid="{00000000-0005-0000-0000-00003D690000}"/>
    <cellStyle name="Normal 14 5 7" xfId="6998" xr:uid="{00000000-0005-0000-0000-00003E690000}"/>
    <cellStyle name="Normal 14 5 7 2" xfId="16039" xr:uid="{00000000-0005-0000-0000-00003F690000}"/>
    <cellStyle name="Normal 14 5 7 2 2" xfId="29446" xr:uid="{00000000-0005-0000-0000-000040690000}"/>
    <cellStyle name="Normal 14 5 7 3" xfId="31320" xr:uid="{00000000-0005-0000-0000-000041690000}"/>
    <cellStyle name="Normal 14 5 8" xfId="10133" xr:uid="{00000000-0005-0000-0000-000042690000}"/>
    <cellStyle name="Normal 14 5 8 2" xfId="24361" xr:uid="{00000000-0005-0000-0000-000043690000}"/>
    <cellStyle name="Normal 14 5 9" xfId="31307" xr:uid="{00000000-0005-0000-0000-000044690000}"/>
    <cellStyle name="Normal 14 6" xfId="6999" xr:uid="{00000000-0005-0000-0000-000045690000}"/>
    <cellStyle name="Normal 14 6 2" xfId="7000" xr:uid="{00000000-0005-0000-0000-000046690000}"/>
    <cellStyle name="Normal 14 6 2 2" xfId="7001" xr:uid="{00000000-0005-0000-0000-000047690000}"/>
    <cellStyle name="Normal 14 6 2 2 2" xfId="16732" xr:uid="{00000000-0005-0000-0000-000048690000}"/>
    <cellStyle name="Normal 14 6 2 2 2 2" xfId="30139" xr:uid="{00000000-0005-0000-0000-000049690000}"/>
    <cellStyle name="Normal 14 6 2 2 3" xfId="31323" xr:uid="{00000000-0005-0000-0000-00004A690000}"/>
    <cellStyle name="Normal 14 6 2 3" xfId="11514" xr:uid="{00000000-0005-0000-0000-00004B690000}"/>
    <cellStyle name="Normal 14 6 2 3 2" xfId="25346" xr:uid="{00000000-0005-0000-0000-00004C690000}"/>
    <cellStyle name="Normal 14 6 2 4" xfId="31322" xr:uid="{00000000-0005-0000-0000-00004D690000}"/>
    <cellStyle name="Normal 14 6 3" xfId="7002" xr:uid="{00000000-0005-0000-0000-00004E690000}"/>
    <cellStyle name="Normal 14 6 3 2" xfId="12120" xr:uid="{00000000-0005-0000-0000-00004F690000}"/>
    <cellStyle name="Normal 14 6 3 2 2" xfId="25832" xr:uid="{00000000-0005-0000-0000-000050690000}"/>
    <cellStyle name="Normal 14 6 3 3" xfId="31324" xr:uid="{00000000-0005-0000-0000-000051690000}"/>
    <cellStyle name="Normal 14 6 4" xfId="7003" xr:uid="{00000000-0005-0000-0000-000052690000}"/>
    <cellStyle name="Normal 14 6 4 2" xfId="13684" xr:uid="{00000000-0005-0000-0000-000053690000}"/>
    <cellStyle name="Normal 14 6 4 2 2" xfId="27233" xr:uid="{00000000-0005-0000-0000-000054690000}"/>
    <cellStyle name="Normal 14 6 4 3" xfId="31325" xr:uid="{00000000-0005-0000-0000-000055690000}"/>
    <cellStyle name="Normal 14 6 5" xfId="7004" xr:uid="{00000000-0005-0000-0000-000056690000}"/>
    <cellStyle name="Normal 14 6 5 2" xfId="14265" xr:uid="{00000000-0005-0000-0000-000057690000}"/>
    <cellStyle name="Normal 14 6 5 2 2" xfId="27814" xr:uid="{00000000-0005-0000-0000-000058690000}"/>
    <cellStyle name="Normal 14 6 5 3" xfId="31326" xr:uid="{00000000-0005-0000-0000-000059690000}"/>
    <cellStyle name="Normal 14 6 6" xfId="7005" xr:uid="{00000000-0005-0000-0000-00005A690000}"/>
    <cellStyle name="Normal 14 6 6 2" xfId="16151" xr:uid="{00000000-0005-0000-0000-00005B690000}"/>
    <cellStyle name="Normal 14 6 6 2 2" xfId="29558" xr:uid="{00000000-0005-0000-0000-00005C690000}"/>
    <cellStyle name="Normal 14 6 6 3" xfId="31327" xr:uid="{00000000-0005-0000-0000-00005D690000}"/>
    <cellStyle name="Normal 14 6 7" xfId="10135" xr:uid="{00000000-0005-0000-0000-00005E690000}"/>
    <cellStyle name="Normal 14 6 7 2" xfId="24363" xr:uid="{00000000-0005-0000-0000-00005F690000}"/>
    <cellStyle name="Normal 14 6 8" xfId="31321" xr:uid="{00000000-0005-0000-0000-000060690000}"/>
    <cellStyle name="Normal 14 7" xfId="7006" xr:uid="{00000000-0005-0000-0000-000061690000}"/>
    <cellStyle name="Normal 14 7 2" xfId="7007" xr:uid="{00000000-0005-0000-0000-000062690000}"/>
    <cellStyle name="Normal 14 7 2 2" xfId="17038" xr:uid="{00000000-0005-0000-0000-000063690000}"/>
    <cellStyle name="Normal 14 7 2 2 2" xfId="30441" xr:uid="{00000000-0005-0000-0000-000064690000}"/>
    <cellStyle name="Normal 14 7 2 3" xfId="31329" xr:uid="{00000000-0005-0000-0000-000065690000}"/>
    <cellStyle name="Normal 14 7 3" xfId="10136" xr:uid="{00000000-0005-0000-0000-000066690000}"/>
    <cellStyle name="Normal 14 7 4" xfId="31328" xr:uid="{00000000-0005-0000-0000-000067690000}"/>
    <cellStyle name="Normal 14 8" xfId="7008" xr:uid="{00000000-0005-0000-0000-000068690000}"/>
    <cellStyle name="Normal 14 8 2" xfId="7009" xr:uid="{00000000-0005-0000-0000-000069690000}"/>
    <cellStyle name="Normal 14 8 2 2" xfId="13243" xr:uid="{00000000-0005-0000-0000-00006A690000}"/>
    <cellStyle name="Normal 14 8 2 3" xfId="31331" xr:uid="{00000000-0005-0000-0000-00006B690000}"/>
    <cellStyle name="Normal 14 8 3" xfId="7010" xr:uid="{00000000-0005-0000-0000-00006C690000}"/>
    <cellStyle name="Normal 14 8 3 2" xfId="17113" xr:uid="{00000000-0005-0000-0000-00006D690000}"/>
    <cellStyle name="Normal 14 8 3 2 2" xfId="30472" xr:uid="{00000000-0005-0000-0000-00006E690000}"/>
    <cellStyle name="Normal 14 8 3 3" xfId="31332" xr:uid="{00000000-0005-0000-0000-00006F690000}"/>
    <cellStyle name="Normal 14 8 4" xfId="11828" xr:uid="{00000000-0005-0000-0000-000070690000}"/>
    <cellStyle name="Normal 14 8 4 2" xfId="25543" xr:uid="{00000000-0005-0000-0000-000071690000}"/>
    <cellStyle name="Normal 14 8 5" xfId="31330" xr:uid="{00000000-0005-0000-0000-000072690000}"/>
    <cellStyle name="Normal 14 9" xfId="7011" xr:uid="{00000000-0005-0000-0000-000073690000}"/>
    <cellStyle name="Normal 14 9 2" xfId="7012" xr:uid="{00000000-0005-0000-0000-000074690000}"/>
    <cellStyle name="Normal 14 9 2 2" xfId="17202" xr:uid="{00000000-0005-0000-0000-000075690000}"/>
    <cellStyle name="Normal 14 9 2 2 2" xfId="30561" xr:uid="{00000000-0005-0000-0000-000076690000}"/>
    <cellStyle name="Normal 14 9 2 3" xfId="31334" xr:uid="{00000000-0005-0000-0000-000077690000}"/>
    <cellStyle name="Normal 14 9 3" xfId="13429" xr:uid="{00000000-0005-0000-0000-000078690000}"/>
    <cellStyle name="Normal 14 9 3 2" xfId="26978" xr:uid="{00000000-0005-0000-0000-000079690000}"/>
    <cellStyle name="Normal 14 9 4" xfId="31333" xr:uid="{00000000-0005-0000-0000-00007A690000}"/>
    <cellStyle name="Normal 15" xfId="7013" xr:uid="{00000000-0005-0000-0000-00007B690000}"/>
    <cellStyle name="Normal 15 10" xfId="7014" xr:uid="{00000000-0005-0000-0000-00007C690000}"/>
    <cellStyle name="Normal 15 10 2" xfId="7015" xr:uid="{00000000-0005-0000-0000-00007D690000}"/>
    <cellStyle name="Normal 15 10 2 2" xfId="17293" xr:uid="{00000000-0005-0000-0000-00007E690000}"/>
    <cellStyle name="Normal 15 10 2 2 2" xfId="30652" xr:uid="{00000000-0005-0000-0000-00007F690000}"/>
    <cellStyle name="Normal 15 10 2 3" xfId="31336" xr:uid="{00000000-0005-0000-0000-000080690000}"/>
    <cellStyle name="Normal 15 10 3" xfId="13431" xr:uid="{00000000-0005-0000-0000-000081690000}"/>
    <cellStyle name="Normal 15 10 3 2" xfId="26980" xr:uid="{00000000-0005-0000-0000-000082690000}"/>
    <cellStyle name="Normal 15 10 4" xfId="31335" xr:uid="{00000000-0005-0000-0000-000083690000}"/>
    <cellStyle name="Normal 15 11" xfId="7016" xr:uid="{00000000-0005-0000-0000-000084690000}"/>
    <cellStyle name="Normal 15 11 2" xfId="7017" xr:uid="{00000000-0005-0000-0000-000085690000}"/>
    <cellStyle name="Normal 15 11 2 2" xfId="16479" xr:uid="{00000000-0005-0000-0000-000086690000}"/>
    <cellStyle name="Normal 15 11 2 2 2" xfId="29886" xr:uid="{00000000-0005-0000-0000-000087690000}"/>
    <cellStyle name="Normal 15 11 2 3" xfId="31338" xr:uid="{00000000-0005-0000-0000-000088690000}"/>
    <cellStyle name="Normal 15 11 3" xfId="14012" xr:uid="{00000000-0005-0000-0000-000089690000}"/>
    <cellStyle name="Normal 15 11 3 2" xfId="27561" xr:uid="{00000000-0005-0000-0000-00008A690000}"/>
    <cellStyle name="Normal 15 11 4" xfId="31337" xr:uid="{00000000-0005-0000-0000-00008B690000}"/>
    <cellStyle name="Normal 15 12" xfId="7018" xr:uid="{00000000-0005-0000-0000-00008C690000}"/>
    <cellStyle name="Normal 15 12 2" xfId="15898" xr:uid="{00000000-0005-0000-0000-00008D690000}"/>
    <cellStyle name="Normal 15 12 2 2" xfId="29305" xr:uid="{00000000-0005-0000-0000-00008E690000}"/>
    <cellStyle name="Normal 15 12 3" xfId="31339" xr:uid="{00000000-0005-0000-0000-00008F690000}"/>
    <cellStyle name="Normal 15 13" xfId="10137" xr:uid="{00000000-0005-0000-0000-000090690000}"/>
    <cellStyle name="Normal 15 14" xfId="33043" xr:uid="{00000000-0005-0000-0000-000091690000}"/>
    <cellStyle name="Normal 15 2" xfId="7019" xr:uid="{00000000-0005-0000-0000-000092690000}"/>
    <cellStyle name="Normal 15 2 10" xfId="10138" xr:uid="{00000000-0005-0000-0000-000093690000}"/>
    <cellStyle name="Normal 15 2 10 2" xfId="24364" xr:uid="{00000000-0005-0000-0000-000094690000}"/>
    <cellStyle name="Normal 15 2 2" xfId="7020" xr:uid="{00000000-0005-0000-0000-000095690000}"/>
    <cellStyle name="Normal 15 2 2 10" xfId="31340" xr:uid="{00000000-0005-0000-0000-000096690000}"/>
    <cellStyle name="Normal 15 2 2 2" xfId="7021" xr:uid="{00000000-0005-0000-0000-000097690000}"/>
    <cellStyle name="Normal 15 2 2 2 2" xfId="7022" xr:uid="{00000000-0005-0000-0000-000098690000}"/>
    <cellStyle name="Normal 15 2 2 2 2 2" xfId="7023" xr:uid="{00000000-0005-0000-0000-000099690000}"/>
    <cellStyle name="Normal 15 2 2 2 2 2 2" xfId="7024" xr:uid="{00000000-0005-0000-0000-00009A690000}"/>
    <cellStyle name="Normal 15 2 2 2 2 2 2 2" xfId="16980" xr:uid="{00000000-0005-0000-0000-00009B690000}"/>
    <cellStyle name="Normal 15 2 2 2 2 2 2 2 2" xfId="30387" xr:uid="{00000000-0005-0000-0000-00009C690000}"/>
    <cellStyle name="Normal 15 2 2 2 2 2 2 3" xfId="31344" xr:uid="{00000000-0005-0000-0000-00009D690000}"/>
    <cellStyle name="Normal 15 2 2 2 2 2 3" xfId="11518" xr:uid="{00000000-0005-0000-0000-00009E690000}"/>
    <cellStyle name="Normal 15 2 2 2 2 2 3 2" xfId="25350" xr:uid="{00000000-0005-0000-0000-00009F690000}"/>
    <cellStyle name="Normal 15 2 2 2 2 2 4" xfId="31343" xr:uid="{00000000-0005-0000-0000-0000A0690000}"/>
    <cellStyle name="Normal 15 2 2 2 2 3" xfId="7025" xr:uid="{00000000-0005-0000-0000-0000A1690000}"/>
    <cellStyle name="Normal 15 2 2 2 2 3 2" xfId="12368" xr:uid="{00000000-0005-0000-0000-0000A2690000}"/>
    <cellStyle name="Normal 15 2 2 2 2 3 2 2" xfId="26080" xr:uid="{00000000-0005-0000-0000-0000A3690000}"/>
    <cellStyle name="Normal 15 2 2 2 2 3 3" xfId="31345" xr:uid="{00000000-0005-0000-0000-0000A4690000}"/>
    <cellStyle name="Normal 15 2 2 2 2 4" xfId="7026" xr:uid="{00000000-0005-0000-0000-0000A5690000}"/>
    <cellStyle name="Normal 15 2 2 2 2 4 2" xfId="13932" xr:uid="{00000000-0005-0000-0000-0000A6690000}"/>
    <cellStyle name="Normal 15 2 2 2 2 4 2 2" xfId="27481" xr:uid="{00000000-0005-0000-0000-0000A7690000}"/>
    <cellStyle name="Normal 15 2 2 2 2 4 3" xfId="31346" xr:uid="{00000000-0005-0000-0000-0000A8690000}"/>
    <cellStyle name="Normal 15 2 2 2 2 5" xfId="7027" xr:uid="{00000000-0005-0000-0000-0000A9690000}"/>
    <cellStyle name="Normal 15 2 2 2 2 5 2" xfId="14513" xr:uid="{00000000-0005-0000-0000-0000AA690000}"/>
    <cellStyle name="Normal 15 2 2 2 2 5 2 2" xfId="28062" xr:uid="{00000000-0005-0000-0000-0000AB690000}"/>
    <cellStyle name="Normal 15 2 2 2 2 5 3" xfId="31347" xr:uid="{00000000-0005-0000-0000-0000AC690000}"/>
    <cellStyle name="Normal 15 2 2 2 2 6" xfId="7028" xr:uid="{00000000-0005-0000-0000-0000AD690000}"/>
    <cellStyle name="Normal 15 2 2 2 2 6 2" xfId="16399" xr:uid="{00000000-0005-0000-0000-0000AE690000}"/>
    <cellStyle name="Normal 15 2 2 2 2 6 2 2" xfId="29806" xr:uid="{00000000-0005-0000-0000-0000AF690000}"/>
    <cellStyle name="Normal 15 2 2 2 2 6 3" xfId="31348" xr:uid="{00000000-0005-0000-0000-0000B0690000}"/>
    <cellStyle name="Normal 15 2 2 2 2 7" xfId="10141" xr:uid="{00000000-0005-0000-0000-0000B1690000}"/>
    <cellStyle name="Normal 15 2 2 2 2 7 2" xfId="24367" xr:uid="{00000000-0005-0000-0000-0000B2690000}"/>
    <cellStyle name="Normal 15 2 2 2 2 8" xfId="31342" xr:uid="{00000000-0005-0000-0000-0000B3690000}"/>
    <cellStyle name="Normal 15 2 2 2 3" xfId="7029" xr:uid="{00000000-0005-0000-0000-0000B4690000}"/>
    <cellStyle name="Normal 15 2 2 2 3 2" xfId="7030" xr:uid="{00000000-0005-0000-0000-0000B5690000}"/>
    <cellStyle name="Normal 15 2 2 2 3 2 2" xfId="16691" xr:uid="{00000000-0005-0000-0000-0000B6690000}"/>
    <cellStyle name="Normal 15 2 2 2 3 2 2 2" xfId="30098" xr:uid="{00000000-0005-0000-0000-0000B7690000}"/>
    <cellStyle name="Normal 15 2 2 2 3 2 3" xfId="31350" xr:uid="{00000000-0005-0000-0000-0000B8690000}"/>
    <cellStyle name="Normal 15 2 2 2 3 3" xfId="11517" xr:uid="{00000000-0005-0000-0000-0000B9690000}"/>
    <cellStyle name="Normal 15 2 2 2 3 3 2" xfId="25349" xr:uid="{00000000-0005-0000-0000-0000BA690000}"/>
    <cellStyle name="Normal 15 2 2 2 3 4" xfId="31349" xr:uid="{00000000-0005-0000-0000-0000BB690000}"/>
    <cellStyle name="Normal 15 2 2 2 4" xfId="7031" xr:uid="{00000000-0005-0000-0000-0000BC690000}"/>
    <cellStyle name="Normal 15 2 2 2 4 2" xfId="12068" xr:uid="{00000000-0005-0000-0000-0000BD690000}"/>
    <cellStyle name="Normal 15 2 2 2 4 2 2" xfId="25783" xr:uid="{00000000-0005-0000-0000-0000BE690000}"/>
    <cellStyle name="Normal 15 2 2 2 4 3" xfId="31351" xr:uid="{00000000-0005-0000-0000-0000BF690000}"/>
    <cellStyle name="Normal 15 2 2 2 5" xfId="7032" xr:uid="{00000000-0005-0000-0000-0000C0690000}"/>
    <cellStyle name="Normal 15 2 2 2 5 2" xfId="13643" xr:uid="{00000000-0005-0000-0000-0000C1690000}"/>
    <cellStyle name="Normal 15 2 2 2 5 2 2" xfId="27192" xr:uid="{00000000-0005-0000-0000-0000C2690000}"/>
    <cellStyle name="Normal 15 2 2 2 5 3" xfId="31352" xr:uid="{00000000-0005-0000-0000-0000C3690000}"/>
    <cellStyle name="Normal 15 2 2 2 6" xfId="7033" xr:uid="{00000000-0005-0000-0000-0000C4690000}"/>
    <cellStyle name="Normal 15 2 2 2 6 2" xfId="14224" xr:uid="{00000000-0005-0000-0000-0000C5690000}"/>
    <cellStyle name="Normal 15 2 2 2 6 2 2" xfId="27773" xr:uid="{00000000-0005-0000-0000-0000C6690000}"/>
    <cellStyle name="Normal 15 2 2 2 6 3" xfId="31353" xr:uid="{00000000-0005-0000-0000-0000C7690000}"/>
    <cellStyle name="Normal 15 2 2 2 7" xfId="7034" xr:uid="{00000000-0005-0000-0000-0000C8690000}"/>
    <cellStyle name="Normal 15 2 2 2 7 2" xfId="16110" xr:uid="{00000000-0005-0000-0000-0000C9690000}"/>
    <cellStyle name="Normal 15 2 2 2 7 2 2" xfId="29517" xr:uid="{00000000-0005-0000-0000-0000CA690000}"/>
    <cellStyle name="Normal 15 2 2 2 7 3" xfId="31354" xr:uid="{00000000-0005-0000-0000-0000CB690000}"/>
    <cellStyle name="Normal 15 2 2 2 8" xfId="10140" xr:uid="{00000000-0005-0000-0000-0000CC690000}"/>
    <cellStyle name="Normal 15 2 2 2 8 2" xfId="24366" xr:uid="{00000000-0005-0000-0000-0000CD690000}"/>
    <cellStyle name="Normal 15 2 2 2 9" xfId="31341" xr:uid="{00000000-0005-0000-0000-0000CE690000}"/>
    <cellStyle name="Normal 15 2 2 3" xfId="7035" xr:uid="{00000000-0005-0000-0000-0000CF690000}"/>
    <cellStyle name="Normal 15 2 2 3 2" xfId="7036" xr:uid="{00000000-0005-0000-0000-0000D0690000}"/>
    <cellStyle name="Normal 15 2 2 3 2 2" xfId="7037" xr:uid="{00000000-0005-0000-0000-0000D1690000}"/>
    <cellStyle name="Normal 15 2 2 3 2 2 2" xfId="16837" xr:uid="{00000000-0005-0000-0000-0000D2690000}"/>
    <cellStyle name="Normal 15 2 2 3 2 2 2 2" xfId="30244" xr:uid="{00000000-0005-0000-0000-0000D3690000}"/>
    <cellStyle name="Normal 15 2 2 3 2 2 3" xfId="31357" xr:uid="{00000000-0005-0000-0000-0000D4690000}"/>
    <cellStyle name="Normal 15 2 2 3 2 3" xfId="11519" xr:uid="{00000000-0005-0000-0000-0000D5690000}"/>
    <cellStyle name="Normal 15 2 2 3 2 3 2" xfId="25351" xr:uid="{00000000-0005-0000-0000-0000D6690000}"/>
    <cellStyle name="Normal 15 2 2 3 2 4" xfId="31356" xr:uid="{00000000-0005-0000-0000-0000D7690000}"/>
    <cellStyle name="Normal 15 2 2 3 3" xfId="7038" xr:uid="{00000000-0005-0000-0000-0000D8690000}"/>
    <cellStyle name="Normal 15 2 2 3 3 2" xfId="12225" xr:uid="{00000000-0005-0000-0000-0000D9690000}"/>
    <cellStyle name="Normal 15 2 2 3 3 2 2" xfId="25937" xr:uid="{00000000-0005-0000-0000-0000DA690000}"/>
    <cellStyle name="Normal 15 2 2 3 3 3" xfId="31358" xr:uid="{00000000-0005-0000-0000-0000DB690000}"/>
    <cellStyle name="Normal 15 2 2 3 4" xfId="7039" xr:uid="{00000000-0005-0000-0000-0000DC690000}"/>
    <cellStyle name="Normal 15 2 2 3 4 2" xfId="13789" xr:uid="{00000000-0005-0000-0000-0000DD690000}"/>
    <cellStyle name="Normal 15 2 2 3 4 2 2" xfId="27338" xr:uid="{00000000-0005-0000-0000-0000DE690000}"/>
    <cellStyle name="Normal 15 2 2 3 4 3" xfId="31359" xr:uid="{00000000-0005-0000-0000-0000DF690000}"/>
    <cellStyle name="Normal 15 2 2 3 5" xfId="7040" xr:uid="{00000000-0005-0000-0000-0000E0690000}"/>
    <cellStyle name="Normal 15 2 2 3 5 2" xfId="14370" xr:uid="{00000000-0005-0000-0000-0000E1690000}"/>
    <cellStyle name="Normal 15 2 2 3 5 2 2" xfId="27919" xr:uid="{00000000-0005-0000-0000-0000E2690000}"/>
    <cellStyle name="Normal 15 2 2 3 5 3" xfId="31360" xr:uid="{00000000-0005-0000-0000-0000E3690000}"/>
    <cellStyle name="Normal 15 2 2 3 6" xfId="7041" xr:uid="{00000000-0005-0000-0000-0000E4690000}"/>
    <cellStyle name="Normal 15 2 2 3 6 2" xfId="16256" xr:uid="{00000000-0005-0000-0000-0000E5690000}"/>
    <cellStyle name="Normal 15 2 2 3 6 2 2" xfId="29663" xr:uid="{00000000-0005-0000-0000-0000E6690000}"/>
    <cellStyle name="Normal 15 2 2 3 6 3" xfId="31361" xr:uid="{00000000-0005-0000-0000-0000E7690000}"/>
    <cellStyle name="Normal 15 2 2 3 7" xfId="10142" xr:uid="{00000000-0005-0000-0000-0000E8690000}"/>
    <cellStyle name="Normal 15 2 2 3 7 2" xfId="24368" xr:uid="{00000000-0005-0000-0000-0000E9690000}"/>
    <cellStyle name="Normal 15 2 2 3 8" xfId="31355" xr:uid="{00000000-0005-0000-0000-0000EA690000}"/>
    <cellStyle name="Normal 15 2 2 4" xfId="7042" xr:uid="{00000000-0005-0000-0000-0000EB690000}"/>
    <cellStyle name="Normal 15 2 2 4 2" xfId="7043" xr:uid="{00000000-0005-0000-0000-0000EC690000}"/>
    <cellStyle name="Normal 15 2 2 4 2 2" xfId="17184" xr:uid="{00000000-0005-0000-0000-0000ED690000}"/>
    <cellStyle name="Normal 15 2 2 4 2 2 2" xfId="30543" xr:uid="{00000000-0005-0000-0000-0000EE690000}"/>
    <cellStyle name="Normal 15 2 2 4 2 3" xfId="31363" xr:uid="{00000000-0005-0000-0000-0000EF690000}"/>
    <cellStyle name="Normal 15 2 2 4 3" xfId="11516" xr:uid="{00000000-0005-0000-0000-0000F0690000}"/>
    <cellStyle name="Normal 15 2 2 4 3 2" xfId="25348" xr:uid="{00000000-0005-0000-0000-0000F1690000}"/>
    <cellStyle name="Normal 15 2 2 4 4" xfId="31362" xr:uid="{00000000-0005-0000-0000-0000F2690000}"/>
    <cellStyle name="Normal 15 2 2 5" xfId="7044" xr:uid="{00000000-0005-0000-0000-0000F3690000}"/>
    <cellStyle name="Normal 15 2 2 5 2" xfId="7045" xr:uid="{00000000-0005-0000-0000-0000F4690000}"/>
    <cellStyle name="Normal 15 2 2 5 2 2" xfId="17273" xr:uid="{00000000-0005-0000-0000-0000F5690000}"/>
    <cellStyle name="Normal 15 2 2 5 2 2 2" xfId="30632" xr:uid="{00000000-0005-0000-0000-0000F6690000}"/>
    <cellStyle name="Normal 15 2 2 5 2 3" xfId="31365" xr:uid="{00000000-0005-0000-0000-0000F7690000}"/>
    <cellStyle name="Normal 15 2 2 5 3" xfId="11923" xr:uid="{00000000-0005-0000-0000-0000F8690000}"/>
    <cellStyle name="Normal 15 2 2 5 3 2" xfId="25638" xr:uid="{00000000-0005-0000-0000-0000F9690000}"/>
    <cellStyle name="Normal 15 2 2 5 4" xfId="31364" xr:uid="{00000000-0005-0000-0000-0000FA690000}"/>
    <cellStyle name="Normal 15 2 2 6" xfId="7046" xr:uid="{00000000-0005-0000-0000-0000FB690000}"/>
    <cellStyle name="Normal 15 2 2 6 2" xfId="7047" xr:uid="{00000000-0005-0000-0000-0000FC690000}"/>
    <cellStyle name="Normal 15 2 2 6 2 2" xfId="16548" xr:uid="{00000000-0005-0000-0000-0000FD690000}"/>
    <cellStyle name="Normal 15 2 2 6 2 2 2" xfId="29955" xr:uid="{00000000-0005-0000-0000-0000FE690000}"/>
    <cellStyle name="Normal 15 2 2 6 2 3" xfId="31367" xr:uid="{00000000-0005-0000-0000-0000FF690000}"/>
    <cellStyle name="Normal 15 2 2 6 3" xfId="13500" xr:uid="{00000000-0005-0000-0000-0000006A0000}"/>
    <cellStyle name="Normal 15 2 2 6 3 2" xfId="27049" xr:uid="{00000000-0005-0000-0000-0000016A0000}"/>
    <cellStyle name="Normal 15 2 2 6 4" xfId="31366" xr:uid="{00000000-0005-0000-0000-0000026A0000}"/>
    <cellStyle name="Normal 15 2 2 7" xfId="7048" xr:uid="{00000000-0005-0000-0000-0000036A0000}"/>
    <cellStyle name="Normal 15 2 2 7 2" xfId="14081" xr:uid="{00000000-0005-0000-0000-0000046A0000}"/>
    <cellStyle name="Normal 15 2 2 7 2 2" xfId="27630" xr:uid="{00000000-0005-0000-0000-0000056A0000}"/>
    <cellStyle name="Normal 15 2 2 7 3" xfId="31368" xr:uid="{00000000-0005-0000-0000-0000066A0000}"/>
    <cellStyle name="Normal 15 2 2 8" xfId="7049" xr:uid="{00000000-0005-0000-0000-0000076A0000}"/>
    <cellStyle name="Normal 15 2 2 8 2" xfId="15967" xr:uid="{00000000-0005-0000-0000-0000086A0000}"/>
    <cellStyle name="Normal 15 2 2 8 2 2" xfId="29374" xr:uid="{00000000-0005-0000-0000-0000096A0000}"/>
    <cellStyle name="Normal 15 2 2 8 3" xfId="31369" xr:uid="{00000000-0005-0000-0000-00000A6A0000}"/>
    <cellStyle name="Normal 15 2 2 9" xfId="10139" xr:uid="{00000000-0005-0000-0000-00000B6A0000}"/>
    <cellStyle name="Normal 15 2 2 9 2" xfId="24365" xr:uid="{00000000-0005-0000-0000-00000C6A0000}"/>
    <cellStyle name="Normal 15 2 3" xfId="7050" xr:uid="{00000000-0005-0000-0000-00000D6A0000}"/>
    <cellStyle name="Normal 15 2 3 2" xfId="7051" xr:uid="{00000000-0005-0000-0000-00000E6A0000}"/>
    <cellStyle name="Normal 15 2 3 2 2" xfId="7052" xr:uid="{00000000-0005-0000-0000-00000F6A0000}"/>
    <cellStyle name="Normal 15 2 3 2 2 2" xfId="7053" xr:uid="{00000000-0005-0000-0000-0000106A0000}"/>
    <cellStyle name="Normal 15 2 3 2 2 2 2" xfId="16934" xr:uid="{00000000-0005-0000-0000-0000116A0000}"/>
    <cellStyle name="Normal 15 2 3 2 2 2 2 2" xfId="30341" xr:uid="{00000000-0005-0000-0000-0000126A0000}"/>
    <cellStyle name="Normal 15 2 3 2 2 2 3" xfId="31373" xr:uid="{00000000-0005-0000-0000-0000136A0000}"/>
    <cellStyle name="Normal 15 2 3 2 2 3" xfId="11521" xr:uid="{00000000-0005-0000-0000-0000146A0000}"/>
    <cellStyle name="Normal 15 2 3 2 2 3 2" xfId="25353" xr:uid="{00000000-0005-0000-0000-0000156A0000}"/>
    <cellStyle name="Normal 15 2 3 2 2 4" xfId="31372" xr:uid="{00000000-0005-0000-0000-0000166A0000}"/>
    <cellStyle name="Normal 15 2 3 2 3" xfId="7054" xr:uid="{00000000-0005-0000-0000-0000176A0000}"/>
    <cellStyle name="Normal 15 2 3 2 3 2" xfId="12322" xr:uid="{00000000-0005-0000-0000-0000186A0000}"/>
    <cellStyle name="Normal 15 2 3 2 3 2 2" xfId="26034" xr:uid="{00000000-0005-0000-0000-0000196A0000}"/>
    <cellStyle name="Normal 15 2 3 2 3 3" xfId="31374" xr:uid="{00000000-0005-0000-0000-00001A6A0000}"/>
    <cellStyle name="Normal 15 2 3 2 4" xfId="7055" xr:uid="{00000000-0005-0000-0000-00001B6A0000}"/>
    <cellStyle name="Normal 15 2 3 2 4 2" xfId="13886" xr:uid="{00000000-0005-0000-0000-00001C6A0000}"/>
    <cellStyle name="Normal 15 2 3 2 4 2 2" xfId="27435" xr:uid="{00000000-0005-0000-0000-00001D6A0000}"/>
    <cellStyle name="Normal 15 2 3 2 4 3" xfId="31375" xr:uid="{00000000-0005-0000-0000-00001E6A0000}"/>
    <cellStyle name="Normal 15 2 3 2 5" xfId="7056" xr:uid="{00000000-0005-0000-0000-00001F6A0000}"/>
    <cellStyle name="Normal 15 2 3 2 5 2" xfId="14467" xr:uid="{00000000-0005-0000-0000-0000206A0000}"/>
    <cellStyle name="Normal 15 2 3 2 5 2 2" xfId="28016" xr:uid="{00000000-0005-0000-0000-0000216A0000}"/>
    <cellStyle name="Normal 15 2 3 2 5 3" xfId="31376" xr:uid="{00000000-0005-0000-0000-0000226A0000}"/>
    <cellStyle name="Normal 15 2 3 2 6" xfId="7057" xr:uid="{00000000-0005-0000-0000-0000236A0000}"/>
    <cellStyle name="Normal 15 2 3 2 6 2" xfId="16353" xr:uid="{00000000-0005-0000-0000-0000246A0000}"/>
    <cellStyle name="Normal 15 2 3 2 6 2 2" xfId="29760" xr:uid="{00000000-0005-0000-0000-0000256A0000}"/>
    <cellStyle name="Normal 15 2 3 2 6 3" xfId="31377" xr:uid="{00000000-0005-0000-0000-0000266A0000}"/>
    <cellStyle name="Normal 15 2 3 2 7" xfId="10144" xr:uid="{00000000-0005-0000-0000-0000276A0000}"/>
    <cellStyle name="Normal 15 2 3 2 7 2" xfId="24370" xr:uid="{00000000-0005-0000-0000-0000286A0000}"/>
    <cellStyle name="Normal 15 2 3 2 8" xfId="31371" xr:uid="{00000000-0005-0000-0000-0000296A0000}"/>
    <cellStyle name="Normal 15 2 3 3" xfId="7058" xr:uid="{00000000-0005-0000-0000-00002A6A0000}"/>
    <cellStyle name="Normal 15 2 3 3 2" xfId="7059" xr:uid="{00000000-0005-0000-0000-00002B6A0000}"/>
    <cellStyle name="Normal 15 2 3 3 2 2" xfId="16645" xr:uid="{00000000-0005-0000-0000-00002C6A0000}"/>
    <cellStyle name="Normal 15 2 3 3 2 2 2" xfId="30052" xr:uid="{00000000-0005-0000-0000-00002D6A0000}"/>
    <cellStyle name="Normal 15 2 3 3 2 3" xfId="31379" xr:uid="{00000000-0005-0000-0000-00002E6A0000}"/>
    <cellStyle name="Normal 15 2 3 3 3" xfId="11520" xr:uid="{00000000-0005-0000-0000-00002F6A0000}"/>
    <cellStyle name="Normal 15 2 3 3 3 2" xfId="25352" xr:uid="{00000000-0005-0000-0000-0000306A0000}"/>
    <cellStyle name="Normal 15 2 3 3 4" xfId="31378" xr:uid="{00000000-0005-0000-0000-0000316A0000}"/>
    <cellStyle name="Normal 15 2 3 4" xfId="7060" xr:uid="{00000000-0005-0000-0000-0000326A0000}"/>
    <cellStyle name="Normal 15 2 3 4 2" xfId="12022" xr:uid="{00000000-0005-0000-0000-0000336A0000}"/>
    <cellStyle name="Normal 15 2 3 4 2 2" xfId="25737" xr:uid="{00000000-0005-0000-0000-0000346A0000}"/>
    <cellStyle name="Normal 15 2 3 4 3" xfId="31380" xr:uid="{00000000-0005-0000-0000-0000356A0000}"/>
    <cellStyle name="Normal 15 2 3 5" xfId="7061" xr:uid="{00000000-0005-0000-0000-0000366A0000}"/>
    <cellStyle name="Normal 15 2 3 5 2" xfId="13597" xr:uid="{00000000-0005-0000-0000-0000376A0000}"/>
    <cellStyle name="Normal 15 2 3 5 2 2" xfId="27146" xr:uid="{00000000-0005-0000-0000-0000386A0000}"/>
    <cellStyle name="Normal 15 2 3 5 3" xfId="31381" xr:uid="{00000000-0005-0000-0000-0000396A0000}"/>
    <cellStyle name="Normal 15 2 3 6" xfId="7062" xr:uid="{00000000-0005-0000-0000-00003A6A0000}"/>
    <cellStyle name="Normal 15 2 3 6 2" xfId="14178" xr:uid="{00000000-0005-0000-0000-00003B6A0000}"/>
    <cellStyle name="Normal 15 2 3 6 2 2" xfId="27727" xr:uid="{00000000-0005-0000-0000-00003C6A0000}"/>
    <cellStyle name="Normal 15 2 3 6 3" xfId="31382" xr:uid="{00000000-0005-0000-0000-00003D6A0000}"/>
    <cellStyle name="Normal 15 2 3 7" xfId="7063" xr:uid="{00000000-0005-0000-0000-00003E6A0000}"/>
    <cellStyle name="Normal 15 2 3 7 2" xfId="16064" xr:uid="{00000000-0005-0000-0000-00003F6A0000}"/>
    <cellStyle name="Normal 15 2 3 7 2 2" xfId="29471" xr:uid="{00000000-0005-0000-0000-0000406A0000}"/>
    <cellStyle name="Normal 15 2 3 7 3" xfId="31383" xr:uid="{00000000-0005-0000-0000-0000416A0000}"/>
    <cellStyle name="Normal 15 2 3 8" xfId="10143" xr:uid="{00000000-0005-0000-0000-0000426A0000}"/>
    <cellStyle name="Normal 15 2 3 8 2" xfId="24369" xr:uid="{00000000-0005-0000-0000-0000436A0000}"/>
    <cellStyle name="Normal 15 2 3 9" xfId="31370" xr:uid="{00000000-0005-0000-0000-0000446A0000}"/>
    <cellStyle name="Normal 15 2 4" xfId="7064" xr:uid="{00000000-0005-0000-0000-0000456A0000}"/>
    <cellStyle name="Normal 15 2 4 2" xfId="7065" xr:uid="{00000000-0005-0000-0000-0000466A0000}"/>
    <cellStyle name="Normal 15 2 4 2 2" xfId="7066" xr:uid="{00000000-0005-0000-0000-0000476A0000}"/>
    <cellStyle name="Normal 15 2 4 2 2 2" xfId="16791" xr:uid="{00000000-0005-0000-0000-0000486A0000}"/>
    <cellStyle name="Normal 15 2 4 2 2 2 2" xfId="30198" xr:uid="{00000000-0005-0000-0000-0000496A0000}"/>
    <cellStyle name="Normal 15 2 4 2 2 3" xfId="31386" xr:uid="{00000000-0005-0000-0000-00004A6A0000}"/>
    <cellStyle name="Normal 15 2 4 2 3" xfId="11522" xr:uid="{00000000-0005-0000-0000-00004B6A0000}"/>
    <cellStyle name="Normal 15 2 4 2 3 2" xfId="25354" xr:uid="{00000000-0005-0000-0000-00004C6A0000}"/>
    <cellStyle name="Normal 15 2 4 2 4" xfId="31385" xr:uid="{00000000-0005-0000-0000-00004D6A0000}"/>
    <cellStyle name="Normal 15 2 4 3" xfId="7067" xr:uid="{00000000-0005-0000-0000-00004E6A0000}"/>
    <cellStyle name="Normal 15 2 4 3 2" xfId="12179" xr:uid="{00000000-0005-0000-0000-00004F6A0000}"/>
    <cellStyle name="Normal 15 2 4 3 2 2" xfId="25891" xr:uid="{00000000-0005-0000-0000-0000506A0000}"/>
    <cellStyle name="Normal 15 2 4 3 3" xfId="31387" xr:uid="{00000000-0005-0000-0000-0000516A0000}"/>
    <cellStyle name="Normal 15 2 4 4" xfId="7068" xr:uid="{00000000-0005-0000-0000-0000526A0000}"/>
    <cellStyle name="Normal 15 2 4 4 2" xfId="13743" xr:uid="{00000000-0005-0000-0000-0000536A0000}"/>
    <cellStyle name="Normal 15 2 4 4 2 2" xfId="27292" xr:uid="{00000000-0005-0000-0000-0000546A0000}"/>
    <cellStyle name="Normal 15 2 4 4 3" xfId="31388" xr:uid="{00000000-0005-0000-0000-0000556A0000}"/>
    <cellStyle name="Normal 15 2 4 5" xfId="7069" xr:uid="{00000000-0005-0000-0000-0000566A0000}"/>
    <cellStyle name="Normal 15 2 4 5 2" xfId="14324" xr:uid="{00000000-0005-0000-0000-0000576A0000}"/>
    <cellStyle name="Normal 15 2 4 5 2 2" xfId="27873" xr:uid="{00000000-0005-0000-0000-0000586A0000}"/>
    <cellStyle name="Normal 15 2 4 5 3" xfId="31389" xr:uid="{00000000-0005-0000-0000-0000596A0000}"/>
    <cellStyle name="Normal 15 2 4 6" xfId="7070" xr:uid="{00000000-0005-0000-0000-00005A6A0000}"/>
    <cellStyle name="Normal 15 2 4 6 2" xfId="16210" xr:uid="{00000000-0005-0000-0000-00005B6A0000}"/>
    <cellStyle name="Normal 15 2 4 6 2 2" xfId="29617" xr:uid="{00000000-0005-0000-0000-00005C6A0000}"/>
    <cellStyle name="Normal 15 2 4 6 3" xfId="31390" xr:uid="{00000000-0005-0000-0000-00005D6A0000}"/>
    <cellStyle name="Normal 15 2 4 7" xfId="10145" xr:uid="{00000000-0005-0000-0000-00005E6A0000}"/>
    <cellStyle name="Normal 15 2 4 7 2" xfId="24371" xr:uid="{00000000-0005-0000-0000-00005F6A0000}"/>
    <cellStyle name="Normal 15 2 4 8" xfId="31384" xr:uid="{00000000-0005-0000-0000-0000606A0000}"/>
    <cellStyle name="Normal 15 2 5" xfId="7071" xr:uid="{00000000-0005-0000-0000-0000616A0000}"/>
    <cellStyle name="Normal 15 2 5 2" xfId="7072" xr:uid="{00000000-0005-0000-0000-0000626A0000}"/>
    <cellStyle name="Normal 15 2 5 2 2" xfId="17039" xr:uid="{00000000-0005-0000-0000-0000636A0000}"/>
    <cellStyle name="Normal 15 2 5 3" xfId="11515" xr:uid="{00000000-0005-0000-0000-0000646A0000}"/>
    <cellStyle name="Normal 15 2 5 3 2" xfId="25347" xr:uid="{00000000-0005-0000-0000-0000656A0000}"/>
    <cellStyle name="Normal 15 2 6" xfId="7073" xr:uid="{00000000-0005-0000-0000-0000666A0000}"/>
    <cellStyle name="Normal 15 2 6 2" xfId="7074" xr:uid="{00000000-0005-0000-0000-0000676A0000}"/>
    <cellStyle name="Normal 15 2 6 2 2" xfId="17138" xr:uid="{00000000-0005-0000-0000-0000686A0000}"/>
    <cellStyle name="Normal 15 2 6 2 2 2" xfId="30497" xr:uid="{00000000-0005-0000-0000-0000696A0000}"/>
    <cellStyle name="Normal 15 2 6 2 3" xfId="31392" xr:uid="{00000000-0005-0000-0000-00006A6A0000}"/>
    <cellStyle name="Normal 15 2 6 3" xfId="11867" xr:uid="{00000000-0005-0000-0000-00006B6A0000}"/>
    <cellStyle name="Normal 15 2 6 3 2" xfId="25582" xr:uid="{00000000-0005-0000-0000-00006C6A0000}"/>
    <cellStyle name="Normal 15 2 6 4" xfId="31391" xr:uid="{00000000-0005-0000-0000-00006D6A0000}"/>
    <cellStyle name="Normal 15 2 7" xfId="7075" xr:uid="{00000000-0005-0000-0000-00006E6A0000}"/>
    <cellStyle name="Normal 15 2 7 2" xfId="7076" xr:uid="{00000000-0005-0000-0000-00006F6A0000}"/>
    <cellStyle name="Normal 15 2 7 2 2" xfId="17227" xr:uid="{00000000-0005-0000-0000-0000706A0000}"/>
    <cellStyle name="Normal 15 2 7 2 2 2" xfId="30586" xr:uid="{00000000-0005-0000-0000-0000716A0000}"/>
    <cellStyle name="Normal 15 2 7 2 3" xfId="31394" xr:uid="{00000000-0005-0000-0000-0000726A0000}"/>
    <cellStyle name="Normal 15 2 7 3" xfId="13454" xr:uid="{00000000-0005-0000-0000-0000736A0000}"/>
    <cellStyle name="Normal 15 2 7 3 2" xfId="27003" xr:uid="{00000000-0005-0000-0000-0000746A0000}"/>
    <cellStyle name="Normal 15 2 7 4" xfId="31393" xr:uid="{00000000-0005-0000-0000-0000756A0000}"/>
    <cellStyle name="Normal 15 2 8" xfId="7077" xr:uid="{00000000-0005-0000-0000-0000766A0000}"/>
    <cellStyle name="Normal 15 2 8 2" xfId="7078" xr:uid="{00000000-0005-0000-0000-0000776A0000}"/>
    <cellStyle name="Normal 15 2 8 2 2" xfId="16502" xr:uid="{00000000-0005-0000-0000-0000786A0000}"/>
    <cellStyle name="Normal 15 2 8 2 2 2" xfId="29909" xr:uid="{00000000-0005-0000-0000-0000796A0000}"/>
    <cellStyle name="Normal 15 2 8 2 3" xfId="31396" xr:uid="{00000000-0005-0000-0000-00007A6A0000}"/>
    <cellStyle name="Normal 15 2 8 3" xfId="14035" xr:uid="{00000000-0005-0000-0000-00007B6A0000}"/>
    <cellStyle name="Normal 15 2 8 3 2" xfId="27584" xr:uid="{00000000-0005-0000-0000-00007C6A0000}"/>
    <cellStyle name="Normal 15 2 8 4" xfId="31395" xr:uid="{00000000-0005-0000-0000-00007D6A0000}"/>
    <cellStyle name="Normal 15 2 9" xfId="7079" xr:uid="{00000000-0005-0000-0000-00007E6A0000}"/>
    <cellStyle name="Normal 15 2 9 2" xfId="15921" xr:uid="{00000000-0005-0000-0000-00007F6A0000}"/>
    <cellStyle name="Normal 15 2 9 2 2" xfId="29328" xr:uid="{00000000-0005-0000-0000-0000806A0000}"/>
    <cellStyle name="Normal 15 2 9 3" xfId="31397" xr:uid="{00000000-0005-0000-0000-0000816A0000}"/>
    <cellStyle name="Normal 15 3" xfId="7080" xr:uid="{00000000-0005-0000-0000-0000826A0000}"/>
    <cellStyle name="Normal 15 3 2" xfId="7081" xr:uid="{00000000-0005-0000-0000-0000836A0000}"/>
    <cellStyle name="Normal 15 3 2 2" xfId="10147" xr:uid="{00000000-0005-0000-0000-0000846A0000}"/>
    <cellStyle name="Normal 15 3 3" xfId="10146" xr:uid="{00000000-0005-0000-0000-0000856A0000}"/>
    <cellStyle name="Normal 15 4" xfId="7082" xr:uid="{00000000-0005-0000-0000-0000866A0000}"/>
    <cellStyle name="Normal 15 4 10" xfId="31398" xr:uid="{00000000-0005-0000-0000-0000876A0000}"/>
    <cellStyle name="Normal 15 4 2" xfId="7083" xr:uid="{00000000-0005-0000-0000-0000886A0000}"/>
    <cellStyle name="Normal 15 4 2 2" xfId="7084" xr:uid="{00000000-0005-0000-0000-0000896A0000}"/>
    <cellStyle name="Normal 15 4 2 2 2" xfId="7085" xr:uid="{00000000-0005-0000-0000-00008A6A0000}"/>
    <cellStyle name="Normal 15 4 2 2 2 2" xfId="7086" xr:uid="{00000000-0005-0000-0000-00008B6A0000}"/>
    <cellStyle name="Normal 15 4 2 2 2 2 2" xfId="16957" xr:uid="{00000000-0005-0000-0000-00008C6A0000}"/>
    <cellStyle name="Normal 15 4 2 2 2 2 2 2" xfId="30364" xr:uid="{00000000-0005-0000-0000-00008D6A0000}"/>
    <cellStyle name="Normal 15 4 2 2 2 2 3" xfId="31402" xr:uid="{00000000-0005-0000-0000-00008E6A0000}"/>
    <cellStyle name="Normal 15 4 2 2 2 3" xfId="11525" xr:uid="{00000000-0005-0000-0000-00008F6A0000}"/>
    <cellStyle name="Normal 15 4 2 2 2 3 2" xfId="25357" xr:uid="{00000000-0005-0000-0000-0000906A0000}"/>
    <cellStyle name="Normal 15 4 2 2 2 4" xfId="31401" xr:uid="{00000000-0005-0000-0000-0000916A0000}"/>
    <cellStyle name="Normal 15 4 2 2 3" xfId="7087" xr:uid="{00000000-0005-0000-0000-0000926A0000}"/>
    <cellStyle name="Normal 15 4 2 2 3 2" xfId="12345" xr:uid="{00000000-0005-0000-0000-0000936A0000}"/>
    <cellStyle name="Normal 15 4 2 2 3 2 2" xfId="26057" xr:uid="{00000000-0005-0000-0000-0000946A0000}"/>
    <cellStyle name="Normal 15 4 2 2 3 3" xfId="31403" xr:uid="{00000000-0005-0000-0000-0000956A0000}"/>
    <cellStyle name="Normal 15 4 2 2 4" xfId="7088" xr:uid="{00000000-0005-0000-0000-0000966A0000}"/>
    <cellStyle name="Normal 15 4 2 2 4 2" xfId="13909" xr:uid="{00000000-0005-0000-0000-0000976A0000}"/>
    <cellStyle name="Normal 15 4 2 2 4 2 2" xfId="27458" xr:uid="{00000000-0005-0000-0000-0000986A0000}"/>
    <cellStyle name="Normal 15 4 2 2 4 3" xfId="31404" xr:uid="{00000000-0005-0000-0000-0000996A0000}"/>
    <cellStyle name="Normal 15 4 2 2 5" xfId="7089" xr:uid="{00000000-0005-0000-0000-00009A6A0000}"/>
    <cellStyle name="Normal 15 4 2 2 5 2" xfId="14490" xr:uid="{00000000-0005-0000-0000-00009B6A0000}"/>
    <cellStyle name="Normal 15 4 2 2 5 2 2" xfId="28039" xr:uid="{00000000-0005-0000-0000-00009C6A0000}"/>
    <cellStyle name="Normal 15 4 2 2 5 3" xfId="31405" xr:uid="{00000000-0005-0000-0000-00009D6A0000}"/>
    <cellStyle name="Normal 15 4 2 2 6" xfId="7090" xr:uid="{00000000-0005-0000-0000-00009E6A0000}"/>
    <cellStyle name="Normal 15 4 2 2 6 2" xfId="16376" xr:uid="{00000000-0005-0000-0000-00009F6A0000}"/>
    <cellStyle name="Normal 15 4 2 2 6 2 2" xfId="29783" xr:uid="{00000000-0005-0000-0000-0000A06A0000}"/>
    <cellStyle name="Normal 15 4 2 2 6 3" xfId="31406" xr:uid="{00000000-0005-0000-0000-0000A16A0000}"/>
    <cellStyle name="Normal 15 4 2 2 7" xfId="10150" xr:uid="{00000000-0005-0000-0000-0000A26A0000}"/>
    <cellStyle name="Normal 15 4 2 2 7 2" xfId="24374" xr:uid="{00000000-0005-0000-0000-0000A36A0000}"/>
    <cellStyle name="Normal 15 4 2 2 8" xfId="31400" xr:uid="{00000000-0005-0000-0000-0000A46A0000}"/>
    <cellStyle name="Normal 15 4 2 3" xfId="7091" xr:uid="{00000000-0005-0000-0000-0000A56A0000}"/>
    <cellStyle name="Normal 15 4 2 3 2" xfId="7092" xr:uid="{00000000-0005-0000-0000-0000A66A0000}"/>
    <cellStyle name="Normal 15 4 2 3 2 2" xfId="16668" xr:uid="{00000000-0005-0000-0000-0000A76A0000}"/>
    <cellStyle name="Normal 15 4 2 3 2 2 2" xfId="30075" xr:uid="{00000000-0005-0000-0000-0000A86A0000}"/>
    <cellStyle name="Normal 15 4 2 3 2 3" xfId="31408" xr:uid="{00000000-0005-0000-0000-0000A96A0000}"/>
    <cellStyle name="Normal 15 4 2 3 3" xfId="11524" xr:uid="{00000000-0005-0000-0000-0000AA6A0000}"/>
    <cellStyle name="Normal 15 4 2 3 3 2" xfId="25356" xr:uid="{00000000-0005-0000-0000-0000AB6A0000}"/>
    <cellStyle name="Normal 15 4 2 3 4" xfId="31407" xr:uid="{00000000-0005-0000-0000-0000AC6A0000}"/>
    <cellStyle name="Normal 15 4 2 4" xfId="7093" xr:uid="{00000000-0005-0000-0000-0000AD6A0000}"/>
    <cellStyle name="Normal 15 4 2 4 2" xfId="12045" xr:uid="{00000000-0005-0000-0000-0000AE6A0000}"/>
    <cellStyle name="Normal 15 4 2 4 2 2" xfId="25760" xr:uid="{00000000-0005-0000-0000-0000AF6A0000}"/>
    <cellStyle name="Normal 15 4 2 4 3" xfId="31409" xr:uid="{00000000-0005-0000-0000-0000B06A0000}"/>
    <cellStyle name="Normal 15 4 2 5" xfId="7094" xr:uid="{00000000-0005-0000-0000-0000B16A0000}"/>
    <cellStyle name="Normal 15 4 2 5 2" xfId="13620" xr:uid="{00000000-0005-0000-0000-0000B26A0000}"/>
    <cellStyle name="Normal 15 4 2 5 2 2" xfId="27169" xr:uid="{00000000-0005-0000-0000-0000B36A0000}"/>
    <cellStyle name="Normal 15 4 2 5 3" xfId="31410" xr:uid="{00000000-0005-0000-0000-0000B46A0000}"/>
    <cellStyle name="Normal 15 4 2 6" xfId="7095" xr:uid="{00000000-0005-0000-0000-0000B56A0000}"/>
    <cellStyle name="Normal 15 4 2 6 2" xfId="14201" xr:uid="{00000000-0005-0000-0000-0000B66A0000}"/>
    <cellStyle name="Normal 15 4 2 6 2 2" xfId="27750" xr:uid="{00000000-0005-0000-0000-0000B76A0000}"/>
    <cellStyle name="Normal 15 4 2 6 3" xfId="31411" xr:uid="{00000000-0005-0000-0000-0000B86A0000}"/>
    <cellStyle name="Normal 15 4 2 7" xfId="7096" xr:uid="{00000000-0005-0000-0000-0000B96A0000}"/>
    <cellStyle name="Normal 15 4 2 7 2" xfId="16087" xr:uid="{00000000-0005-0000-0000-0000BA6A0000}"/>
    <cellStyle name="Normal 15 4 2 7 2 2" xfId="29494" xr:uid="{00000000-0005-0000-0000-0000BB6A0000}"/>
    <cellStyle name="Normal 15 4 2 7 3" xfId="31412" xr:uid="{00000000-0005-0000-0000-0000BC6A0000}"/>
    <cellStyle name="Normal 15 4 2 8" xfId="10149" xr:uid="{00000000-0005-0000-0000-0000BD6A0000}"/>
    <cellStyle name="Normal 15 4 2 8 2" xfId="24373" xr:uid="{00000000-0005-0000-0000-0000BE6A0000}"/>
    <cellStyle name="Normal 15 4 2 9" xfId="31399" xr:uid="{00000000-0005-0000-0000-0000BF6A0000}"/>
    <cellStyle name="Normal 15 4 3" xfId="7097" xr:uid="{00000000-0005-0000-0000-0000C06A0000}"/>
    <cellStyle name="Normal 15 4 3 2" xfId="7098" xr:uid="{00000000-0005-0000-0000-0000C16A0000}"/>
    <cellStyle name="Normal 15 4 3 2 2" xfId="7099" xr:uid="{00000000-0005-0000-0000-0000C26A0000}"/>
    <cellStyle name="Normal 15 4 3 2 2 2" xfId="16814" xr:uid="{00000000-0005-0000-0000-0000C36A0000}"/>
    <cellStyle name="Normal 15 4 3 2 2 2 2" xfId="30221" xr:uid="{00000000-0005-0000-0000-0000C46A0000}"/>
    <cellStyle name="Normal 15 4 3 2 2 3" xfId="31415" xr:uid="{00000000-0005-0000-0000-0000C56A0000}"/>
    <cellStyle name="Normal 15 4 3 2 3" xfId="11526" xr:uid="{00000000-0005-0000-0000-0000C66A0000}"/>
    <cellStyle name="Normal 15 4 3 2 3 2" xfId="25358" xr:uid="{00000000-0005-0000-0000-0000C76A0000}"/>
    <cellStyle name="Normal 15 4 3 2 4" xfId="31414" xr:uid="{00000000-0005-0000-0000-0000C86A0000}"/>
    <cellStyle name="Normal 15 4 3 3" xfId="7100" xr:uid="{00000000-0005-0000-0000-0000C96A0000}"/>
    <cellStyle name="Normal 15 4 3 3 2" xfId="12202" xr:uid="{00000000-0005-0000-0000-0000CA6A0000}"/>
    <cellStyle name="Normal 15 4 3 3 2 2" xfId="25914" xr:uid="{00000000-0005-0000-0000-0000CB6A0000}"/>
    <cellStyle name="Normal 15 4 3 3 3" xfId="31416" xr:uid="{00000000-0005-0000-0000-0000CC6A0000}"/>
    <cellStyle name="Normal 15 4 3 4" xfId="7101" xr:uid="{00000000-0005-0000-0000-0000CD6A0000}"/>
    <cellStyle name="Normal 15 4 3 4 2" xfId="13766" xr:uid="{00000000-0005-0000-0000-0000CE6A0000}"/>
    <cellStyle name="Normal 15 4 3 4 2 2" xfId="27315" xr:uid="{00000000-0005-0000-0000-0000CF6A0000}"/>
    <cellStyle name="Normal 15 4 3 4 3" xfId="31417" xr:uid="{00000000-0005-0000-0000-0000D06A0000}"/>
    <cellStyle name="Normal 15 4 3 5" xfId="7102" xr:uid="{00000000-0005-0000-0000-0000D16A0000}"/>
    <cellStyle name="Normal 15 4 3 5 2" xfId="14347" xr:uid="{00000000-0005-0000-0000-0000D26A0000}"/>
    <cellStyle name="Normal 15 4 3 5 2 2" xfId="27896" xr:uid="{00000000-0005-0000-0000-0000D36A0000}"/>
    <cellStyle name="Normal 15 4 3 5 3" xfId="31418" xr:uid="{00000000-0005-0000-0000-0000D46A0000}"/>
    <cellStyle name="Normal 15 4 3 6" xfId="7103" xr:uid="{00000000-0005-0000-0000-0000D56A0000}"/>
    <cellStyle name="Normal 15 4 3 6 2" xfId="16233" xr:uid="{00000000-0005-0000-0000-0000D66A0000}"/>
    <cellStyle name="Normal 15 4 3 6 2 2" xfId="29640" xr:uid="{00000000-0005-0000-0000-0000D76A0000}"/>
    <cellStyle name="Normal 15 4 3 6 3" xfId="31419" xr:uid="{00000000-0005-0000-0000-0000D86A0000}"/>
    <cellStyle name="Normal 15 4 3 7" xfId="10151" xr:uid="{00000000-0005-0000-0000-0000D96A0000}"/>
    <cellStyle name="Normal 15 4 3 7 2" xfId="24375" xr:uid="{00000000-0005-0000-0000-0000DA6A0000}"/>
    <cellStyle name="Normal 15 4 3 8" xfId="31413" xr:uid="{00000000-0005-0000-0000-0000DB6A0000}"/>
    <cellStyle name="Normal 15 4 4" xfId="7104" xr:uid="{00000000-0005-0000-0000-0000DC6A0000}"/>
    <cellStyle name="Normal 15 4 4 2" xfId="7105" xr:uid="{00000000-0005-0000-0000-0000DD6A0000}"/>
    <cellStyle name="Normal 15 4 4 2 2" xfId="17161" xr:uid="{00000000-0005-0000-0000-0000DE6A0000}"/>
    <cellStyle name="Normal 15 4 4 2 2 2" xfId="30520" xr:uid="{00000000-0005-0000-0000-0000DF6A0000}"/>
    <cellStyle name="Normal 15 4 4 2 3" xfId="31421" xr:uid="{00000000-0005-0000-0000-0000E06A0000}"/>
    <cellStyle name="Normal 15 4 4 3" xfId="11523" xr:uid="{00000000-0005-0000-0000-0000E16A0000}"/>
    <cellStyle name="Normal 15 4 4 3 2" xfId="25355" xr:uid="{00000000-0005-0000-0000-0000E26A0000}"/>
    <cellStyle name="Normal 15 4 4 4" xfId="31420" xr:uid="{00000000-0005-0000-0000-0000E36A0000}"/>
    <cellStyle name="Normal 15 4 5" xfId="7106" xr:uid="{00000000-0005-0000-0000-0000E46A0000}"/>
    <cellStyle name="Normal 15 4 5 2" xfId="7107" xr:uid="{00000000-0005-0000-0000-0000E56A0000}"/>
    <cellStyle name="Normal 15 4 5 2 2" xfId="17250" xr:uid="{00000000-0005-0000-0000-0000E66A0000}"/>
    <cellStyle name="Normal 15 4 5 2 2 2" xfId="30609" xr:uid="{00000000-0005-0000-0000-0000E76A0000}"/>
    <cellStyle name="Normal 15 4 5 2 3" xfId="31423" xr:uid="{00000000-0005-0000-0000-0000E86A0000}"/>
    <cellStyle name="Normal 15 4 5 3" xfId="11900" xr:uid="{00000000-0005-0000-0000-0000E96A0000}"/>
    <cellStyle name="Normal 15 4 5 3 2" xfId="25615" xr:uid="{00000000-0005-0000-0000-0000EA6A0000}"/>
    <cellStyle name="Normal 15 4 5 4" xfId="31422" xr:uid="{00000000-0005-0000-0000-0000EB6A0000}"/>
    <cellStyle name="Normal 15 4 6" xfId="7108" xr:uid="{00000000-0005-0000-0000-0000EC6A0000}"/>
    <cellStyle name="Normal 15 4 6 2" xfId="7109" xr:uid="{00000000-0005-0000-0000-0000ED6A0000}"/>
    <cellStyle name="Normal 15 4 6 2 2" xfId="16525" xr:uid="{00000000-0005-0000-0000-0000EE6A0000}"/>
    <cellStyle name="Normal 15 4 6 2 2 2" xfId="29932" xr:uid="{00000000-0005-0000-0000-0000EF6A0000}"/>
    <cellStyle name="Normal 15 4 6 2 3" xfId="31425" xr:uid="{00000000-0005-0000-0000-0000F06A0000}"/>
    <cellStyle name="Normal 15 4 6 3" xfId="13477" xr:uid="{00000000-0005-0000-0000-0000F16A0000}"/>
    <cellStyle name="Normal 15 4 6 3 2" xfId="27026" xr:uid="{00000000-0005-0000-0000-0000F26A0000}"/>
    <cellStyle name="Normal 15 4 6 4" xfId="31424" xr:uid="{00000000-0005-0000-0000-0000F36A0000}"/>
    <cellStyle name="Normal 15 4 7" xfId="7110" xr:uid="{00000000-0005-0000-0000-0000F46A0000}"/>
    <cellStyle name="Normal 15 4 7 2" xfId="14058" xr:uid="{00000000-0005-0000-0000-0000F56A0000}"/>
    <cellStyle name="Normal 15 4 7 2 2" xfId="27607" xr:uid="{00000000-0005-0000-0000-0000F66A0000}"/>
    <cellStyle name="Normal 15 4 7 3" xfId="31426" xr:uid="{00000000-0005-0000-0000-0000F76A0000}"/>
    <cellStyle name="Normal 15 4 8" xfId="7111" xr:uid="{00000000-0005-0000-0000-0000F86A0000}"/>
    <cellStyle name="Normal 15 4 8 2" xfId="15944" xr:uid="{00000000-0005-0000-0000-0000F96A0000}"/>
    <cellStyle name="Normal 15 4 8 2 2" xfId="29351" xr:uid="{00000000-0005-0000-0000-0000FA6A0000}"/>
    <cellStyle name="Normal 15 4 8 3" xfId="31427" xr:uid="{00000000-0005-0000-0000-0000FB6A0000}"/>
    <cellStyle name="Normal 15 4 9" xfId="10148" xr:uid="{00000000-0005-0000-0000-0000FC6A0000}"/>
    <cellStyle name="Normal 15 4 9 2" xfId="24372" xr:uid="{00000000-0005-0000-0000-0000FD6A0000}"/>
    <cellStyle name="Normal 15 5" xfId="7112" xr:uid="{00000000-0005-0000-0000-0000FE6A0000}"/>
    <cellStyle name="Normal 15 5 10" xfId="31428" xr:uid="{00000000-0005-0000-0000-0000FF6A0000}"/>
    <cellStyle name="Normal 15 5 2" xfId="7113" xr:uid="{00000000-0005-0000-0000-0000006B0000}"/>
    <cellStyle name="Normal 15 5 2 2" xfId="7114" xr:uid="{00000000-0005-0000-0000-0000016B0000}"/>
    <cellStyle name="Normal 15 5 2 2 2" xfId="7115" xr:uid="{00000000-0005-0000-0000-0000026B0000}"/>
    <cellStyle name="Normal 15 5 2 2 2 2" xfId="7116" xr:uid="{00000000-0005-0000-0000-0000036B0000}"/>
    <cellStyle name="Normal 15 5 2 2 2 2 2" xfId="17000" xr:uid="{00000000-0005-0000-0000-0000046B0000}"/>
    <cellStyle name="Normal 15 5 2 2 2 2 2 2" xfId="30407" xr:uid="{00000000-0005-0000-0000-0000056B0000}"/>
    <cellStyle name="Normal 15 5 2 2 2 2 3" xfId="31432" xr:uid="{00000000-0005-0000-0000-0000066B0000}"/>
    <cellStyle name="Normal 15 5 2 2 2 3" xfId="11529" xr:uid="{00000000-0005-0000-0000-0000076B0000}"/>
    <cellStyle name="Normal 15 5 2 2 2 3 2" xfId="25361" xr:uid="{00000000-0005-0000-0000-0000086B0000}"/>
    <cellStyle name="Normal 15 5 2 2 2 4" xfId="31431" xr:uid="{00000000-0005-0000-0000-0000096B0000}"/>
    <cellStyle name="Normal 15 5 2 2 3" xfId="7117" xr:uid="{00000000-0005-0000-0000-00000A6B0000}"/>
    <cellStyle name="Normal 15 5 2 2 3 2" xfId="12388" xr:uid="{00000000-0005-0000-0000-00000B6B0000}"/>
    <cellStyle name="Normal 15 5 2 2 3 2 2" xfId="26100" xr:uid="{00000000-0005-0000-0000-00000C6B0000}"/>
    <cellStyle name="Normal 15 5 2 2 3 3" xfId="31433" xr:uid="{00000000-0005-0000-0000-00000D6B0000}"/>
    <cellStyle name="Normal 15 5 2 2 4" xfId="7118" xr:uid="{00000000-0005-0000-0000-00000E6B0000}"/>
    <cellStyle name="Normal 15 5 2 2 4 2" xfId="13952" xr:uid="{00000000-0005-0000-0000-00000F6B0000}"/>
    <cellStyle name="Normal 15 5 2 2 4 2 2" xfId="27501" xr:uid="{00000000-0005-0000-0000-0000106B0000}"/>
    <cellStyle name="Normal 15 5 2 2 4 3" xfId="31434" xr:uid="{00000000-0005-0000-0000-0000116B0000}"/>
    <cellStyle name="Normal 15 5 2 2 5" xfId="7119" xr:uid="{00000000-0005-0000-0000-0000126B0000}"/>
    <cellStyle name="Normal 15 5 2 2 5 2" xfId="14533" xr:uid="{00000000-0005-0000-0000-0000136B0000}"/>
    <cellStyle name="Normal 15 5 2 2 5 2 2" xfId="28082" xr:uid="{00000000-0005-0000-0000-0000146B0000}"/>
    <cellStyle name="Normal 15 5 2 2 5 3" xfId="31435" xr:uid="{00000000-0005-0000-0000-0000156B0000}"/>
    <cellStyle name="Normal 15 5 2 2 6" xfId="7120" xr:uid="{00000000-0005-0000-0000-0000166B0000}"/>
    <cellStyle name="Normal 15 5 2 2 6 2" xfId="16419" xr:uid="{00000000-0005-0000-0000-0000176B0000}"/>
    <cellStyle name="Normal 15 5 2 2 6 2 2" xfId="29826" xr:uid="{00000000-0005-0000-0000-0000186B0000}"/>
    <cellStyle name="Normal 15 5 2 2 6 3" xfId="31436" xr:uid="{00000000-0005-0000-0000-0000196B0000}"/>
    <cellStyle name="Normal 15 5 2 2 7" xfId="10154" xr:uid="{00000000-0005-0000-0000-00001A6B0000}"/>
    <cellStyle name="Normal 15 5 2 2 7 2" xfId="24378" xr:uid="{00000000-0005-0000-0000-00001B6B0000}"/>
    <cellStyle name="Normal 15 5 2 2 8" xfId="31430" xr:uid="{00000000-0005-0000-0000-00001C6B0000}"/>
    <cellStyle name="Normal 15 5 2 3" xfId="7121" xr:uid="{00000000-0005-0000-0000-00001D6B0000}"/>
    <cellStyle name="Normal 15 5 2 3 2" xfId="7122" xr:uid="{00000000-0005-0000-0000-00001E6B0000}"/>
    <cellStyle name="Normal 15 5 2 3 2 2" xfId="16711" xr:uid="{00000000-0005-0000-0000-00001F6B0000}"/>
    <cellStyle name="Normal 15 5 2 3 2 2 2" xfId="30118" xr:uid="{00000000-0005-0000-0000-0000206B0000}"/>
    <cellStyle name="Normal 15 5 2 3 2 3" xfId="31438" xr:uid="{00000000-0005-0000-0000-0000216B0000}"/>
    <cellStyle name="Normal 15 5 2 3 3" xfId="11528" xr:uid="{00000000-0005-0000-0000-0000226B0000}"/>
    <cellStyle name="Normal 15 5 2 3 3 2" xfId="25360" xr:uid="{00000000-0005-0000-0000-0000236B0000}"/>
    <cellStyle name="Normal 15 5 2 3 4" xfId="31437" xr:uid="{00000000-0005-0000-0000-0000246B0000}"/>
    <cellStyle name="Normal 15 5 2 4" xfId="7123" xr:uid="{00000000-0005-0000-0000-0000256B0000}"/>
    <cellStyle name="Normal 15 5 2 4 2" xfId="12088" xr:uid="{00000000-0005-0000-0000-0000266B0000}"/>
    <cellStyle name="Normal 15 5 2 4 2 2" xfId="25803" xr:uid="{00000000-0005-0000-0000-0000276B0000}"/>
    <cellStyle name="Normal 15 5 2 4 3" xfId="31439" xr:uid="{00000000-0005-0000-0000-0000286B0000}"/>
    <cellStyle name="Normal 15 5 2 5" xfId="7124" xr:uid="{00000000-0005-0000-0000-0000296B0000}"/>
    <cellStyle name="Normal 15 5 2 5 2" xfId="13663" xr:uid="{00000000-0005-0000-0000-00002A6B0000}"/>
    <cellStyle name="Normal 15 5 2 5 2 2" xfId="27212" xr:uid="{00000000-0005-0000-0000-00002B6B0000}"/>
    <cellStyle name="Normal 15 5 2 5 3" xfId="31440" xr:uid="{00000000-0005-0000-0000-00002C6B0000}"/>
    <cellStyle name="Normal 15 5 2 6" xfId="7125" xr:uid="{00000000-0005-0000-0000-00002D6B0000}"/>
    <cellStyle name="Normal 15 5 2 6 2" xfId="14244" xr:uid="{00000000-0005-0000-0000-00002E6B0000}"/>
    <cellStyle name="Normal 15 5 2 6 2 2" xfId="27793" xr:uid="{00000000-0005-0000-0000-00002F6B0000}"/>
    <cellStyle name="Normal 15 5 2 6 3" xfId="31441" xr:uid="{00000000-0005-0000-0000-0000306B0000}"/>
    <cellStyle name="Normal 15 5 2 7" xfId="7126" xr:uid="{00000000-0005-0000-0000-0000316B0000}"/>
    <cellStyle name="Normal 15 5 2 7 2" xfId="16130" xr:uid="{00000000-0005-0000-0000-0000326B0000}"/>
    <cellStyle name="Normal 15 5 2 7 2 2" xfId="29537" xr:uid="{00000000-0005-0000-0000-0000336B0000}"/>
    <cellStyle name="Normal 15 5 2 7 3" xfId="31442" xr:uid="{00000000-0005-0000-0000-0000346B0000}"/>
    <cellStyle name="Normal 15 5 2 8" xfId="10153" xr:uid="{00000000-0005-0000-0000-0000356B0000}"/>
    <cellStyle name="Normal 15 5 2 8 2" xfId="24377" xr:uid="{00000000-0005-0000-0000-0000366B0000}"/>
    <cellStyle name="Normal 15 5 2 9" xfId="31429" xr:uid="{00000000-0005-0000-0000-0000376B0000}"/>
    <cellStyle name="Normal 15 5 3" xfId="7127" xr:uid="{00000000-0005-0000-0000-0000386B0000}"/>
    <cellStyle name="Normal 15 5 3 2" xfId="7128" xr:uid="{00000000-0005-0000-0000-0000396B0000}"/>
    <cellStyle name="Normal 15 5 3 2 2" xfId="7129" xr:uid="{00000000-0005-0000-0000-00003A6B0000}"/>
    <cellStyle name="Normal 15 5 3 2 2 2" xfId="16857" xr:uid="{00000000-0005-0000-0000-00003B6B0000}"/>
    <cellStyle name="Normal 15 5 3 2 2 2 2" xfId="30264" xr:uid="{00000000-0005-0000-0000-00003C6B0000}"/>
    <cellStyle name="Normal 15 5 3 2 2 3" xfId="31445" xr:uid="{00000000-0005-0000-0000-00003D6B0000}"/>
    <cellStyle name="Normal 15 5 3 2 3" xfId="11530" xr:uid="{00000000-0005-0000-0000-00003E6B0000}"/>
    <cellStyle name="Normal 15 5 3 2 3 2" xfId="25362" xr:uid="{00000000-0005-0000-0000-00003F6B0000}"/>
    <cellStyle name="Normal 15 5 3 2 4" xfId="31444" xr:uid="{00000000-0005-0000-0000-0000406B0000}"/>
    <cellStyle name="Normal 15 5 3 3" xfId="7130" xr:uid="{00000000-0005-0000-0000-0000416B0000}"/>
    <cellStyle name="Normal 15 5 3 3 2" xfId="12245" xr:uid="{00000000-0005-0000-0000-0000426B0000}"/>
    <cellStyle name="Normal 15 5 3 3 2 2" xfId="25957" xr:uid="{00000000-0005-0000-0000-0000436B0000}"/>
    <cellStyle name="Normal 15 5 3 3 3" xfId="31446" xr:uid="{00000000-0005-0000-0000-0000446B0000}"/>
    <cellStyle name="Normal 15 5 3 4" xfId="7131" xr:uid="{00000000-0005-0000-0000-0000456B0000}"/>
    <cellStyle name="Normal 15 5 3 4 2" xfId="13809" xr:uid="{00000000-0005-0000-0000-0000466B0000}"/>
    <cellStyle name="Normal 15 5 3 4 2 2" xfId="27358" xr:uid="{00000000-0005-0000-0000-0000476B0000}"/>
    <cellStyle name="Normal 15 5 3 4 3" xfId="31447" xr:uid="{00000000-0005-0000-0000-0000486B0000}"/>
    <cellStyle name="Normal 15 5 3 5" xfId="7132" xr:uid="{00000000-0005-0000-0000-0000496B0000}"/>
    <cellStyle name="Normal 15 5 3 5 2" xfId="14390" xr:uid="{00000000-0005-0000-0000-00004A6B0000}"/>
    <cellStyle name="Normal 15 5 3 5 2 2" xfId="27939" xr:uid="{00000000-0005-0000-0000-00004B6B0000}"/>
    <cellStyle name="Normal 15 5 3 5 3" xfId="31448" xr:uid="{00000000-0005-0000-0000-00004C6B0000}"/>
    <cellStyle name="Normal 15 5 3 6" xfId="7133" xr:uid="{00000000-0005-0000-0000-00004D6B0000}"/>
    <cellStyle name="Normal 15 5 3 6 2" xfId="16276" xr:uid="{00000000-0005-0000-0000-00004E6B0000}"/>
    <cellStyle name="Normal 15 5 3 6 2 2" xfId="29683" xr:uid="{00000000-0005-0000-0000-00004F6B0000}"/>
    <cellStyle name="Normal 15 5 3 6 3" xfId="31449" xr:uid="{00000000-0005-0000-0000-0000506B0000}"/>
    <cellStyle name="Normal 15 5 3 7" xfId="10155" xr:uid="{00000000-0005-0000-0000-0000516B0000}"/>
    <cellStyle name="Normal 15 5 3 7 2" xfId="24379" xr:uid="{00000000-0005-0000-0000-0000526B0000}"/>
    <cellStyle name="Normal 15 5 3 8" xfId="31443" xr:uid="{00000000-0005-0000-0000-0000536B0000}"/>
    <cellStyle name="Normal 15 5 4" xfId="7134" xr:uid="{00000000-0005-0000-0000-0000546B0000}"/>
    <cellStyle name="Normal 15 5 4 2" xfId="7135" xr:uid="{00000000-0005-0000-0000-0000556B0000}"/>
    <cellStyle name="Normal 15 5 4 2 2" xfId="16568" xr:uid="{00000000-0005-0000-0000-0000566B0000}"/>
    <cellStyle name="Normal 15 5 4 2 2 2" xfId="29975" xr:uid="{00000000-0005-0000-0000-0000576B0000}"/>
    <cellStyle name="Normal 15 5 4 2 3" xfId="31451" xr:uid="{00000000-0005-0000-0000-0000586B0000}"/>
    <cellStyle name="Normal 15 5 4 3" xfId="11527" xr:uid="{00000000-0005-0000-0000-0000596B0000}"/>
    <cellStyle name="Normal 15 5 4 3 2" xfId="25359" xr:uid="{00000000-0005-0000-0000-00005A6B0000}"/>
    <cellStyle name="Normal 15 5 4 4" xfId="31450" xr:uid="{00000000-0005-0000-0000-00005B6B0000}"/>
    <cellStyle name="Normal 15 5 5" xfId="7136" xr:uid="{00000000-0005-0000-0000-00005C6B0000}"/>
    <cellStyle name="Normal 15 5 5 2" xfId="11943" xr:uid="{00000000-0005-0000-0000-00005D6B0000}"/>
    <cellStyle name="Normal 15 5 5 2 2" xfId="25658" xr:uid="{00000000-0005-0000-0000-00005E6B0000}"/>
    <cellStyle name="Normal 15 5 5 3" xfId="31452" xr:uid="{00000000-0005-0000-0000-00005F6B0000}"/>
    <cellStyle name="Normal 15 5 6" xfId="7137" xr:uid="{00000000-0005-0000-0000-0000606B0000}"/>
    <cellStyle name="Normal 15 5 6 2" xfId="13520" xr:uid="{00000000-0005-0000-0000-0000616B0000}"/>
    <cellStyle name="Normal 15 5 6 2 2" xfId="27069" xr:uid="{00000000-0005-0000-0000-0000626B0000}"/>
    <cellStyle name="Normal 15 5 6 3" xfId="31453" xr:uid="{00000000-0005-0000-0000-0000636B0000}"/>
    <cellStyle name="Normal 15 5 7" xfId="7138" xr:uid="{00000000-0005-0000-0000-0000646B0000}"/>
    <cellStyle name="Normal 15 5 7 2" xfId="14101" xr:uid="{00000000-0005-0000-0000-0000656B0000}"/>
    <cellStyle name="Normal 15 5 7 2 2" xfId="27650" xr:uid="{00000000-0005-0000-0000-0000666B0000}"/>
    <cellStyle name="Normal 15 5 7 3" xfId="31454" xr:uid="{00000000-0005-0000-0000-0000676B0000}"/>
    <cellStyle name="Normal 15 5 8" xfId="7139" xr:uid="{00000000-0005-0000-0000-0000686B0000}"/>
    <cellStyle name="Normal 15 5 8 2" xfId="15987" xr:uid="{00000000-0005-0000-0000-0000696B0000}"/>
    <cellStyle name="Normal 15 5 8 2 2" xfId="29394" xr:uid="{00000000-0005-0000-0000-00006A6B0000}"/>
    <cellStyle name="Normal 15 5 8 3" xfId="31455" xr:uid="{00000000-0005-0000-0000-00006B6B0000}"/>
    <cellStyle name="Normal 15 5 9" xfId="10152" xr:uid="{00000000-0005-0000-0000-00006C6B0000}"/>
    <cellStyle name="Normal 15 5 9 2" xfId="24376" xr:uid="{00000000-0005-0000-0000-00006D6B0000}"/>
    <cellStyle name="Normal 15 6" xfId="7140" xr:uid="{00000000-0005-0000-0000-00006E6B0000}"/>
    <cellStyle name="Normal 15 6 2" xfId="7141" xr:uid="{00000000-0005-0000-0000-00006F6B0000}"/>
    <cellStyle name="Normal 15 6 2 2" xfId="7142" xr:uid="{00000000-0005-0000-0000-0000706B0000}"/>
    <cellStyle name="Normal 15 6 2 2 2" xfId="7143" xr:uid="{00000000-0005-0000-0000-0000716B0000}"/>
    <cellStyle name="Normal 15 6 2 2 2 2" xfId="16911" xr:uid="{00000000-0005-0000-0000-0000726B0000}"/>
    <cellStyle name="Normal 15 6 2 2 2 2 2" xfId="30318" xr:uid="{00000000-0005-0000-0000-0000736B0000}"/>
    <cellStyle name="Normal 15 6 2 2 2 3" xfId="31459" xr:uid="{00000000-0005-0000-0000-0000746B0000}"/>
    <cellStyle name="Normal 15 6 2 2 3" xfId="11532" xr:uid="{00000000-0005-0000-0000-0000756B0000}"/>
    <cellStyle name="Normal 15 6 2 2 3 2" xfId="25364" xr:uid="{00000000-0005-0000-0000-0000766B0000}"/>
    <cellStyle name="Normal 15 6 2 2 4" xfId="31458" xr:uid="{00000000-0005-0000-0000-0000776B0000}"/>
    <cellStyle name="Normal 15 6 2 3" xfId="7144" xr:uid="{00000000-0005-0000-0000-0000786B0000}"/>
    <cellStyle name="Normal 15 6 2 3 2" xfId="12299" xr:uid="{00000000-0005-0000-0000-0000796B0000}"/>
    <cellStyle name="Normal 15 6 2 3 2 2" xfId="26011" xr:uid="{00000000-0005-0000-0000-00007A6B0000}"/>
    <cellStyle name="Normal 15 6 2 3 3" xfId="31460" xr:uid="{00000000-0005-0000-0000-00007B6B0000}"/>
    <cellStyle name="Normal 15 6 2 4" xfId="7145" xr:uid="{00000000-0005-0000-0000-00007C6B0000}"/>
    <cellStyle name="Normal 15 6 2 4 2" xfId="13863" xr:uid="{00000000-0005-0000-0000-00007D6B0000}"/>
    <cellStyle name="Normal 15 6 2 4 2 2" xfId="27412" xr:uid="{00000000-0005-0000-0000-00007E6B0000}"/>
    <cellStyle name="Normal 15 6 2 4 3" xfId="31461" xr:uid="{00000000-0005-0000-0000-00007F6B0000}"/>
    <cellStyle name="Normal 15 6 2 5" xfId="7146" xr:uid="{00000000-0005-0000-0000-0000806B0000}"/>
    <cellStyle name="Normal 15 6 2 5 2" xfId="14444" xr:uid="{00000000-0005-0000-0000-0000816B0000}"/>
    <cellStyle name="Normal 15 6 2 5 2 2" xfId="27993" xr:uid="{00000000-0005-0000-0000-0000826B0000}"/>
    <cellStyle name="Normal 15 6 2 5 3" xfId="31462" xr:uid="{00000000-0005-0000-0000-0000836B0000}"/>
    <cellStyle name="Normal 15 6 2 6" xfId="7147" xr:uid="{00000000-0005-0000-0000-0000846B0000}"/>
    <cellStyle name="Normal 15 6 2 6 2" xfId="16330" xr:uid="{00000000-0005-0000-0000-0000856B0000}"/>
    <cellStyle name="Normal 15 6 2 6 2 2" xfId="29737" xr:uid="{00000000-0005-0000-0000-0000866B0000}"/>
    <cellStyle name="Normal 15 6 2 6 3" xfId="31463" xr:uid="{00000000-0005-0000-0000-0000876B0000}"/>
    <cellStyle name="Normal 15 6 2 7" xfId="10157" xr:uid="{00000000-0005-0000-0000-0000886B0000}"/>
    <cellStyle name="Normal 15 6 2 7 2" xfId="24381" xr:uid="{00000000-0005-0000-0000-0000896B0000}"/>
    <cellStyle name="Normal 15 6 2 8" xfId="31457" xr:uid="{00000000-0005-0000-0000-00008A6B0000}"/>
    <cellStyle name="Normal 15 6 3" xfId="7148" xr:uid="{00000000-0005-0000-0000-00008B6B0000}"/>
    <cellStyle name="Normal 15 6 3 2" xfId="7149" xr:uid="{00000000-0005-0000-0000-00008C6B0000}"/>
    <cellStyle name="Normal 15 6 3 2 2" xfId="16622" xr:uid="{00000000-0005-0000-0000-00008D6B0000}"/>
    <cellStyle name="Normal 15 6 3 2 2 2" xfId="30029" xr:uid="{00000000-0005-0000-0000-00008E6B0000}"/>
    <cellStyle name="Normal 15 6 3 2 3" xfId="31465" xr:uid="{00000000-0005-0000-0000-00008F6B0000}"/>
    <cellStyle name="Normal 15 6 3 3" xfId="11531" xr:uid="{00000000-0005-0000-0000-0000906B0000}"/>
    <cellStyle name="Normal 15 6 3 3 2" xfId="25363" xr:uid="{00000000-0005-0000-0000-0000916B0000}"/>
    <cellStyle name="Normal 15 6 3 4" xfId="31464" xr:uid="{00000000-0005-0000-0000-0000926B0000}"/>
    <cellStyle name="Normal 15 6 4" xfId="7150" xr:uid="{00000000-0005-0000-0000-0000936B0000}"/>
    <cellStyle name="Normal 15 6 4 2" xfId="11999" xr:uid="{00000000-0005-0000-0000-0000946B0000}"/>
    <cellStyle name="Normal 15 6 4 2 2" xfId="25714" xr:uid="{00000000-0005-0000-0000-0000956B0000}"/>
    <cellStyle name="Normal 15 6 4 3" xfId="31466" xr:uid="{00000000-0005-0000-0000-0000966B0000}"/>
    <cellStyle name="Normal 15 6 5" xfId="7151" xr:uid="{00000000-0005-0000-0000-0000976B0000}"/>
    <cellStyle name="Normal 15 6 5 2" xfId="13574" xr:uid="{00000000-0005-0000-0000-0000986B0000}"/>
    <cellStyle name="Normal 15 6 5 2 2" xfId="27123" xr:uid="{00000000-0005-0000-0000-0000996B0000}"/>
    <cellStyle name="Normal 15 6 5 3" xfId="31467" xr:uid="{00000000-0005-0000-0000-00009A6B0000}"/>
    <cellStyle name="Normal 15 6 6" xfId="7152" xr:uid="{00000000-0005-0000-0000-00009B6B0000}"/>
    <cellStyle name="Normal 15 6 6 2" xfId="14155" xr:uid="{00000000-0005-0000-0000-00009C6B0000}"/>
    <cellStyle name="Normal 15 6 6 2 2" xfId="27704" xr:uid="{00000000-0005-0000-0000-00009D6B0000}"/>
    <cellStyle name="Normal 15 6 6 3" xfId="31468" xr:uid="{00000000-0005-0000-0000-00009E6B0000}"/>
    <cellStyle name="Normal 15 6 7" xfId="7153" xr:uid="{00000000-0005-0000-0000-00009F6B0000}"/>
    <cellStyle name="Normal 15 6 7 2" xfId="16041" xr:uid="{00000000-0005-0000-0000-0000A06B0000}"/>
    <cellStyle name="Normal 15 6 7 2 2" xfId="29448" xr:uid="{00000000-0005-0000-0000-0000A16B0000}"/>
    <cellStyle name="Normal 15 6 7 3" xfId="31469" xr:uid="{00000000-0005-0000-0000-0000A26B0000}"/>
    <cellStyle name="Normal 15 6 8" xfId="10156" xr:uid="{00000000-0005-0000-0000-0000A36B0000}"/>
    <cellStyle name="Normal 15 6 8 2" xfId="24380" xr:uid="{00000000-0005-0000-0000-0000A46B0000}"/>
    <cellStyle name="Normal 15 6 9" xfId="31456" xr:uid="{00000000-0005-0000-0000-0000A56B0000}"/>
    <cellStyle name="Normal 15 7" xfId="7154" xr:uid="{00000000-0005-0000-0000-0000A66B0000}"/>
    <cellStyle name="Normal 15 7 2" xfId="7155" xr:uid="{00000000-0005-0000-0000-0000A76B0000}"/>
    <cellStyle name="Normal 15 7 2 2" xfId="7156" xr:uid="{00000000-0005-0000-0000-0000A86B0000}"/>
    <cellStyle name="Normal 15 7 2 2 2" xfId="16734" xr:uid="{00000000-0005-0000-0000-0000A96B0000}"/>
    <cellStyle name="Normal 15 7 2 2 2 2" xfId="30141" xr:uid="{00000000-0005-0000-0000-0000AA6B0000}"/>
    <cellStyle name="Normal 15 7 2 2 3" xfId="31472" xr:uid="{00000000-0005-0000-0000-0000AB6B0000}"/>
    <cellStyle name="Normal 15 7 2 3" xfId="11533" xr:uid="{00000000-0005-0000-0000-0000AC6B0000}"/>
    <cellStyle name="Normal 15 7 2 3 2" xfId="25365" xr:uid="{00000000-0005-0000-0000-0000AD6B0000}"/>
    <cellStyle name="Normal 15 7 2 4" xfId="31471" xr:uid="{00000000-0005-0000-0000-0000AE6B0000}"/>
    <cellStyle name="Normal 15 7 3" xfId="7157" xr:uid="{00000000-0005-0000-0000-0000AF6B0000}"/>
    <cellStyle name="Normal 15 7 3 2" xfId="12122" xr:uid="{00000000-0005-0000-0000-0000B06B0000}"/>
    <cellStyle name="Normal 15 7 3 2 2" xfId="25834" xr:uid="{00000000-0005-0000-0000-0000B16B0000}"/>
    <cellStyle name="Normal 15 7 3 3" xfId="31473" xr:uid="{00000000-0005-0000-0000-0000B26B0000}"/>
    <cellStyle name="Normal 15 7 4" xfId="7158" xr:uid="{00000000-0005-0000-0000-0000B36B0000}"/>
    <cellStyle name="Normal 15 7 4 2" xfId="13686" xr:uid="{00000000-0005-0000-0000-0000B46B0000}"/>
    <cellStyle name="Normal 15 7 4 2 2" xfId="27235" xr:uid="{00000000-0005-0000-0000-0000B56B0000}"/>
    <cellStyle name="Normal 15 7 4 3" xfId="31474" xr:uid="{00000000-0005-0000-0000-0000B66B0000}"/>
    <cellStyle name="Normal 15 7 5" xfId="7159" xr:uid="{00000000-0005-0000-0000-0000B76B0000}"/>
    <cellStyle name="Normal 15 7 5 2" xfId="14267" xr:uid="{00000000-0005-0000-0000-0000B86B0000}"/>
    <cellStyle name="Normal 15 7 5 2 2" xfId="27816" xr:uid="{00000000-0005-0000-0000-0000B96B0000}"/>
    <cellStyle name="Normal 15 7 5 3" xfId="31475" xr:uid="{00000000-0005-0000-0000-0000BA6B0000}"/>
    <cellStyle name="Normal 15 7 6" xfId="7160" xr:uid="{00000000-0005-0000-0000-0000BB6B0000}"/>
    <cellStyle name="Normal 15 7 6 2" xfId="16153" xr:uid="{00000000-0005-0000-0000-0000BC6B0000}"/>
    <cellStyle name="Normal 15 7 6 2 2" xfId="29560" xr:uid="{00000000-0005-0000-0000-0000BD6B0000}"/>
    <cellStyle name="Normal 15 7 6 3" xfId="31476" xr:uid="{00000000-0005-0000-0000-0000BE6B0000}"/>
    <cellStyle name="Normal 15 7 7" xfId="10158" xr:uid="{00000000-0005-0000-0000-0000BF6B0000}"/>
    <cellStyle name="Normal 15 7 7 2" xfId="24382" xr:uid="{00000000-0005-0000-0000-0000C06B0000}"/>
    <cellStyle name="Normal 15 7 8" xfId="31470" xr:uid="{00000000-0005-0000-0000-0000C16B0000}"/>
    <cellStyle name="Normal 15 8" xfId="7161" xr:uid="{00000000-0005-0000-0000-0000C26B0000}"/>
    <cellStyle name="Normal 15 8 2" xfId="7162" xr:uid="{00000000-0005-0000-0000-0000C36B0000}"/>
    <cellStyle name="Normal 15 8 2 2" xfId="11534" xr:uid="{00000000-0005-0000-0000-0000C46B0000}"/>
    <cellStyle name="Normal 15 8 2 2 2" xfId="25366" xr:uid="{00000000-0005-0000-0000-0000C56B0000}"/>
    <cellStyle name="Normal 15 8 2 3" xfId="31478" xr:uid="{00000000-0005-0000-0000-0000C66B0000}"/>
    <cellStyle name="Normal 15 8 3" xfId="7163" xr:uid="{00000000-0005-0000-0000-0000C76B0000}"/>
    <cellStyle name="Normal 15 8 3 2" xfId="13244" xr:uid="{00000000-0005-0000-0000-0000C86B0000}"/>
    <cellStyle name="Normal 15 8 3 2 2" xfId="26888" xr:uid="{00000000-0005-0000-0000-0000C96B0000}"/>
    <cellStyle name="Normal 15 8 3 3" xfId="31479" xr:uid="{00000000-0005-0000-0000-0000CA6B0000}"/>
    <cellStyle name="Normal 15 8 4" xfId="7164" xr:uid="{00000000-0005-0000-0000-0000CB6B0000}"/>
    <cellStyle name="Normal 15 8 4 2" xfId="15694" xr:uid="{00000000-0005-0000-0000-0000CC6B0000}"/>
    <cellStyle name="Normal 15 8 4 2 2" xfId="29180" xr:uid="{00000000-0005-0000-0000-0000CD6B0000}"/>
    <cellStyle name="Normal 15 8 4 3" xfId="31480" xr:uid="{00000000-0005-0000-0000-0000CE6B0000}"/>
    <cellStyle name="Normal 15 8 5" xfId="7165" xr:uid="{00000000-0005-0000-0000-0000CF6B0000}"/>
    <cellStyle name="Normal 15 8 5 2" xfId="17115" xr:uid="{00000000-0005-0000-0000-0000D06B0000}"/>
    <cellStyle name="Normal 15 8 5 2 2" xfId="30474" xr:uid="{00000000-0005-0000-0000-0000D16B0000}"/>
    <cellStyle name="Normal 15 8 5 3" xfId="31481" xr:uid="{00000000-0005-0000-0000-0000D26B0000}"/>
    <cellStyle name="Normal 15 8 6" xfId="10159" xr:uid="{00000000-0005-0000-0000-0000D36B0000}"/>
    <cellStyle name="Normal 15 8 6 2" xfId="24383" xr:uid="{00000000-0005-0000-0000-0000D46B0000}"/>
    <cellStyle name="Normal 15 8 7" xfId="31477" xr:uid="{00000000-0005-0000-0000-0000D56B0000}"/>
    <cellStyle name="Normal 15 9" xfId="7166" xr:uid="{00000000-0005-0000-0000-0000D66B0000}"/>
    <cellStyle name="Normal 15 9 2" xfId="7167" xr:uid="{00000000-0005-0000-0000-0000D76B0000}"/>
    <cellStyle name="Normal 15 9 2 2" xfId="13245" xr:uid="{00000000-0005-0000-0000-0000D86B0000}"/>
    <cellStyle name="Normal 15 9 2 3" xfId="31483" xr:uid="{00000000-0005-0000-0000-0000D96B0000}"/>
    <cellStyle name="Normal 15 9 3" xfId="7168" xr:uid="{00000000-0005-0000-0000-0000DA6B0000}"/>
    <cellStyle name="Normal 15 9 3 2" xfId="17204" xr:uid="{00000000-0005-0000-0000-0000DB6B0000}"/>
    <cellStyle name="Normal 15 9 3 2 2" xfId="30563" xr:uid="{00000000-0005-0000-0000-0000DC6B0000}"/>
    <cellStyle name="Normal 15 9 3 3" xfId="31484" xr:uid="{00000000-0005-0000-0000-0000DD6B0000}"/>
    <cellStyle name="Normal 15 9 4" xfId="11830" xr:uid="{00000000-0005-0000-0000-0000DE6B0000}"/>
    <cellStyle name="Normal 15 9 4 2" xfId="25545" xr:uid="{00000000-0005-0000-0000-0000DF6B0000}"/>
    <cellStyle name="Normal 15 9 5" xfId="31482" xr:uid="{00000000-0005-0000-0000-0000E06B0000}"/>
    <cellStyle name="Normal 16" xfId="7169" xr:uid="{00000000-0005-0000-0000-0000E16B0000}"/>
    <cellStyle name="Normal 16 10" xfId="10160" xr:uid="{00000000-0005-0000-0000-0000E26B0000}"/>
    <cellStyle name="Normal 16 10 2" xfId="24384" xr:uid="{00000000-0005-0000-0000-0000E36B0000}"/>
    <cellStyle name="Normal 16 11" xfId="31485" xr:uid="{00000000-0005-0000-0000-0000E46B0000}"/>
    <cellStyle name="Normal 16 2" xfId="7170" xr:uid="{00000000-0005-0000-0000-0000E56B0000}"/>
    <cellStyle name="Normal 16 2 10" xfId="31486" xr:uid="{00000000-0005-0000-0000-0000E66B0000}"/>
    <cellStyle name="Normal 16 2 2" xfId="7171" xr:uid="{00000000-0005-0000-0000-0000E76B0000}"/>
    <cellStyle name="Normal 16 2 2 2" xfId="7172" xr:uid="{00000000-0005-0000-0000-0000E86B0000}"/>
    <cellStyle name="Normal 16 2 2 2 2" xfId="7173" xr:uid="{00000000-0005-0000-0000-0000E96B0000}"/>
    <cellStyle name="Normal 16 2 2 2 2 2" xfId="7174" xr:uid="{00000000-0005-0000-0000-0000EA6B0000}"/>
    <cellStyle name="Normal 16 2 2 2 2 2 2" xfId="16958" xr:uid="{00000000-0005-0000-0000-0000EB6B0000}"/>
    <cellStyle name="Normal 16 2 2 2 2 2 2 2" xfId="30365" xr:uid="{00000000-0005-0000-0000-0000EC6B0000}"/>
    <cellStyle name="Normal 16 2 2 2 2 2 3" xfId="31490" xr:uid="{00000000-0005-0000-0000-0000ED6B0000}"/>
    <cellStyle name="Normal 16 2 2 2 2 3" xfId="11538" xr:uid="{00000000-0005-0000-0000-0000EE6B0000}"/>
    <cellStyle name="Normal 16 2 2 2 2 3 2" xfId="25370" xr:uid="{00000000-0005-0000-0000-0000EF6B0000}"/>
    <cellStyle name="Normal 16 2 2 2 2 4" xfId="31489" xr:uid="{00000000-0005-0000-0000-0000F06B0000}"/>
    <cellStyle name="Normal 16 2 2 2 3" xfId="7175" xr:uid="{00000000-0005-0000-0000-0000F16B0000}"/>
    <cellStyle name="Normal 16 2 2 2 3 2" xfId="12346" xr:uid="{00000000-0005-0000-0000-0000F26B0000}"/>
    <cellStyle name="Normal 16 2 2 2 3 2 2" xfId="26058" xr:uid="{00000000-0005-0000-0000-0000F36B0000}"/>
    <cellStyle name="Normal 16 2 2 2 3 3" xfId="31491" xr:uid="{00000000-0005-0000-0000-0000F46B0000}"/>
    <cellStyle name="Normal 16 2 2 2 4" xfId="7176" xr:uid="{00000000-0005-0000-0000-0000F56B0000}"/>
    <cellStyle name="Normal 16 2 2 2 4 2" xfId="13910" xr:uid="{00000000-0005-0000-0000-0000F66B0000}"/>
    <cellStyle name="Normal 16 2 2 2 4 2 2" xfId="27459" xr:uid="{00000000-0005-0000-0000-0000F76B0000}"/>
    <cellStyle name="Normal 16 2 2 2 4 3" xfId="31492" xr:uid="{00000000-0005-0000-0000-0000F86B0000}"/>
    <cellStyle name="Normal 16 2 2 2 5" xfId="7177" xr:uid="{00000000-0005-0000-0000-0000F96B0000}"/>
    <cellStyle name="Normal 16 2 2 2 5 2" xfId="14491" xr:uid="{00000000-0005-0000-0000-0000FA6B0000}"/>
    <cellStyle name="Normal 16 2 2 2 5 2 2" xfId="28040" xr:uid="{00000000-0005-0000-0000-0000FB6B0000}"/>
    <cellStyle name="Normal 16 2 2 2 5 3" xfId="31493" xr:uid="{00000000-0005-0000-0000-0000FC6B0000}"/>
    <cellStyle name="Normal 16 2 2 2 6" xfId="7178" xr:uid="{00000000-0005-0000-0000-0000FD6B0000}"/>
    <cellStyle name="Normal 16 2 2 2 6 2" xfId="16377" xr:uid="{00000000-0005-0000-0000-0000FE6B0000}"/>
    <cellStyle name="Normal 16 2 2 2 6 2 2" xfId="29784" xr:uid="{00000000-0005-0000-0000-0000FF6B0000}"/>
    <cellStyle name="Normal 16 2 2 2 6 3" xfId="31494" xr:uid="{00000000-0005-0000-0000-0000006C0000}"/>
    <cellStyle name="Normal 16 2 2 2 7" xfId="10163" xr:uid="{00000000-0005-0000-0000-0000016C0000}"/>
    <cellStyle name="Normal 16 2 2 2 7 2" xfId="24387" xr:uid="{00000000-0005-0000-0000-0000026C0000}"/>
    <cellStyle name="Normal 16 2 2 2 8" xfId="31488" xr:uid="{00000000-0005-0000-0000-0000036C0000}"/>
    <cellStyle name="Normal 16 2 2 3" xfId="7179" xr:uid="{00000000-0005-0000-0000-0000046C0000}"/>
    <cellStyle name="Normal 16 2 2 3 2" xfId="7180" xr:uid="{00000000-0005-0000-0000-0000056C0000}"/>
    <cellStyle name="Normal 16 2 2 3 2 2" xfId="16669" xr:uid="{00000000-0005-0000-0000-0000066C0000}"/>
    <cellStyle name="Normal 16 2 2 3 2 2 2" xfId="30076" xr:uid="{00000000-0005-0000-0000-0000076C0000}"/>
    <cellStyle name="Normal 16 2 2 3 2 3" xfId="31496" xr:uid="{00000000-0005-0000-0000-0000086C0000}"/>
    <cellStyle name="Normal 16 2 2 3 3" xfId="11537" xr:uid="{00000000-0005-0000-0000-0000096C0000}"/>
    <cellStyle name="Normal 16 2 2 3 3 2" xfId="25369" xr:uid="{00000000-0005-0000-0000-00000A6C0000}"/>
    <cellStyle name="Normal 16 2 2 3 4" xfId="31495" xr:uid="{00000000-0005-0000-0000-00000B6C0000}"/>
    <cellStyle name="Normal 16 2 2 4" xfId="7181" xr:uid="{00000000-0005-0000-0000-00000C6C0000}"/>
    <cellStyle name="Normal 16 2 2 4 2" xfId="12046" xr:uid="{00000000-0005-0000-0000-00000D6C0000}"/>
    <cellStyle name="Normal 16 2 2 4 2 2" xfId="25761" xr:uid="{00000000-0005-0000-0000-00000E6C0000}"/>
    <cellStyle name="Normal 16 2 2 4 3" xfId="31497" xr:uid="{00000000-0005-0000-0000-00000F6C0000}"/>
    <cellStyle name="Normal 16 2 2 5" xfId="7182" xr:uid="{00000000-0005-0000-0000-0000106C0000}"/>
    <cellStyle name="Normal 16 2 2 5 2" xfId="13621" xr:uid="{00000000-0005-0000-0000-0000116C0000}"/>
    <cellStyle name="Normal 16 2 2 5 2 2" xfId="27170" xr:uid="{00000000-0005-0000-0000-0000126C0000}"/>
    <cellStyle name="Normal 16 2 2 5 3" xfId="31498" xr:uid="{00000000-0005-0000-0000-0000136C0000}"/>
    <cellStyle name="Normal 16 2 2 6" xfId="7183" xr:uid="{00000000-0005-0000-0000-0000146C0000}"/>
    <cellStyle name="Normal 16 2 2 6 2" xfId="14202" xr:uid="{00000000-0005-0000-0000-0000156C0000}"/>
    <cellStyle name="Normal 16 2 2 6 2 2" xfId="27751" xr:uid="{00000000-0005-0000-0000-0000166C0000}"/>
    <cellStyle name="Normal 16 2 2 6 3" xfId="31499" xr:uid="{00000000-0005-0000-0000-0000176C0000}"/>
    <cellStyle name="Normal 16 2 2 7" xfId="7184" xr:uid="{00000000-0005-0000-0000-0000186C0000}"/>
    <cellStyle name="Normal 16 2 2 7 2" xfId="16088" xr:uid="{00000000-0005-0000-0000-0000196C0000}"/>
    <cellStyle name="Normal 16 2 2 7 2 2" xfId="29495" xr:uid="{00000000-0005-0000-0000-00001A6C0000}"/>
    <cellStyle name="Normal 16 2 2 7 3" xfId="31500" xr:uid="{00000000-0005-0000-0000-00001B6C0000}"/>
    <cellStyle name="Normal 16 2 2 8" xfId="10162" xr:uid="{00000000-0005-0000-0000-00001C6C0000}"/>
    <cellStyle name="Normal 16 2 2 8 2" xfId="24386" xr:uid="{00000000-0005-0000-0000-00001D6C0000}"/>
    <cellStyle name="Normal 16 2 2 9" xfId="31487" xr:uid="{00000000-0005-0000-0000-00001E6C0000}"/>
    <cellStyle name="Normal 16 2 3" xfId="7185" xr:uid="{00000000-0005-0000-0000-00001F6C0000}"/>
    <cellStyle name="Normal 16 2 3 2" xfId="7186" xr:uid="{00000000-0005-0000-0000-0000206C0000}"/>
    <cellStyle name="Normal 16 2 3 2 2" xfId="7187" xr:uid="{00000000-0005-0000-0000-0000216C0000}"/>
    <cellStyle name="Normal 16 2 3 2 2 2" xfId="16815" xr:uid="{00000000-0005-0000-0000-0000226C0000}"/>
    <cellStyle name="Normal 16 2 3 2 2 2 2" xfId="30222" xr:uid="{00000000-0005-0000-0000-0000236C0000}"/>
    <cellStyle name="Normal 16 2 3 2 2 3" xfId="31503" xr:uid="{00000000-0005-0000-0000-0000246C0000}"/>
    <cellStyle name="Normal 16 2 3 2 3" xfId="11539" xr:uid="{00000000-0005-0000-0000-0000256C0000}"/>
    <cellStyle name="Normal 16 2 3 2 3 2" xfId="25371" xr:uid="{00000000-0005-0000-0000-0000266C0000}"/>
    <cellStyle name="Normal 16 2 3 2 4" xfId="31502" xr:uid="{00000000-0005-0000-0000-0000276C0000}"/>
    <cellStyle name="Normal 16 2 3 3" xfId="7188" xr:uid="{00000000-0005-0000-0000-0000286C0000}"/>
    <cellStyle name="Normal 16 2 3 3 2" xfId="12203" xr:uid="{00000000-0005-0000-0000-0000296C0000}"/>
    <cellStyle name="Normal 16 2 3 3 2 2" xfId="25915" xr:uid="{00000000-0005-0000-0000-00002A6C0000}"/>
    <cellStyle name="Normal 16 2 3 3 3" xfId="31504" xr:uid="{00000000-0005-0000-0000-00002B6C0000}"/>
    <cellStyle name="Normal 16 2 3 4" xfId="7189" xr:uid="{00000000-0005-0000-0000-00002C6C0000}"/>
    <cellStyle name="Normal 16 2 3 4 2" xfId="13767" xr:uid="{00000000-0005-0000-0000-00002D6C0000}"/>
    <cellStyle name="Normal 16 2 3 4 2 2" xfId="27316" xr:uid="{00000000-0005-0000-0000-00002E6C0000}"/>
    <cellStyle name="Normal 16 2 3 4 3" xfId="31505" xr:uid="{00000000-0005-0000-0000-00002F6C0000}"/>
    <cellStyle name="Normal 16 2 3 5" xfId="7190" xr:uid="{00000000-0005-0000-0000-0000306C0000}"/>
    <cellStyle name="Normal 16 2 3 5 2" xfId="14348" xr:uid="{00000000-0005-0000-0000-0000316C0000}"/>
    <cellStyle name="Normal 16 2 3 5 2 2" xfId="27897" xr:uid="{00000000-0005-0000-0000-0000326C0000}"/>
    <cellStyle name="Normal 16 2 3 5 3" xfId="31506" xr:uid="{00000000-0005-0000-0000-0000336C0000}"/>
    <cellStyle name="Normal 16 2 3 6" xfId="7191" xr:uid="{00000000-0005-0000-0000-0000346C0000}"/>
    <cellStyle name="Normal 16 2 3 6 2" xfId="16234" xr:uid="{00000000-0005-0000-0000-0000356C0000}"/>
    <cellStyle name="Normal 16 2 3 6 2 2" xfId="29641" xr:uid="{00000000-0005-0000-0000-0000366C0000}"/>
    <cellStyle name="Normal 16 2 3 6 3" xfId="31507" xr:uid="{00000000-0005-0000-0000-0000376C0000}"/>
    <cellStyle name="Normal 16 2 3 7" xfId="10164" xr:uid="{00000000-0005-0000-0000-0000386C0000}"/>
    <cellStyle name="Normal 16 2 3 7 2" xfId="24388" xr:uid="{00000000-0005-0000-0000-0000396C0000}"/>
    <cellStyle name="Normal 16 2 3 8" xfId="31501" xr:uid="{00000000-0005-0000-0000-00003A6C0000}"/>
    <cellStyle name="Normal 16 2 4" xfId="7192" xr:uid="{00000000-0005-0000-0000-00003B6C0000}"/>
    <cellStyle name="Normal 16 2 4 2" xfId="7193" xr:uid="{00000000-0005-0000-0000-00003C6C0000}"/>
    <cellStyle name="Normal 16 2 4 2 2" xfId="17162" xr:uid="{00000000-0005-0000-0000-00003D6C0000}"/>
    <cellStyle name="Normal 16 2 4 2 2 2" xfId="30521" xr:uid="{00000000-0005-0000-0000-00003E6C0000}"/>
    <cellStyle name="Normal 16 2 4 2 3" xfId="31509" xr:uid="{00000000-0005-0000-0000-00003F6C0000}"/>
    <cellStyle name="Normal 16 2 4 3" xfId="11536" xr:uid="{00000000-0005-0000-0000-0000406C0000}"/>
    <cellStyle name="Normal 16 2 4 3 2" xfId="25368" xr:uid="{00000000-0005-0000-0000-0000416C0000}"/>
    <cellStyle name="Normal 16 2 4 4" xfId="31508" xr:uid="{00000000-0005-0000-0000-0000426C0000}"/>
    <cellStyle name="Normal 16 2 5" xfId="7194" xr:uid="{00000000-0005-0000-0000-0000436C0000}"/>
    <cellStyle name="Normal 16 2 5 2" xfId="7195" xr:uid="{00000000-0005-0000-0000-0000446C0000}"/>
    <cellStyle name="Normal 16 2 5 2 2" xfId="17251" xr:uid="{00000000-0005-0000-0000-0000456C0000}"/>
    <cellStyle name="Normal 16 2 5 2 2 2" xfId="30610" xr:uid="{00000000-0005-0000-0000-0000466C0000}"/>
    <cellStyle name="Normal 16 2 5 2 3" xfId="31511" xr:uid="{00000000-0005-0000-0000-0000476C0000}"/>
    <cellStyle name="Normal 16 2 5 3" xfId="11901" xr:uid="{00000000-0005-0000-0000-0000486C0000}"/>
    <cellStyle name="Normal 16 2 5 3 2" xfId="25616" xr:uid="{00000000-0005-0000-0000-0000496C0000}"/>
    <cellStyle name="Normal 16 2 5 4" xfId="31510" xr:uid="{00000000-0005-0000-0000-00004A6C0000}"/>
    <cellStyle name="Normal 16 2 6" xfId="7196" xr:uid="{00000000-0005-0000-0000-00004B6C0000}"/>
    <cellStyle name="Normal 16 2 6 2" xfId="7197" xr:uid="{00000000-0005-0000-0000-00004C6C0000}"/>
    <cellStyle name="Normal 16 2 6 2 2" xfId="16526" xr:uid="{00000000-0005-0000-0000-00004D6C0000}"/>
    <cellStyle name="Normal 16 2 6 2 2 2" xfId="29933" xr:uid="{00000000-0005-0000-0000-00004E6C0000}"/>
    <cellStyle name="Normal 16 2 6 2 3" xfId="31513" xr:uid="{00000000-0005-0000-0000-00004F6C0000}"/>
    <cellStyle name="Normal 16 2 6 3" xfId="13478" xr:uid="{00000000-0005-0000-0000-0000506C0000}"/>
    <cellStyle name="Normal 16 2 6 3 2" xfId="27027" xr:uid="{00000000-0005-0000-0000-0000516C0000}"/>
    <cellStyle name="Normal 16 2 6 4" xfId="31512" xr:uid="{00000000-0005-0000-0000-0000526C0000}"/>
    <cellStyle name="Normal 16 2 7" xfId="7198" xr:uid="{00000000-0005-0000-0000-0000536C0000}"/>
    <cellStyle name="Normal 16 2 7 2" xfId="14059" xr:uid="{00000000-0005-0000-0000-0000546C0000}"/>
    <cellStyle name="Normal 16 2 7 2 2" xfId="27608" xr:uid="{00000000-0005-0000-0000-0000556C0000}"/>
    <cellStyle name="Normal 16 2 7 3" xfId="31514" xr:uid="{00000000-0005-0000-0000-0000566C0000}"/>
    <cellStyle name="Normal 16 2 8" xfId="7199" xr:uid="{00000000-0005-0000-0000-0000576C0000}"/>
    <cellStyle name="Normal 16 2 8 2" xfId="15945" xr:uid="{00000000-0005-0000-0000-0000586C0000}"/>
    <cellStyle name="Normal 16 2 8 2 2" xfId="29352" xr:uid="{00000000-0005-0000-0000-0000596C0000}"/>
    <cellStyle name="Normal 16 2 8 3" xfId="31515" xr:uid="{00000000-0005-0000-0000-00005A6C0000}"/>
    <cellStyle name="Normal 16 2 9" xfId="10161" xr:uid="{00000000-0005-0000-0000-00005B6C0000}"/>
    <cellStyle name="Normal 16 2 9 2" xfId="24385" xr:uid="{00000000-0005-0000-0000-00005C6C0000}"/>
    <cellStyle name="Normal 16 3" xfId="7200" xr:uid="{00000000-0005-0000-0000-00005D6C0000}"/>
    <cellStyle name="Normal 16 3 2" xfId="7201" xr:uid="{00000000-0005-0000-0000-00005E6C0000}"/>
    <cellStyle name="Normal 16 3 2 2" xfId="7202" xr:uid="{00000000-0005-0000-0000-00005F6C0000}"/>
    <cellStyle name="Normal 16 3 2 2 2" xfId="7203" xr:uid="{00000000-0005-0000-0000-0000606C0000}"/>
    <cellStyle name="Normal 16 3 2 2 2 2" xfId="16912" xr:uid="{00000000-0005-0000-0000-0000616C0000}"/>
    <cellStyle name="Normal 16 3 2 2 2 2 2" xfId="30319" xr:uid="{00000000-0005-0000-0000-0000626C0000}"/>
    <cellStyle name="Normal 16 3 2 2 2 3" xfId="31519" xr:uid="{00000000-0005-0000-0000-0000636C0000}"/>
    <cellStyle name="Normal 16 3 2 2 3" xfId="11541" xr:uid="{00000000-0005-0000-0000-0000646C0000}"/>
    <cellStyle name="Normal 16 3 2 2 3 2" xfId="25373" xr:uid="{00000000-0005-0000-0000-0000656C0000}"/>
    <cellStyle name="Normal 16 3 2 2 4" xfId="31518" xr:uid="{00000000-0005-0000-0000-0000666C0000}"/>
    <cellStyle name="Normal 16 3 2 3" xfId="7204" xr:uid="{00000000-0005-0000-0000-0000676C0000}"/>
    <cellStyle name="Normal 16 3 2 3 2" xfId="12300" xr:uid="{00000000-0005-0000-0000-0000686C0000}"/>
    <cellStyle name="Normal 16 3 2 3 2 2" xfId="26012" xr:uid="{00000000-0005-0000-0000-0000696C0000}"/>
    <cellStyle name="Normal 16 3 2 3 3" xfId="31520" xr:uid="{00000000-0005-0000-0000-00006A6C0000}"/>
    <cellStyle name="Normal 16 3 2 4" xfId="7205" xr:uid="{00000000-0005-0000-0000-00006B6C0000}"/>
    <cellStyle name="Normal 16 3 2 4 2" xfId="13864" xr:uid="{00000000-0005-0000-0000-00006C6C0000}"/>
    <cellStyle name="Normal 16 3 2 4 2 2" xfId="27413" xr:uid="{00000000-0005-0000-0000-00006D6C0000}"/>
    <cellStyle name="Normal 16 3 2 4 3" xfId="31521" xr:uid="{00000000-0005-0000-0000-00006E6C0000}"/>
    <cellStyle name="Normal 16 3 2 5" xfId="7206" xr:uid="{00000000-0005-0000-0000-00006F6C0000}"/>
    <cellStyle name="Normal 16 3 2 5 2" xfId="14445" xr:uid="{00000000-0005-0000-0000-0000706C0000}"/>
    <cellStyle name="Normal 16 3 2 5 2 2" xfId="27994" xr:uid="{00000000-0005-0000-0000-0000716C0000}"/>
    <cellStyle name="Normal 16 3 2 5 3" xfId="31522" xr:uid="{00000000-0005-0000-0000-0000726C0000}"/>
    <cellStyle name="Normal 16 3 2 6" xfId="7207" xr:uid="{00000000-0005-0000-0000-0000736C0000}"/>
    <cellStyle name="Normal 16 3 2 6 2" xfId="16331" xr:uid="{00000000-0005-0000-0000-0000746C0000}"/>
    <cellStyle name="Normal 16 3 2 6 2 2" xfId="29738" xr:uid="{00000000-0005-0000-0000-0000756C0000}"/>
    <cellStyle name="Normal 16 3 2 6 3" xfId="31523" xr:uid="{00000000-0005-0000-0000-0000766C0000}"/>
    <cellStyle name="Normal 16 3 2 7" xfId="10166" xr:uid="{00000000-0005-0000-0000-0000776C0000}"/>
    <cellStyle name="Normal 16 3 2 7 2" xfId="24390" xr:uid="{00000000-0005-0000-0000-0000786C0000}"/>
    <cellStyle name="Normal 16 3 2 8" xfId="31517" xr:uid="{00000000-0005-0000-0000-0000796C0000}"/>
    <cellStyle name="Normal 16 3 3" xfId="7208" xr:uid="{00000000-0005-0000-0000-00007A6C0000}"/>
    <cellStyle name="Normal 16 3 3 2" xfId="7209" xr:uid="{00000000-0005-0000-0000-00007B6C0000}"/>
    <cellStyle name="Normal 16 3 3 2 2" xfId="16623" xr:uid="{00000000-0005-0000-0000-00007C6C0000}"/>
    <cellStyle name="Normal 16 3 3 2 2 2" xfId="30030" xr:uid="{00000000-0005-0000-0000-00007D6C0000}"/>
    <cellStyle name="Normal 16 3 3 2 3" xfId="31525" xr:uid="{00000000-0005-0000-0000-00007E6C0000}"/>
    <cellStyle name="Normal 16 3 3 3" xfId="11540" xr:uid="{00000000-0005-0000-0000-00007F6C0000}"/>
    <cellStyle name="Normal 16 3 3 3 2" xfId="25372" xr:uid="{00000000-0005-0000-0000-0000806C0000}"/>
    <cellStyle name="Normal 16 3 3 4" xfId="31524" xr:uid="{00000000-0005-0000-0000-0000816C0000}"/>
    <cellStyle name="Normal 16 3 4" xfId="7210" xr:uid="{00000000-0005-0000-0000-0000826C0000}"/>
    <cellStyle name="Normal 16 3 4 2" xfId="12000" xr:uid="{00000000-0005-0000-0000-0000836C0000}"/>
    <cellStyle name="Normal 16 3 4 2 2" xfId="25715" xr:uid="{00000000-0005-0000-0000-0000846C0000}"/>
    <cellStyle name="Normal 16 3 4 3" xfId="31526" xr:uid="{00000000-0005-0000-0000-0000856C0000}"/>
    <cellStyle name="Normal 16 3 5" xfId="7211" xr:uid="{00000000-0005-0000-0000-0000866C0000}"/>
    <cellStyle name="Normal 16 3 5 2" xfId="13575" xr:uid="{00000000-0005-0000-0000-0000876C0000}"/>
    <cellStyle name="Normal 16 3 5 2 2" xfId="27124" xr:uid="{00000000-0005-0000-0000-0000886C0000}"/>
    <cellStyle name="Normal 16 3 5 3" xfId="31527" xr:uid="{00000000-0005-0000-0000-0000896C0000}"/>
    <cellStyle name="Normal 16 3 6" xfId="7212" xr:uid="{00000000-0005-0000-0000-00008A6C0000}"/>
    <cellStyle name="Normal 16 3 6 2" xfId="14156" xr:uid="{00000000-0005-0000-0000-00008B6C0000}"/>
    <cellStyle name="Normal 16 3 6 2 2" xfId="27705" xr:uid="{00000000-0005-0000-0000-00008C6C0000}"/>
    <cellStyle name="Normal 16 3 6 3" xfId="31528" xr:uid="{00000000-0005-0000-0000-00008D6C0000}"/>
    <cellStyle name="Normal 16 3 7" xfId="7213" xr:uid="{00000000-0005-0000-0000-00008E6C0000}"/>
    <cellStyle name="Normal 16 3 7 2" xfId="16042" xr:uid="{00000000-0005-0000-0000-00008F6C0000}"/>
    <cellStyle name="Normal 16 3 7 2 2" xfId="29449" xr:uid="{00000000-0005-0000-0000-0000906C0000}"/>
    <cellStyle name="Normal 16 3 7 3" xfId="31529" xr:uid="{00000000-0005-0000-0000-0000916C0000}"/>
    <cellStyle name="Normal 16 3 8" xfId="10165" xr:uid="{00000000-0005-0000-0000-0000926C0000}"/>
    <cellStyle name="Normal 16 3 8 2" xfId="24389" xr:uid="{00000000-0005-0000-0000-0000936C0000}"/>
    <cellStyle name="Normal 16 3 9" xfId="31516" xr:uid="{00000000-0005-0000-0000-0000946C0000}"/>
    <cellStyle name="Normal 16 4" xfId="7214" xr:uid="{00000000-0005-0000-0000-0000956C0000}"/>
    <cellStyle name="Normal 16 4 2" xfId="7215" xr:uid="{00000000-0005-0000-0000-0000966C0000}"/>
    <cellStyle name="Normal 16 4 2 2" xfId="7216" xr:uid="{00000000-0005-0000-0000-0000976C0000}"/>
    <cellStyle name="Normal 16 4 2 2 2" xfId="16769" xr:uid="{00000000-0005-0000-0000-0000986C0000}"/>
    <cellStyle name="Normal 16 4 2 2 2 2" xfId="30176" xr:uid="{00000000-0005-0000-0000-0000996C0000}"/>
    <cellStyle name="Normal 16 4 2 2 3" xfId="31532" xr:uid="{00000000-0005-0000-0000-00009A6C0000}"/>
    <cellStyle name="Normal 16 4 2 3" xfId="11542" xr:uid="{00000000-0005-0000-0000-00009B6C0000}"/>
    <cellStyle name="Normal 16 4 2 3 2" xfId="25374" xr:uid="{00000000-0005-0000-0000-00009C6C0000}"/>
    <cellStyle name="Normal 16 4 2 4" xfId="31531" xr:uid="{00000000-0005-0000-0000-00009D6C0000}"/>
    <cellStyle name="Normal 16 4 3" xfId="7217" xr:uid="{00000000-0005-0000-0000-00009E6C0000}"/>
    <cellStyle name="Normal 16 4 3 2" xfId="12157" xr:uid="{00000000-0005-0000-0000-00009F6C0000}"/>
    <cellStyle name="Normal 16 4 3 2 2" xfId="25869" xr:uid="{00000000-0005-0000-0000-0000A06C0000}"/>
    <cellStyle name="Normal 16 4 3 3" xfId="31533" xr:uid="{00000000-0005-0000-0000-0000A16C0000}"/>
    <cellStyle name="Normal 16 4 4" xfId="7218" xr:uid="{00000000-0005-0000-0000-0000A26C0000}"/>
    <cellStyle name="Normal 16 4 4 2" xfId="13721" xr:uid="{00000000-0005-0000-0000-0000A36C0000}"/>
    <cellStyle name="Normal 16 4 4 2 2" xfId="27270" xr:uid="{00000000-0005-0000-0000-0000A46C0000}"/>
    <cellStyle name="Normal 16 4 4 3" xfId="31534" xr:uid="{00000000-0005-0000-0000-0000A56C0000}"/>
    <cellStyle name="Normal 16 4 5" xfId="7219" xr:uid="{00000000-0005-0000-0000-0000A66C0000}"/>
    <cellStyle name="Normal 16 4 5 2" xfId="14302" xr:uid="{00000000-0005-0000-0000-0000A76C0000}"/>
    <cellStyle name="Normal 16 4 5 2 2" xfId="27851" xr:uid="{00000000-0005-0000-0000-0000A86C0000}"/>
    <cellStyle name="Normal 16 4 5 3" xfId="31535" xr:uid="{00000000-0005-0000-0000-0000A96C0000}"/>
    <cellStyle name="Normal 16 4 6" xfId="7220" xr:uid="{00000000-0005-0000-0000-0000AA6C0000}"/>
    <cellStyle name="Normal 16 4 6 2" xfId="16188" xr:uid="{00000000-0005-0000-0000-0000AB6C0000}"/>
    <cellStyle name="Normal 16 4 6 2 2" xfId="29595" xr:uid="{00000000-0005-0000-0000-0000AC6C0000}"/>
    <cellStyle name="Normal 16 4 6 3" xfId="31536" xr:uid="{00000000-0005-0000-0000-0000AD6C0000}"/>
    <cellStyle name="Normal 16 4 7" xfId="10167" xr:uid="{00000000-0005-0000-0000-0000AE6C0000}"/>
    <cellStyle name="Normal 16 4 7 2" xfId="24391" xr:uid="{00000000-0005-0000-0000-0000AF6C0000}"/>
    <cellStyle name="Normal 16 4 8" xfId="31530" xr:uid="{00000000-0005-0000-0000-0000B06C0000}"/>
    <cellStyle name="Normal 16 5" xfId="7221" xr:uid="{00000000-0005-0000-0000-0000B16C0000}"/>
    <cellStyle name="Normal 16 5 2" xfId="7222" xr:uid="{00000000-0005-0000-0000-0000B26C0000}"/>
    <cellStyle name="Normal 16 5 2 2" xfId="17116" xr:uid="{00000000-0005-0000-0000-0000B36C0000}"/>
    <cellStyle name="Normal 16 5 2 2 2" xfId="30475" xr:uid="{00000000-0005-0000-0000-0000B46C0000}"/>
    <cellStyle name="Normal 16 5 2 3" xfId="31538" xr:uid="{00000000-0005-0000-0000-0000B56C0000}"/>
    <cellStyle name="Normal 16 5 3" xfId="11535" xr:uid="{00000000-0005-0000-0000-0000B66C0000}"/>
    <cellStyle name="Normal 16 5 3 2" xfId="25367" xr:uid="{00000000-0005-0000-0000-0000B76C0000}"/>
    <cellStyle name="Normal 16 5 4" xfId="31537" xr:uid="{00000000-0005-0000-0000-0000B86C0000}"/>
    <cellStyle name="Normal 16 6" xfId="7223" xr:uid="{00000000-0005-0000-0000-0000B96C0000}"/>
    <cellStyle name="Normal 16 6 2" xfId="7224" xr:uid="{00000000-0005-0000-0000-0000BA6C0000}"/>
    <cellStyle name="Normal 16 6 2 2" xfId="17205" xr:uid="{00000000-0005-0000-0000-0000BB6C0000}"/>
    <cellStyle name="Normal 16 6 2 2 2" xfId="30564" xr:uid="{00000000-0005-0000-0000-0000BC6C0000}"/>
    <cellStyle name="Normal 16 6 2 3" xfId="31540" xr:uid="{00000000-0005-0000-0000-0000BD6C0000}"/>
    <cellStyle name="Normal 16 6 3" xfId="11831" xr:uid="{00000000-0005-0000-0000-0000BE6C0000}"/>
    <cellStyle name="Normal 16 6 3 2" xfId="25546" xr:uid="{00000000-0005-0000-0000-0000BF6C0000}"/>
    <cellStyle name="Normal 16 6 4" xfId="31539" xr:uid="{00000000-0005-0000-0000-0000C06C0000}"/>
    <cellStyle name="Normal 16 7" xfId="7225" xr:uid="{00000000-0005-0000-0000-0000C16C0000}"/>
    <cellStyle name="Normal 16 7 2" xfId="7226" xr:uid="{00000000-0005-0000-0000-0000C26C0000}"/>
    <cellStyle name="Normal 16 7 2 2" xfId="16480" xr:uid="{00000000-0005-0000-0000-0000C36C0000}"/>
    <cellStyle name="Normal 16 7 2 2 2" xfId="29887" xr:uid="{00000000-0005-0000-0000-0000C46C0000}"/>
    <cellStyle name="Normal 16 7 2 3" xfId="31542" xr:uid="{00000000-0005-0000-0000-0000C56C0000}"/>
    <cellStyle name="Normal 16 7 3" xfId="13432" xr:uid="{00000000-0005-0000-0000-0000C66C0000}"/>
    <cellStyle name="Normal 16 7 3 2" xfId="26981" xr:uid="{00000000-0005-0000-0000-0000C76C0000}"/>
    <cellStyle name="Normal 16 7 4" xfId="31541" xr:uid="{00000000-0005-0000-0000-0000C86C0000}"/>
    <cellStyle name="Normal 16 8" xfId="7227" xr:uid="{00000000-0005-0000-0000-0000C96C0000}"/>
    <cellStyle name="Normal 16 8 2" xfId="14013" xr:uid="{00000000-0005-0000-0000-0000CA6C0000}"/>
    <cellStyle name="Normal 16 8 2 2" xfId="27562" xr:uid="{00000000-0005-0000-0000-0000CB6C0000}"/>
    <cellStyle name="Normal 16 8 3" xfId="31543" xr:uid="{00000000-0005-0000-0000-0000CC6C0000}"/>
    <cellStyle name="Normal 16 9" xfId="7228" xr:uid="{00000000-0005-0000-0000-0000CD6C0000}"/>
    <cellStyle name="Normal 16 9 2" xfId="15899" xr:uid="{00000000-0005-0000-0000-0000CE6C0000}"/>
    <cellStyle name="Normal 16 9 2 2" xfId="29306" xr:uid="{00000000-0005-0000-0000-0000CF6C0000}"/>
    <cellStyle name="Normal 16 9 3" xfId="31544" xr:uid="{00000000-0005-0000-0000-0000D06C0000}"/>
    <cellStyle name="Normal 17" xfId="7229" xr:uid="{00000000-0005-0000-0000-0000D16C0000}"/>
    <cellStyle name="Normal 17 2" xfId="7230" xr:uid="{00000000-0005-0000-0000-0000D26C0000}"/>
    <cellStyle name="Normal 17 2 2" xfId="10169" xr:uid="{00000000-0005-0000-0000-0000D36C0000}"/>
    <cellStyle name="Normal 17 3" xfId="10168" xr:uid="{00000000-0005-0000-0000-0000D46C0000}"/>
    <cellStyle name="Normal 17 4" xfId="33102" xr:uid="{00000000-0005-0000-0000-0000D56C0000}"/>
    <cellStyle name="Normal 18" xfId="7231" xr:uid="{00000000-0005-0000-0000-0000D66C0000}"/>
    <cellStyle name="Normal 18 2" xfId="7232" xr:uid="{00000000-0005-0000-0000-0000D76C0000}"/>
    <cellStyle name="Normal 18 2 2" xfId="10171" xr:uid="{00000000-0005-0000-0000-0000D86C0000}"/>
    <cellStyle name="Normal 18 3" xfId="10170" xr:uid="{00000000-0005-0000-0000-0000D96C0000}"/>
    <cellStyle name="Normal 19" xfId="7233" xr:uid="{00000000-0005-0000-0000-0000DA6C0000}"/>
    <cellStyle name="Normal 19 10" xfId="31545" xr:uid="{00000000-0005-0000-0000-0000DB6C0000}"/>
    <cellStyle name="Normal 19 2" xfId="7234" xr:uid="{00000000-0005-0000-0000-0000DC6C0000}"/>
    <cellStyle name="Normal 19 2 2" xfId="7235" xr:uid="{00000000-0005-0000-0000-0000DD6C0000}"/>
    <cellStyle name="Normal 19 2 2 2" xfId="7236" xr:uid="{00000000-0005-0000-0000-0000DE6C0000}"/>
    <cellStyle name="Normal 19 2 2 2 2" xfId="7237" xr:uid="{00000000-0005-0000-0000-0000DF6C0000}"/>
    <cellStyle name="Normal 19 2 2 2 2 2" xfId="16935" xr:uid="{00000000-0005-0000-0000-0000E06C0000}"/>
    <cellStyle name="Normal 19 2 2 2 2 2 2" xfId="30342" xr:uid="{00000000-0005-0000-0000-0000E16C0000}"/>
    <cellStyle name="Normal 19 2 2 2 2 3" xfId="31549" xr:uid="{00000000-0005-0000-0000-0000E26C0000}"/>
    <cellStyle name="Normal 19 2 2 2 3" xfId="11545" xr:uid="{00000000-0005-0000-0000-0000E36C0000}"/>
    <cellStyle name="Normal 19 2 2 2 3 2" xfId="25377" xr:uid="{00000000-0005-0000-0000-0000E46C0000}"/>
    <cellStyle name="Normal 19 2 2 2 4" xfId="31548" xr:uid="{00000000-0005-0000-0000-0000E56C0000}"/>
    <cellStyle name="Normal 19 2 2 3" xfId="7238" xr:uid="{00000000-0005-0000-0000-0000E66C0000}"/>
    <cellStyle name="Normal 19 2 2 3 2" xfId="12323" xr:uid="{00000000-0005-0000-0000-0000E76C0000}"/>
    <cellStyle name="Normal 19 2 2 3 2 2" xfId="26035" xr:uid="{00000000-0005-0000-0000-0000E86C0000}"/>
    <cellStyle name="Normal 19 2 2 3 3" xfId="31550" xr:uid="{00000000-0005-0000-0000-0000E96C0000}"/>
    <cellStyle name="Normal 19 2 2 4" xfId="7239" xr:uid="{00000000-0005-0000-0000-0000EA6C0000}"/>
    <cellStyle name="Normal 19 2 2 4 2" xfId="13887" xr:uid="{00000000-0005-0000-0000-0000EB6C0000}"/>
    <cellStyle name="Normal 19 2 2 4 2 2" xfId="27436" xr:uid="{00000000-0005-0000-0000-0000EC6C0000}"/>
    <cellStyle name="Normal 19 2 2 4 3" xfId="31551" xr:uid="{00000000-0005-0000-0000-0000ED6C0000}"/>
    <cellStyle name="Normal 19 2 2 5" xfId="7240" xr:uid="{00000000-0005-0000-0000-0000EE6C0000}"/>
    <cellStyle name="Normal 19 2 2 5 2" xfId="14468" xr:uid="{00000000-0005-0000-0000-0000EF6C0000}"/>
    <cellStyle name="Normal 19 2 2 5 2 2" xfId="28017" xr:uid="{00000000-0005-0000-0000-0000F06C0000}"/>
    <cellStyle name="Normal 19 2 2 5 3" xfId="31552" xr:uid="{00000000-0005-0000-0000-0000F16C0000}"/>
    <cellStyle name="Normal 19 2 2 6" xfId="7241" xr:uid="{00000000-0005-0000-0000-0000F26C0000}"/>
    <cellStyle name="Normal 19 2 2 6 2" xfId="16354" xr:uid="{00000000-0005-0000-0000-0000F36C0000}"/>
    <cellStyle name="Normal 19 2 2 6 2 2" xfId="29761" xr:uid="{00000000-0005-0000-0000-0000F46C0000}"/>
    <cellStyle name="Normal 19 2 2 6 3" xfId="31553" xr:uid="{00000000-0005-0000-0000-0000F56C0000}"/>
    <cellStyle name="Normal 19 2 2 7" xfId="10174" xr:uid="{00000000-0005-0000-0000-0000F66C0000}"/>
    <cellStyle name="Normal 19 2 2 7 2" xfId="24394" xr:uid="{00000000-0005-0000-0000-0000F76C0000}"/>
    <cellStyle name="Normal 19 2 2 8" xfId="31547" xr:uid="{00000000-0005-0000-0000-0000F86C0000}"/>
    <cellStyle name="Normal 19 2 3" xfId="7242" xr:uid="{00000000-0005-0000-0000-0000F96C0000}"/>
    <cellStyle name="Normal 19 2 3 2" xfId="7243" xr:uid="{00000000-0005-0000-0000-0000FA6C0000}"/>
    <cellStyle name="Normal 19 2 3 2 2" xfId="16646" xr:uid="{00000000-0005-0000-0000-0000FB6C0000}"/>
    <cellStyle name="Normal 19 2 3 2 2 2" xfId="30053" xr:uid="{00000000-0005-0000-0000-0000FC6C0000}"/>
    <cellStyle name="Normal 19 2 3 2 3" xfId="31555" xr:uid="{00000000-0005-0000-0000-0000FD6C0000}"/>
    <cellStyle name="Normal 19 2 3 3" xfId="11544" xr:uid="{00000000-0005-0000-0000-0000FE6C0000}"/>
    <cellStyle name="Normal 19 2 3 3 2" xfId="25376" xr:uid="{00000000-0005-0000-0000-0000FF6C0000}"/>
    <cellStyle name="Normal 19 2 3 4" xfId="31554" xr:uid="{00000000-0005-0000-0000-0000006D0000}"/>
    <cellStyle name="Normal 19 2 4" xfId="7244" xr:uid="{00000000-0005-0000-0000-0000016D0000}"/>
    <cellStyle name="Normal 19 2 4 2" xfId="12023" xr:uid="{00000000-0005-0000-0000-0000026D0000}"/>
    <cellStyle name="Normal 19 2 4 2 2" xfId="25738" xr:uid="{00000000-0005-0000-0000-0000036D0000}"/>
    <cellStyle name="Normal 19 2 4 3" xfId="31556" xr:uid="{00000000-0005-0000-0000-0000046D0000}"/>
    <cellStyle name="Normal 19 2 5" xfId="7245" xr:uid="{00000000-0005-0000-0000-0000056D0000}"/>
    <cellStyle name="Normal 19 2 5 2" xfId="13598" xr:uid="{00000000-0005-0000-0000-0000066D0000}"/>
    <cellStyle name="Normal 19 2 5 2 2" xfId="27147" xr:uid="{00000000-0005-0000-0000-0000076D0000}"/>
    <cellStyle name="Normal 19 2 5 3" xfId="31557" xr:uid="{00000000-0005-0000-0000-0000086D0000}"/>
    <cellStyle name="Normal 19 2 6" xfId="7246" xr:uid="{00000000-0005-0000-0000-0000096D0000}"/>
    <cellStyle name="Normal 19 2 6 2" xfId="14179" xr:uid="{00000000-0005-0000-0000-00000A6D0000}"/>
    <cellStyle name="Normal 19 2 6 2 2" xfId="27728" xr:uid="{00000000-0005-0000-0000-00000B6D0000}"/>
    <cellStyle name="Normal 19 2 6 3" xfId="31558" xr:uid="{00000000-0005-0000-0000-00000C6D0000}"/>
    <cellStyle name="Normal 19 2 7" xfId="7247" xr:uid="{00000000-0005-0000-0000-00000D6D0000}"/>
    <cellStyle name="Normal 19 2 7 2" xfId="16065" xr:uid="{00000000-0005-0000-0000-00000E6D0000}"/>
    <cellStyle name="Normal 19 2 7 2 2" xfId="29472" xr:uid="{00000000-0005-0000-0000-00000F6D0000}"/>
    <cellStyle name="Normal 19 2 7 3" xfId="31559" xr:uid="{00000000-0005-0000-0000-0000106D0000}"/>
    <cellStyle name="Normal 19 2 8" xfId="10173" xr:uid="{00000000-0005-0000-0000-0000116D0000}"/>
    <cellStyle name="Normal 19 2 8 2" xfId="24393" xr:uid="{00000000-0005-0000-0000-0000126D0000}"/>
    <cellStyle name="Normal 19 2 9" xfId="31546" xr:uid="{00000000-0005-0000-0000-0000136D0000}"/>
    <cellStyle name="Normal 19 3" xfId="7248" xr:uid="{00000000-0005-0000-0000-0000146D0000}"/>
    <cellStyle name="Normal 19 3 2" xfId="7249" xr:uid="{00000000-0005-0000-0000-0000156D0000}"/>
    <cellStyle name="Normal 19 3 2 2" xfId="7250" xr:uid="{00000000-0005-0000-0000-0000166D0000}"/>
    <cellStyle name="Normal 19 3 2 2 2" xfId="16792" xr:uid="{00000000-0005-0000-0000-0000176D0000}"/>
    <cellStyle name="Normal 19 3 2 2 2 2" xfId="30199" xr:uid="{00000000-0005-0000-0000-0000186D0000}"/>
    <cellStyle name="Normal 19 3 2 2 3" xfId="31562" xr:uid="{00000000-0005-0000-0000-0000196D0000}"/>
    <cellStyle name="Normal 19 3 2 3" xfId="11546" xr:uid="{00000000-0005-0000-0000-00001A6D0000}"/>
    <cellStyle name="Normal 19 3 2 3 2" xfId="25378" xr:uid="{00000000-0005-0000-0000-00001B6D0000}"/>
    <cellStyle name="Normal 19 3 2 4" xfId="31561" xr:uid="{00000000-0005-0000-0000-00001C6D0000}"/>
    <cellStyle name="Normal 19 3 3" xfId="7251" xr:uid="{00000000-0005-0000-0000-00001D6D0000}"/>
    <cellStyle name="Normal 19 3 3 2" xfId="12180" xr:uid="{00000000-0005-0000-0000-00001E6D0000}"/>
    <cellStyle name="Normal 19 3 3 2 2" xfId="25892" xr:uid="{00000000-0005-0000-0000-00001F6D0000}"/>
    <cellStyle name="Normal 19 3 3 3" xfId="31563" xr:uid="{00000000-0005-0000-0000-0000206D0000}"/>
    <cellStyle name="Normal 19 3 4" xfId="7252" xr:uid="{00000000-0005-0000-0000-0000216D0000}"/>
    <cellStyle name="Normal 19 3 4 2" xfId="13744" xr:uid="{00000000-0005-0000-0000-0000226D0000}"/>
    <cellStyle name="Normal 19 3 4 2 2" xfId="27293" xr:uid="{00000000-0005-0000-0000-0000236D0000}"/>
    <cellStyle name="Normal 19 3 4 3" xfId="31564" xr:uid="{00000000-0005-0000-0000-0000246D0000}"/>
    <cellStyle name="Normal 19 3 5" xfId="7253" xr:uid="{00000000-0005-0000-0000-0000256D0000}"/>
    <cellStyle name="Normal 19 3 5 2" xfId="14325" xr:uid="{00000000-0005-0000-0000-0000266D0000}"/>
    <cellStyle name="Normal 19 3 5 2 2" xfId="27874" xr:uid="{00000000-0005-0000-0000-0000276D0000}"/>
    <cellStyle name="Normal 19 3 5 3" xfId="31565" xr:uid="{00000000-0005-0000-0000-0000286D0000}"/>
    <cellStyle name="Normal 19 3 6" xfId="7254" xr:uid="{00000000-0005-0000-0000-0000296D0000}"/>
    <cellStyle name="Normal 19 3 6 2" xfId="16211" xr:uid="{00000000-0005-0000-0000-00002A6D0000}"/>
    <cellStyle name="Normal 19 3 6 2 2" xfId="29618" xr:uid="{00000000-0005-0000-0000-00002B6D0000}"/>
    <cellStyle name="Normal 19 3 6 3" xfId="31566" xr:uid="{00000000-0005-0000-0000-00002C6D0000}"/>
    <cellStyle name="Normal 19 3 7" xfId="10175" xr:uid="{00000000-0005-0000-0000-00002D6D0000}"/>
    <cellStyle name="Normal 19 3 7 2" xfId="24395" xr:uid="{00000000-0005-0000-0000-00002E6D0000}"/>
    <cellStyle name="Normal 19 3 8" xfId="31560" xr:uid="{00000000-0005-0000-0000-00002F6D0000}"/>
    <cellStyle name="Normal 19 4" xfId="7255" xr:uid="{00000000-0005-0000-0000-0000306D0000}"/>
    <cellStyle name="Normal 19 4 2" xfId="7256" xr:uid="{00000000-0005-0000-0000-0000316D0000}"/>
    <cellStyle name="Normal 19 4 2 2" xfId="17139" xr:uid="{00000000-0005-0000-0000-0000326D0000}"/>
    <cellStyle name="Normal 19 4 2 2 2" xfId="30498" xr:uid="{00000000-0005-0000-0000-0000336D0000}"/>
    <cellStyle name="Normal 19 4 2 3" xfId="31568" xr:uid="{00000000-0005-0000-0000-0000346D0000}"/>
    <cellStyle name="Normal 19 4 3" xfId="11543" xr:uid="{00000000-0005-0000-0000-0000356D0000}"/>
    <cellStyle name="Normal 19 4 3 2" xfId="25375" xr:uid="{00000000-0005-0000-0000-0000366D0000}"/>
    <cellStyle name="Normal 19 4 4" xfId="31567" xr:uid="{00000000-0005-0000-0000-0000376D0000}"/>
    <cellStyle name="Normal 19 5" xfId="7257" xr:uid="{00000000-0005-0000-0000-0000386D0000}"/>
    <cellStyle name="Normal 19 5 2" xfId="7258" xr:uid="{00000000-0005-0000-0000-0000396D0000}"/>
    <cellStyle name="Normal 19 5 2 2" xfId="17228" xr:uid="{00000000-0005-0000-0000-00003A6D0000}"/>
    <cellStyle name="Normal 19 5 2 2 2" xfId="30587" xr:uid="{00000000-0005-0000-0000-00003B6D0000}"/>
    <cellStyle name="Normal 19 5 2 3" xfId="31570" xr:uid="{00000000-0005-0000-0000-00003C6D0000}"/>
    <cellStyle name="Normal 19 5 3" xfId="11875" xr:uid="{00000000-0005-0000-0000-00003D6D0000}"/>
    <cellStyle name="Normal 19 5 3 2" xfId="25590" xr:uid="{00000000-0005-0000-0000-00003E6D0000}"/>
    <cellStyle name="Normal 19 5 4" xfId="31569" xr:uid="{00000000-0005-0000-0000-00003F6D0000}"/>
    <cellStyle name="Normal 19 6" xfId="7259" xr:uid="{00000000-0005-0000-0000-0000406D0000}"/>
    <cellStyle name="Normal 19 6 2" xfId="7260" xr:uid="{00000000-0005-0000-0000-0000416D0000}"/>
    <cellStyle name="Normal 19 6 2 2" xfId="16503" xr:uid="{00000000-0005-0000-0000-0000426D0000}"/>
    <cellStyle name="Normal 19 6 2 2 2" xfId="29910" xr:uid="{00000000-0005-0000-0000-0000436D0000}"/>
    <cellStyle name="Normal 19 6 2 3" xfId="31572" xr:uid="{00000000-0005-0000-0000-0000446D0000}"/>
    <cellStyle name="Normal 19 6 3" xfId="13455" xr:uid="{00000000-0005-0000-0000-0000456D0000}"/>
    <cellStyle name="Normal 19 6 3 2" xfId="27004" xr:uid="{00000000-0005-0000-0000-0000466D0000}"/>
    <cellStyle name="Normal 19 6 4" xfId="31571" xr:uid="{00000000-0005-0000-0000-0000476D0000}"/>
    <cellStyle name="Normal 19 7" xfId="7261" xr:uid="{00000000-0005-0000-0000-0000486D0000}"/>
    <cellStyle name="Normal 19 7 2" xfId="14036" xr:uid="{00000000-0005-0000-0000-0000496D0000}"/>
    <cellStyle name="Normal 19 7 2 2" xfId="27585" xr:uid="{00000000-0005-0000-0000-00004A6D0000}"/>
    <cellStyle name="Normal 19 7 3" xfId="31573" xr:uid="{00000000-0005-0000-0000-00004B6D0000}"/>
    <cellStyle name="Normal 19 8" xfId="7262" xr:uid="{00000000-0005-0000-0000-00004C6D0000}"/>
    <cellStyle name="Normal 19 8 2" xfId="15922" xr:uid="{00000000-0005-0000-0000-00004D6D0000}"/>
    <cellStyle name="Normal 19 8 2 2" xfId="29329" xr:uid="{00000000-0005-0000-0000-00004E6D0000}"/>
    <cellStyle name="Normal 19 8 3" xfId="31574" xr:uid="{00000000-0005-0000-0000-00004F6D0000}"/>
    <cellStyle name="Normal 19 9" xfId="10172" xr:uid="{00000000-0005-0000-0000-0000506D0000}"/>
    <cellStyle name="Normal 19 9 2" xfId="24392" xr:uid="{00000000-0005-0000-0000-0000516D0000}"/>
    <cellStyle name="Normal 2" xfId="8" xr:uid="{00000000-0005-0000-0000-0000526D0000}"/>
    <cellStyle name="Normal 2 2" xfId="7263" xr:uid="{00000000-0005-0000-0000-0000536D0000}"/>
    <cellStyle name="Normal 2 2 2" xfId="7264" xr:uid="{00000000-0005-0000-0000-0000546D0000}"/>
    <cellStyle name="Normal 2 2 2 10" xfId="32939" xr:uid="{00000000-0005-0000-0000-0000556D0000}"/>
    <cellStyle name="Normal 2 2 2 11" xfId="32998" xr:uid="{00000000-0005-0000-0000-0000566D0000}"/>
    <cellStyle name="Normal 2 2 2 2" xfId="7265" xr:uid="{00000000-0005-0000-0000-0000576D0000}"/>
    <cellStyle name="Normal 2 2 2 2 2" xfId="11548" xr:uid="{00000000-0005-0000-0000-0000586D0000}"/>
    <cellStyle name="Normal 2 2 2 2 2 2" xfId="25379" xr:uid="{00000000-0005-0000-0000-0000596D0000}"/>
    <cellStyle name="Normal 2 2 2 2 3" xfId="31577" xr:uid="{00000000-0005-0000-0000-00005A6D0000}"/>
    <cellStyle name="Normal 2 2 2 2 4" xfId="32947" xr:uid="{00000000-0005-0000-0000-00005B6D0000}"/>
    <cellStyle name="Normal 2 2 2 2 5" xfId="33005" xr:uid="{00000000-0005-0000-0000-00005C6D0000}"/>
    <cellStyle name="Normal 2 2 2 3" xfId="7266" xr:uid="{00000000-0005-0000-0000-00005D6D0000}"/>
    <cellStyle name="Normal 2 2 2 3 2" xfId="13246" xr:uid="{00000000-0005-0000-0000-00005E6D0000}"/>
    <cellStyle name="Normal 2 2 2 3 2 2" xfId="26889" xr:uid="{00000000-0005-0000-0000-00005F6D0000}"/>
    <cellStyle name="Normal 2 2 2 3 3" xfId="31578" xr:uid="{00000000-0005-0000-0000-0000606D0000}"/>
    <cellStyle name="Normal 2 2 2 4" xfId="7267" xr:uid="{00000000-0005-0000-0000-0000616D0000}"/>
    <cellStyle name="Normal 2 2 2 4 2" xfId="15695" xr:uid="{00000000-0005-0000-0000-0000626D0000}"/>
    <cellStyle name="Normal 2 2 2 4 2 2" xfId="29181" xr:uid="{00000000-0005-0000-0000-0000636D0000}"/>
    <cellStyle name="Normal 2 2 2 4 3" xfId="31579" xr:uid="{00000000-0005-0000-0000-0000646D0000}"/>
    <cellStyle name="Normal 2 2 2 5" xfId="7268" xr:uid="{00000000-0005-0000-0000-0000656D0000}"/>
    <cellStyle name="Normal 2 2 2 5 2" xfId="15804" xr:uid="{00000000-0005-0000-0000-0000666D0000}"/>
    <cellStyle name="Normal 2 2 2 5 2 2" xfId="29211" xr:uid="{00000000-0005-0000-0000-0000676D0000}"/>
    <cellStyle name="Normal 2 2 2 5 3" xfId="31580" xr:uid="{00000000-0005-0000-0000-0000686D0000}"/>
    <cellStyle name="Normal 2 2 2 6" xfId="7269" xr:uid="{00000000-0005-0000-0000-0000696D0000}"/>
    <cellStyle name="Normal 2 2 2 6 2" xfId="17040" xr:uid="{00000000-0005-0000-0000-00006A6D0000}"/>
    <cellStyle name="Normal 2 2 2 6 3" xfId="31581" xr:uid="{00000000-0005-0000-0000-00006B6D0000}"/>
    <cellStyle name="Normal 2 2 2 7" xfId="8713" xr:uid="{00000000-0005-0000-0000-00006C6D0000}"/>
    <cellStyle name="Normal 2 2 2 7 2" xfId="17325" xr:uid="{00000000-0005-0000-0000-00006D6D0000}"/>
    <cellStyle name="Normal 2 2 2 7 2 2" xfId="30678" xr:uid="{00000000-0005-0000-0000-00006E6D0000}"/>
    <cellStyle name="Normal 2 2 2 7 3" xfId="23232" xr:uid="{00000000-0005-0000-0000-00006F6D0000}"/>
    <cellStyle name="Normal 2 2 2 8" xfId="8809" xr:uid="{00000000-0005-0000-0000-0000706D0000}"/>
    <cellStyle name="Normal 2 2 2 8 2" xfId="23287" xr:uid="{00000000-0005-0000-0000-0000716D0000}"/>
    <cellStyle name="Normal 2 2 2 9" xfId="31576" xr:uid="{00000000-0005-0000-0000-0000726D0000}"/>
    <cellStyle name="Normal 2 2 3" xfId="7270" xr:uid="{00000000-0005-0000-0000-0000736D0000}"/>
    <cellStyle name="Normal 2 2 3 2" xfId="7271" xr:uid="{00000000-0005-0000-0000-0000746D0000}"/>
    <cellStyle name="Normal 2 2 3 2 2" xfId="11692" xr:uid="{00000000-0005-0000-0000-0000756D0000}"/>
    <cellStyle name="Normal 2 2 3 2 3" xfId="31583" xr:uid="{00000000-0005-0000-0000-0000766D0000}"/>
    <cellStyle name="Normal 2 2 3 3" xfId="10177" xr:uid="{00000000-0005-0000-0000-0000776D0000}"/>
    <cellStyle name="Normal 2 2 3 4" xfId="31582" xr:uid="{00000000-0005-0000-0000-0000786D0000}"/>
    <cellStyle name="Normal 2 2 4" xfId="7272" xr:uid="{00000000-0005-0000-0000-0000796D0000}"/>
    <cellStyle name="Normal 2 2 4 2" xfId="11547" xr:uid="{00000000-0005-0000-0000-00007A6D0000}"/>
    <cellStyle name="Normal 2 2 4 3" xfId="31584" xr:uid="{00000000-0005-0000-0000-00007B6D0000}"/>
    <cellStyle name="Normal 2 2 5" xfId="8702" xr:uid="{00000000-0005-0000-0000-00007C6D0000}"/>
    <cellStyle name="Normal 2 2 6" xfId="31575" xr:uid="{00000000-0005-0000-0000-00007D6D0000}"/>
    <cellStyle name="Normal 2 3" xfId="7273" xr:uid="{00000000-0005-0000-0000-00007E6D0000}"/>
    <cellStyle name="Normal 2 3 2" xfId="7274" xr:uid="{00000000-0005-0000-0000-00007F6D0000}"/>
    <cellStyle name="Normal 2 3 2 2" xfId="10178" xr:uid="{00000000-0005-0000-0000-0000806D0000}"/>
    <cellStyle name="Normal 2 3 3" xfId="7275" xr:uid="{00000000-0005-0000-0000-0000816D0000}"/>
    <cellStyle name="Normal 2 3 3 2" xfId="7276" xr:uid="{00000000-0005-0000-0000-0000826D0000}"/>
    <cellStyle name="Normal 2 3 3 2 2" xfId="10180" xr:uid="{00000000-0005-0000-0000-0000836D0000}"/>
    <cellStyle name="Normal 2 3 3 3" xfId="7277" xr:uid="{00000000-0005-0000-0000-0000846D0000}"/>
    <cellStyle name="Normal 2 3 3 3 2" xfId="13247" xr:uid="{00000000-0005-0000-0000-0000856D0000}"/>
    <cellStyle name="Normal 2 3 3 4" xfId="10179" xr:uid="{00000000-0005-0000-0000-0000866D0000}"/>
    <cellStyle name="Normal 2 3 4" xfId="7278" xr:uid="{00000000-0005-0000-0000-0000876D0000}"/>
    <cellStyle name="Normal 2 3 4 2" xfId="7279" xr:uid="{00000000-0005-0000-0000-0000886D0000}"/>
    <cellStyle name="Normal 2 3 4 2 2" xfId="13248" xr:uid="{00000000-0005-0000-0000-0000896D0000}"/>
    <cellStyle name="Normal 2 3 4 3" xfId="10520" xr:uid="{00000000-0005-0000-0000-00008A6D0000}"/>
    <cellStyle name="Normal 2 3 5" xfId="8710" xr:uid="{00000000-0005-0000-0000-00008B6D0000}"/>
    <cellStyle name="Normal 2 3 6" xfId="33044" xr:uid="{00000000-0005-0000-0000-00008C6D0000}"/>
    <cellStyle name="Normal 2 4" xfId="7280" xr:uid="{00000000-0005-0000-0000-00008D6D0000}"/>
    <cellStyle name="Normal 2 4 2" xfId="7281" xr:uid="{00000000-0005-0000-0000-00008E6D0000}"/>
    <cellStyle name="Normal 2 4 2 2" xfId="10181" xr:uid="{00000000-0005-0000-0000-00008F6D0000}"/>
    <cellStyle name="Normal 2 4 2 3" xfId="31585" xr:uid="{00000000-0005-0000-0000-0000906D0000}"/>
    <cellStyle name="Normal 2 4 3" xfId="8676" xr:uid="{00000000-0005-0000-0000-0000916D0000}"/>
    <cellStyle name="Normal 2 4 4" xfId="33093" xr:uid="{00000000-0005-0000-0000-0000926D0000}"/>
    <cellStyle name="Normal 2 5" xfId="7282" xr:uid="{00000000-0005-0000-0000-0000936D0000}"/>
    <cellStyle name="Normal 2 5 2" xfId="7283" xr:uid="{00000000-0005-0000-0000-0000946D0000}"/>
    <cellStyle name="Normal 2 5 2 2" xfId="10183" xr:uid="{00000000-0005-0000-0000-0000956D0000}"/>
    <cellStyle name="Normal 2 5 3" xfId="7284" xr:uid="{00000000-0005-0000-0000-0000966D0000}"/>
    <cellStyle name="Normal 2 5 3 2" xfId="13249" xr:uid="{00000000-0005-0000-0000-0000976D0000}"/>
    <cellStyle name="Normal 2 5 4" xfId="7285" xr:uid="{00000000-0005-0000-0000-0000986D0000}"/>
    <cellStyle name="Normal 2 5 4 2" xfId="17344" xr:uid="{00000000-0005-0000-0000-0000996D0000}"/>
    <cellStyle name="Normal 2 5 5" xfId="8737" xr:uid="{00000000-0005-0000-0000-00009A6D0000}"/>
    <cellStyle name="Normal 2 5 6" xfId="10182" xr:uid="{00000000-0005-0000-0000-00009B6D0000}"/>
    <cellStyle name="Normal 2 6" xfId="7286" xr:uid="{00000000-0005-0000-0000-00009C6D0000}"/>
    <cellStyle name="Normal 2 6 2" xfId="7287" xr:uid="{00000000-0005-0000-0000-00009D6D0000}"/>
    <cellStyle name="Normal 2 6 2 2" xfId="17345" xr:uid="{00000000-0005-0000-0000-00009E6D0000}"/>
    <cellStyle name="Normal 2 6 2 3" xfId="31587" xr:uid="{00000000-0005-0000-0000-00009F6D0000}"/>
    <cellStyle name="Normal 2 6 3" xfId="8722" xr:uid="{00000000-0005-0000-0000-0000A06D0000}"/>
    <cellStyle name="Normal 2 6 4" xfId="10184" xr:uid="{00000000-0005-0000-0000-0000A16D0000}"/>
    <cellStyle name="Normal 2 6 5" xfId="31586" xr:uid="{00000000-0005-0000-0000-0000A26D0000}"/>
    <cellStyle name="Normal 2 7" xfId="7288" xr:uid="{00000000-0005-0000-0000-0000A36D0000}"/>
    <cellStyle name="Normal 2 7 2" xfId="7289" xr:uid="{00000000-0005-0000-0000-0000A46D0000}"/>
    <cellStyle name="Normal 2 7 2 2" xfId="13250" xr:uid="{00000000-0005-0000-0000-0000A56D0000}"/>
    <cellStyle name="Normal 2 7 3" xfId="10519" xr:uid="{00000000-0005-0000-0000-0000A66D0000}"/>
    <cellStyle name="Normal 2 8" xfId="8652" xr:uid="{00000000-0005-0000-0000-0000A76D0000}"/>
    <cellStyle name="Normal 2 8 2" xfId="10176" xr:uid="{00000000-0005-0000-0000-0000A86D0000}"/>
    <cellStyle name="Normal 2 9" xfId="17300" xr:uid="{00000000-0005-0000-0000-0000A96D0000}"/>
    <cellStyle name="Normal 20" xfId="7290" xr:uid="{00000000-0005-0000-0000-0000AA6D0000}"/>
    <cellStyle name="Normal 20 2" xfId="10185" xr:uid="{00000000-0005-0000-0000-0000AB6D0000}"/>
    <cellStyle name="Normal 21" xfId="7291" xr:uid="{00000000-0005-0000-0000-0000AC6D0000}"/>
    <cellStyle name="Normal 21 2" xfId="7292" xr:uid="{00000000-0005-0000-0000-0000AD6D0000}"/>
    <cellStyle name="Normal 21 2 2" xfId="13251" xr:uid="{00000000-0005-0000-0000-0000AE6D0000}"/>
    <cellStyle name="Normal 21 2 3" xfId="31589" xr:uid="{00000000-0005-0000-0000-0000AF6D0000}"/>
    <cellStyle name="Normal 21 3" xfId="10186" xr:uid="{00000000-0005-0000-0000-0000B06D0000}"/>
    <cellStyle name="Normal 21 4" xfId="31588" xr:uid="{00000000-0005-0000-0000-0000B16D0000}"/>
    <cellStyle name="Normal 22" xfId="7293" xr:uid="{00000000-0005-0000-0000-0000B26D0000}"/>
    <cellStyle name="Normal 22 2" xfId="7294" xr:uid="{00000000-0005-0000-0000-0000B36D0000}"/>
    <cellStyle name="Normal 22 2 2" xfId="10188" xr:uid="{00000000-0005-0000-0000-0000B46D0000}"/>
    <cellStyle name="Normal 22 2 3" xfId="31591" xr:uid="{00000000-0005-0000-0000-0000B56D0000}"/>
    <cellStyle name="Normal 22 3" xfId="7295" xr:uid="{00000000-0005-0000-0000-0000B66D0000}"/>
    <cellStyle name="Normal 22 3 2" xfId="13253" xr:uid="{00000000-0005-0000-0000-0000B76D0000}"/>
    <cellStyle name="Normal 22 3 3" xfId="31592" xr:uid="{00000000-0005-0000-0000-0000B86D0000}"/>
    <cellStyle name="Normal 22 4" xfId="7296" xr:uid="{00000000-0005-0000-0000-0000B96D0000}"/>
    <cellStyle name="Normal 22 4 2" xfId="13252" xr:uid="{00000000-0005-0000-0000-0000BA6D0000}"/>
    <cellStyle name="Normal 22 4 3" xfId="31593" xr:uid="{00000000-0005-0000-0000-0000BB6D0000}"/>
    <cellStyle name="Normal 22 5" xfId="10187" xr:uid="{00000000-0005-0000-0000-0000BC6D0000}"/>
    <cellStyle name="Normal 22 6" xfId="31590" xr:uid="{00000000-0005-0000-0000-0000BD6D0000}"/>
    <cellStyle name="Normal 23" xfId="7297" xr:uid="{00000000-0005-0000-0000-0000BE6D0000}"/>
    <cellStyle name="Normal 23 2" xfId="10189" xr:uid="{00000000-0005-0000-0000-0000BF6D0000}"/>
    <cellStyle name="Normal 23 3" xfId="31594" xr:uid="{00000000-0005-0000-0000-0000C06D0000}"/>
    <cellStyle name="Normal 24" xfId="8651" xr:uid="{00000000-0005-0000-0000-0000C16D0000}"/>
    <cellStyle name="Normal 24 2" xfId="17330" xr:uid="{00000000-0005-0000-0000-0000C26D0000}"/>
    <cellStyle name="Normal 24 3" xfId="8819" xr:uid="{00000000-0005-0000-0000-0000C36D0000}"/>
    <cellStyle name="Normal 24 4" xfId="23201" xr:uid="{00000000-0005-0000-0000-0000C46D0000}"/>
    <cellStyle name="Normal 25" xfId="17299" xr:uid="{00000000-0005-0000-0000-0000C56D0000}"/>
    <cellStyle name="Normal 25 2" xfId="30655" xr:uid="{00000000-0005-0000-0000-0000C66D0000}"/>
    <cellStyle name="Normal 26" xfId="8788" xr:uid="{00000000-0005-0000-0000-0000C76D0000}"/>
    <cellStyle name="Normal 26 2" xfId="23266" xr:uid="{00000000-0005-0000-0000-0000C86D0000}"/>
    <cellStyle name="Normal 27" xfId="32910" xr:uid="{00000000-0005-0000-0000-0000C96D0000}"/>
    <cellStyle name="Normal 28" xfId="52" xr:uid="{00000000-0005-0000-0000-0000CA6D0000}"/>
    <cellStyle name="Normal 29" xfId="33032" xr:uid="{00000000-0005-0000-0000-0000CB6D0000}"/>
    <cellStyle name="Normal 3" xfId="13" xr:uid="{00000000-0005-0000-0000-0000CC6D0000}"/>
    <cellStyle name="Normal 3 10" xfId="7299" xr:uid="{00000000-0005-0000-0000-0000CD6D0000}"/>
    <cellStyle name="Normal 3 10 2" xfId="7300" xr:uid="{00000000-0005-0000-0000-0000CE6D0000}"/>
    <cellStyle name="Normal 3 10 2 2" xfId="11728" xr:uid="{00000000-0005-0000-0000-0000CF6D0000}"/>
    <cellStyle name="Normal 3 10 2 2 2" xfId="25447" xr:uid="{00000000-0005-0000-0000-0000D06D0000}"/>
    <cellStyle name="Normal 3 10 2 3" xfId="31596" xr:uid="{00000000-0005-0000-0000-0000D16D0000}"/>
    <cellStyle name="Normal 3 10 2 4" xfId="32949" xr:uid="{00000000-0005-0000-0000-0000D26D0000}"/>
    <cellStyle name="Normal 3 10 2 5" xfId="33007" xr:uid="{00000000-0005-0000-0000-0000D36D0000}"/>
    <cellStyle name="Normal 3 10 3" xfId="7301" xr:uid="{00000000-0005-0000-0000-0000D46D0000}"/>
    <cellStyle name="Normal 3 10 3 2" xfId="10190" xr:uid="{00000000-0005-0000-0000-0000D56D0000}"/>
    <cellStyle name="Normal 3 10 3 3" xfId="31597" xr:uid="{00000000-0005-0000-0000-0000D66D0000}"/>
    <cellStyle name="Normal 3 10 4" xfId="8680" xr:uid="{00000000-0005-0000-0000-0000D76D0000}"/>
    <cellStyle name="Normal 3 10 4 2" xfId="17305" xr:uid="{00000000-0005-0000-0000-0000D86D0000}"/>
    <cellStyle name="Normal 3 10 4 2 2" xfId="30658" xr:uid="{00000000-0005-0000-0000-0000D96D0000}"/>
    <cellStyle name="Normal 3 10 4 3" xfId="23210" xr:uid="{00000000-0005-0000-0000-0000DA6D0000}"/>
    <cellStyle name="Normal 3 10 5" xfId="8789" xr:uid="{00000000-0005-0000-0000-0000DB6D0000}"/>
    <cellStyle name="Normal 3 10 5 2" xfId="23267" xr:uid="{00000000-0005-0000-0000-0000DC6D0000}"/>
    <cellStyle name="Normal 3 10 6" xfId="31595" xr:uid="{00000000-0005-0000-0000-0000DD6D0000}"/>
    <cellStyle name="Normal 3 10 7" xfId="32918" xr:uid="{00000000-0005-0000-0000-0000DE6D0000}"/>
    <cellStyle name="Normal 3 10 8" xfId="32978" xr:uid="{00000000-0005-0000-0000-0000DF6D0000}"/>
    <cellStyle name="Normal 3 11" xfId="7302" xr:uid="{00000000-0005-0000-0000-0000E06D0000}"/>
    <cellStyle name="Normal 3 11 2" xfId="7303" xr:uid="{00000000-0005-0000-0000-0000E16D0000}"/>
    <cellStyle name="Normal 3 11 2 2" xfId="13254" xr:uid="{00000000-0005-0000-0000-0000E26D0000}"/>
    <cellStyle name="Normal 3 11 2 2 2" xfId="26890" xr:uid="{00000000-0005-0000-0000-0000E36D0000}"/>
    <cellStyle name="Normal 3 11 2 3" xfId="31599" xr:uid="{00000000-0005-0000-0000-0000E46D0000}"/>
    <cellStyle name="Normal 3 11 3" xfId="7304" xr:uid="{00000000-0005-0000-0000-0000E56D0000}"/>
    <cellStyle name="Normal 3 11 3 2" xfId="15696" xr:uid="{00000000-0005-0000-0000-0000E66D0000}"/>
    <cellStyle name="Normal 3 11 3 2 2" xfId="29182" xr:uid="{00000000-0005-0000-0000-0000E76D0000}"/>
    <cellStyle name="Normal 3 11 3 3" xfId="31600" xr:uid="{00000000-0005-0000-0000-0000E86D0000}"/>
    <cellStyle name="Normal 3 11 4" xfId="7305" xr:uid="{00000000-0005-0000-0000-0000E96D0000}"/>
    <cellStyle name="Normal 3 11 4 2" xfId="17370" xr:uid="{00000000-0005-0000-0000-0000EA6D0000}"/>
    <cellStyle name="Normal 3 11 4 2 2" xfId="30687" xr:uid="{00000000-0005-0000-0000-0000EB6D0000}"/>
    <cellStyle name="Normal 3 11 4 3" xfId="31601" xr:uid="{00000000-0005-0000-0000-0000EC6D0000}"/>
    <cellStyle name="Normal 3 11 5" xfId="8724" xr:uid="{00000000-0005-0000-0000-0000ED6D0000}"/>
    <cellStyle name="Normal 3 11 6" xfId="11549" xr:uid="{00000000-0005-0000-0000-0000EE6D0000}"/>
    <cellStyle name="Normal 3 11 6 2" xfId="25380" xr:uid="{00000000-0005-0000-0000-0000EF6D0000}"/>
    <cellStyle name="Normal 3 11 7" xfId="31598" xr:uid="{00000000-0005-0000-0000-0000F06D0000}"/>
    <cellStyle name="Normal 3 12" xfId="7306" xr:uid="{00000000-0005-0000-0000-0000F16D0000}"/>
    <cellStyle name="Normal 3 12 2" xfId="7307" xr:uid="{00000000-0005-0000-0000-0000F26D0000}"/>
    <cellStyle name="Normal 3 12 2 2" xfId="17372" xr:uid="{00000000-0005-0000-0000-0000F36D0000}"/>
    <cellStyle name="Normal 3 12 2 2 2" xfId="30688" xr:uid="{00000000-0005-0000-0000-0000F46D0000}"/>
    <cellStyle name="Normal 3 12 2 3" xfId="31603" xr:uid="{00000000-0005-0000-0000-0000F56D0000}"/>
    <cellStyle name="Normal 3 12 3" xfId="8723" xr:uid="{00000000-0005-0000-0000-0000F66D0000}"/>
    <cellStyle name="Normal 3 12 4" xfId="15805" xr:uid="{00000000-0005-0000-0000-0000F76D0000}"/>
    <cellStyle name="Normal 3 12 4 2" xfId="29212" xr:uid="{00000000-0005-0000-0000-0000F86D0000}"/>
    <cellStyle name="Normal 3 12 5" xfId="31602" xr:uid="{00000000-0005-0000-0000-0000F96D0000}"/>
    <cellStyle name="Normal 3 13" xfId="8655" xr:uid="{00000000-0005-0000-0000-0000FA6D0000}"/>
    <cellStyle name="Normal 3 13 2" xfId="32948" xr:uid="{00000000-0005-0000-0000-0000FB6D0000}"/>
    <cellStyle name="Normal 3 13 3" xfId="33006" xr:uid="{00000000-0005-0000-0000-0000FC6D0000}"/>
    <cellStyle name="Normal 3 14" xfId="7298" xr:uid="{00000000-0005-0000-0000-0000FD6D0000}"/>
    <cellStyle name="Normal 3 2" xfId="7308" xr:uid="{00000000-0005-0000-0000-0000FE6D0000}"/>
    <cellStyle name="Normal 3 2 10" xfId="7309" xr:uid="{00000000-0005-0000-0000-0000FF6D0000}"/>
    <cellStyle name="Normal 3 2 10 2" xfId="13255" xr:uid="{00000000-0005-0000-0000-0000006E0000}"/>
    <cellStyle name="Normal 3 2 10 2 2" xfId="26891" xr:uid="{00000000-0005-0000-0000-0000016E0000}"/>
    <cellStyle name="Normal 3 2 10 3" xfId="31604" xr:uid="{00000000-0005-0000-0000-0000026E0000}"/>
    <cellStyle name="Normal 3 2 11" xfId="7310" xr:uid="{00000000-0005-0000-0000-0000036E0000}"/>
    <cellStyle name="Normal 3 2 11 2" xfId="15697" xr:uid="{00000000-0005-0000-0000-0000046E0000}"/>
    <cellStyle name="Normal 3 2 11 2 2" xfId="29183" xr:uid="{00000000-0005-0000-0000-0000056E0000}"/>
    <cellStyle name="Normal 3 2 11 3" xfId="31605" xr:uid="{00000000-0005-0000-0000-0000066E0000}"/>
    <cellStyle name="Normal 3 2 12" xfId="7311" xr:uid="{00000000-0005-0000-0000-0000076E0000}"/>
    <cellStyle name="Normal 3 2 12 2" xfId="15806" xr:uid="{00000000-0005-0000-0000-0000086E0000}"/>
    <cellStyle name="Normal 3 2 12 2 2" xfId="29213" xr:uid="{00000000-0005-0000-0000-0000096E0000}"/>
    <cellStyle name="Normal 3 2 12 3" xfId="31606" xr:uid="{00000000-0005-0000-0000-00000A6E0000}"/>
    <cellStyle name="Normal 3 2 13" xfId="8683" xr:uid="{00000000-0005-0000-0000-00000B6E0000}"/>
    <cellStyle name="Normal 3 2 13 2" xfId="17308" xr:uid="{00000000-0005-0000-0000-00000C6E0000}"/>
    <cellStyle name="Normal 3 2 13 2 2" xfId="30661" xr:uid="{00000000-0005-0000-0000-00000D6E0000}"/>
    <cellStyle name="Normal 3 2 13 3" xfId="23213" xr:uid="{00000000-0005-0000-0000-00000E6E0000}"/>
    <cellStyle name="Normal 3 2 14" xfId="8792" xr:uid="{00000000-0005-0000-0000-00000F6E0000}"/>
    <cellStyle name="Normal 3 2 14 2" xfId="23270" xr:uid="{00000000-0005-0000-0000-0000106E0000}"/>
    <cellStyle name="Normal 3 2 15" xfId="32921" xr:uid="{00000000-0005-0000-0000-0000116E0000}"/>
    <cellStyle name="Normal 3 2 16" xfId="32981" xr:uid="{00000000-0005-0000-0000-0000126E0000}"/>
    <cellStyle name="Normal 3 2 17" xfId="33039" xr:uid="{00000000-0005-0000-0000-0000136E0000}"/>
    <cellStyle name="Normal 3 2 2" xfId="7312" xr:uid="{00000000-0005-0000-0000-0000146E0000}"/>
    <cellStyle name="Normal 3 2 2 10" xfId="7313" xr:uid="{00000000-0005-0000-0000-0000156E0000}"/>
    <cellStyle name="Normal 3 2 2 10 2" xfId="16423" xr:uid="{00000000-0005-0000-0000-0000166E0000}"/>
    <cellStyle name="Normal 3 2 2 10 2 2" xfId="29830" xr:uid="{00000000-0005-0000-0000-0000176E0000}"/>
    <cellStyle name="Normal 3 2 2 10 3" xfId="31608" xr:uid="{00000000-0005-0000-0000-0000186E0000}"/>
    <cellStyle name="Normal 3 2 2 11" xfId="8687" xr:uid="{00000000-0005-0000-0000-0000196E0000}"/>
    <cellStyle name="Normal 3 2 2 11 2" xfId="17312" xr:uid="{00000000-0005-0000-0000-00001A6E0000}"/>
    <cellStyle name="Normal 3 2 2 11 2 2" xfId="30665" xr:uid="{00000000-0005-0000-0000-00001B6E0000}"/>
    <cellStyle name="Normal 3 2 2 11 3" xfId="23217" xr:uid="{00000000-0005-0000-0000-00001C6E0000}"/>
    <cellStyle name="Normal 3 2 2 12" xfId="8796" xr:uid="{00000000-0005-0000-0000-00001D6E0000}"/>
    <cellStyle name="Normal 3 2 2 12 2" xfId="23274" xr:uid="{00000000-0005-0000-0000-00001E6E0000}"/>
    <cellStyle name="Normal 3 2 2 13" xfId="31607" xr:uid="{00000000-0005-0000-0000-00001F6E0000}"/>
    <cellStyle name="Normal 3 2 2 14" xfId="32925" xr:uid="{00000000-0005-0000-0000-0000206E0000}"/>
    <cellStyle name="Normal 3 2 2 15" xfId="32985" xr:uid="{00000000-0005-0000-0000-0000216E0000}"/>
    <cellStyle name="Normal 3 2 2 2" xfId="7314" xr:uid="{00000000-0005-0000-0000-0000226E0000}"/>
    <cellStyle name="Normal 3 2 2 2 2" xfId="7315" xr:uid="{00000000-0005-0000-0000-0000236E0000}"/>
    <cellStyle name="Normal 3 2 2 2 2 2" xfId="11552" xr:uid="{00000000-0005-0000-0000-0000246E0000}"/>
    <cellStyle name="Normal 3 2 2 2 2 2 2" xfId="25383" xr:uid="{00000000-0005-0000-0000-0000256E0000}"/>
    <cellStyle name="Normal 3 2 2 2 2 3" xfId="31610" xr:uid="{00000000-0005-0000-0000-0000266E0000}"/>
    <cellStyle name="Normal 3 2 2 2 3" xfId="7316" xr:uid="{00000000-0005-0000-0000-0000276E0000}"/>
    <cellStyle name="Normal 3 2 2 2 3 2" xfId="13257" xr:uid="{00000000-0005-0000-0000-0000286E0000}"/>
    <cellStyle name="Normal 3 2 2 2 3 2 2" xfId="26893" xr:uid="{00000000-0005-0000-0000-0000296E0000}"/>
    <cellStyle name="Normal 3 2 2 2 3 3" xfId="31611" xr:uid="{00000000-0005-0000-0000-00002A6E0000}"/>
    <cellStyle name="Normal 3 2 2 2 4" xfId="7317" xr:uid="{00000000-0005-0000-0000-00002B6E0000}"/>
    <cellStyle name="Normal 3 2 2 2 4 2" xfId="15699" xr:uid="{00000000-0005-0000-0000-00002C6E0000}"/>
    <cellStyle name="Normal 3 2 2 2 4 2 2" xfId="29185" xr:uid="{00000000-0005-0000-0000-00002D6E0000}"/>
    <cellStyle name="Normal 3 2 2 2 4 3" xfId="31612" xr:uid="{00000000-0005-0000-0000-00002E6E0000}"/>
    <cellStyle name="Normal 3 2 2 2 5" xfId="7318" xr:uid="{00000000-0005-0000-0000-00002F6E0000}"/>
    <cellStyle name="Normal 3 2 2 2 5 2" xfId="17041" xr:uid="{00000000-0005-0000-0000-0000306E0000}"/>
    <cellStyle name="Normal 3 2 2 2 5 2 2" xfId="30442" xr:uid="{00000000-0005-0000-0000-0000316E0000}"/>
    <cellStyle name="Normal 3 2 2 2 5 3" xfId="31613" xr:uid="{00000000-0005-0000-0000-0000326E0000}"/>
    <cellStyle name="Normal 3 2 2 2 6" xfId="10191" xr:uid="{00000000-0005-0000-0000-0000336E0000}"/>
    <cellStyle name="Normal 3 2 2 2 6 2" xfId="24396" xr:uid="{00000000-0005-0000-0000-0000346E0000}"/>
    <cellStyle name="Normal 3 2 2 2 7" xfId="31609" xr:uid="{00000000-0005-0000-0000-0000356E0000}"/>
    <cellStyle name="Normal 3 2 2 2 8" xfId="32951" xr:uid="{00000000-0005-0000-0000-0000366E0000}"/>
    <cellStyle name="Normal 3 2 2 2 9" xfId="33009" xr:uid="{00000000-0005-0000-0000-0000376E0000}"/>
    <cellStyle name="Normal 3 2 2 3" xfId="7319" xr:uid="{00000000-0005-0000-0000-0000386E0000}"/>
    <cellStyle name="Normal 3 2 2 3 2" xfId="7320" xr:uid="{00000000-0005-0000-0000-0000396E0000}"/>
    <cellStyle name="Normal 3 2 2 3 2 2" xfId="17004" xr:uid="{00000000-0005-0000-0000-00003A6E0000}"/>
    <cellStyle name="Normal 3 2 2 3 2 2 2" xfId="30411" xr:uid="{00000000-0005-0000-0000-00003B6E0000}"/>
    <cellStyle name="Normal 3 2 2 3 2 3" xfId="31615" xr:uid="{00000000-0005-0000-0000-00003C6E0000}"/>
    <cellStyle name="Normal 3 2 2 3 3" xfId="11551" xr:uid="{00000000-0005-0000-0000-00003D6E0000}"/>
    <cellStyle name="Normal 3 2 2 3 3 2" xfId="25382" xr:uid="{00000000-0005-0000-0000-00003E6E0000}"/>
    <cellStyle name="Normal 3 2 2 3 4" xfId="31614" xr:uid="{00000000-0005-0000-0000-00003F6E0000}"/>
    <cellStyle name="Normal 3 2 2 4" xfId="7321" xr:uid="{00000000-0005-0000-0000-0000406E0000}"/>
    <cellStyle name="Normal 3 2 2 4 2" xfId="12393" xr:uid="{00000000-0005-0000-0000-0000416E0000}"/>
    <cellStyle name="Normal 3 2 2 4 2 2" xfId="26105" xr:uid="{00000000-0005-0000-0000-0000426E0000}"/>
    <cellStyle name="Normal 3 2 2 4 3" xfId="31616" xr:uid="{00000000-0005-0000-0000-0000436E0000}"/>
    <cellStyle name="Normal 3 2 2 5" xfId="7322" xr:uid="{00000000-0005-0000-0000-0000446E0000}"/>
    <cellStyle name="Normal 3 2 2 5 2" xfId="13256" xr:uid="{00000000-0005-0000-0000-0000456E0000}"/>
    <cellStyle name="Normal 3 2 2 5 2 2" xfId="26892" xr:uid="{00000000-0005-0000-0000-0000466E0000}"/>
    <cellStyle name="Normal 3 2 2 5 3" xfId="31617" xr:uid="{00000000-0005-0000-0000-0000476E0000}"/>
    <cellStyle name="Normal 3 2 2 6" xfId="7323" xr:uid="{00000000-0005-0000-0000-0000486E0000}"/>
    <cellStyle name="Normal 3 2 2 6 2" xfId="13956" xr:uid="{00000000-0005-0000-0000-0000496E0000}"/>
    <cellStyle name="Normal 3 2 2 6 2 2" xfId="27505" xr:uid="{00000000-0005-0000-0000-00004A6E0000}"/>
    <cellStyle name="Normal 3 2 2 6 3" xfId="31618" xr:uid="{00000000-0005-0000-0000-00004B6E0000}"/>
    <cellStyle name="Normal 3 2 2 7" xfId="7324" xr:uid="{00000000-0005-0000-0000-00004C6E0000}"/>
    <cellStyle name="Normal 3 2 2 7 2" xfId="14537" xr:uid="{00000000-0005-0000-0000-00004D6E0000}"/>
    <cellStyle name="Normal 3 2 2 7 2 2" xfId="28086" xr:uid="{00000000-0005-0000-0000-00004E6E0000}"/>
    <cellStyle name="Normal 3 2 2 7 3" xfId="31619" xr:uid="{00000000-0005-0000-0000-00004F6E0000}"/>
    <cellStyle name="Normal 3 2 2 8" xfId="7325" xr:uid="{00000000-0005-0000-0000-0000506E0000}"/>
    <cellStyle name="Normal 3 2 2 8 2" xfId="15698" xr:uid="{00000000-0005-0000-0000-0000516E0000}"/>
    <cellStyle name="Normal 3 2 2 8 2 2" xfId="29184" xr:uid="{00000000-0005-0000-0000-0000526E0000}"/>
    <cellStyle name="Normal 3 2 2 8 3" xfId="31620" xr:uid="{00000000-0005-0000-0000-0000536E0000}"/>
    <cellStyle name="Normal 3 2 2 9" xfId="7326" xr:uid="{00000000-0005-0000-0000-0000546E0000}"/>
    <cellStyle name="Normal 3 2 2 9 2" xfId="15807" xr:uid="{00000000-0005-0000-0000-0000556E0000}"/>
    <cellStyle name="Normal 3 2 2 9 2 2" xfId="29214" xr:uid="{00000000-0005-0000-0000-0000566E0000}"/>
    <cellStyle name="Normal 3 2 2 9 3" xfId="31621" xr:uid="{00000000-0005-0000-0000-0000576E0000}"/>
    <cellStyle name="Normal 3 2 3" xfId="7327" xr:uid="{00000000-0005-0000-0000-0000586E0000}"/>
    <cellStyle name="Normal 3 2 3 10" xfId="32989" xr:uid="{00000000-0005-0000-0000-0000596E0000}"/>
    <cellStyle name="Normal 3 2 3 2" xfId="7328" xr:uid="{00000000-0005-0000-0000-00005A6E0000}"/>
    <cellStyle name="Normal 3 2 3 2 2" xfId="11553" xr:uid="{00000000-0005-0000-0000-00005B6E0000}"/>
    <cellStyle name="Normal 3 2 3 2 2 2" xfId="25384" xr:uid="{00000000-0005-0000-0000-00005C6E0000}"/>
    <cellStyle name="Normal 3 2 3 2 3" xfId="31623" xr:uid="{00000000-0005-0000-0000-00005D6E0000}"/>
    <cellStyle name="Normal 3 2 3 2 4" xfId="32952" xr:uid="{00000000-0005-0000-0000-00005E6E0000}"/>
    <cellStyle name="Normal 3 2 3 2 5" xfId="33010" xr:uid="{00000000-0005-0000-0000-00005F6E0000}"/>
    <cellStyle name="Normal 3 2 3 3" xfId="7329" xr:uid="{00000000-0005-0000-0000-0000606E0000}"/>
    <cellStyle name="Normal 3 2 3 3 2" xfId="13258" xr:uid="{00000000-0005-0000-0000-0000616E0000}"/>
    <cellStyle name="Normal 3 2 3 3 2 2" xfId="26894" xr:uid="{00000000-0005-0000-0000-0000626E0000}"/>
    <cellStyle name="Normal 3 2 3 3 3" xfId="31624" xr:uid="{00000000-0005-0000-0000-0000636E0000}"/>
    <cellStyle name="Normal 3 2 3 4" xfId="7330" xr:uid="{00000000-0005-0000-0000-0000646E0000}"/>
    <cellStyle name="Normal 3 2 3 4 2" xfId="15700" xr:uid="{00000000-0005-0000-0000-0000656E0000}"/>
    <cellStyle name="Normal 3 2 3 4 2 2" xfId="29186" xr:uid="{00000000-0005-0000-0000-0000666E0000}"/>
    <cellStyle name="Normal 3 2 3 4 3" xfId="31625" xr:uid="{00000000-0005-0000-0000-0000676E0000}"/>
    <cellStyle name="Normal 3 2 3 5" xfId="7331" xr:uid="{00000000-0005-0000-0000-0000686E0000}"/>
    <cellStyle name="Normal 3 2 3 5 2" xfId="15808" xr:uid="{00000000-0005-0000-0000-0000696E0000}"/>
    <cellStyle name="Normal 3 2 3 5 2 2" xfId="29215" xr:uid="{00000000-0005-0000-0000-00006A6E0000}"/>
    <cellStyle name="Normal 3 2 3 5 3" xfId="31626" xr:uid="{00000000-0005-0000-0000-00006B6E0000}"/>
    <cellStyle name="Normal 3 2 3 6" xfId="8691" xr:uid="{00000000-0005-0000-0000-00006C6E0000}"/>
    <cellStyle name="Normal 3 2 3 6 2" xfId="17316" xr:uid="{00000000-0005-0000-0000-00006D6E0000}"/>
    <cellStyle name="Normal 3 2 3 6 2 2" xfId="30669" xr:uid="{00000000-0005-0000-0000-00006E6E0000}"/>
    <cellStyle name="Normal 3 2 3 6 3" xfId="23221" xr:uid="{00000000-0005-0000-0000-00006F6E0000}"/>
    <cellStyle name="Normal 3 2 3 7" xfId="8800" xr:uid="{00000000-0005-0000-0000-0000706E0000}"/>
    <cellStyle name="Normal 3 2 3 7 2" xfId="23278" xr:uid="{00000000-0005-0000-0000-0000716E0000}"/>
    <cellStyle name="Normal 3 2 3 8" xfId="31622" xr:uid="{00000000-0005-0000-0000-0000726E0000}"/>
    <cellStyle name="Normal 3 2 3 9" xfId="32929" xr:uid="{00000000-0005-0000-0000-0000736E0000}"/>
    <cellStyle name="Normal 3 2 4" xfId="7332" xr:uid="{00000000-0005-0000-0000-0000746E0000}"/>
    <cellStyle name="Normal 3 2 4 10" xfId="32997" xr:uid="{00000000-0005-0000-0000-0000756E0000}"/>
    <cellStyle name="Normal 3 2 4 2" xfId="7333" xr:uid="{00000000-0005-0000-0000-0000766E0000}"/>
    <cellStyle name="Normal 3 2 4 2 2" xfId="11554" xr:uid="{00000000-0005-0000-0000-0000776E0000}"/>
    <cellStyle name="Normal 3 2 4 2 2 2" xfId="25385" xr:uid="{00000000-0005-0000-0000-0000786E0000}"/>
    <cellStyle name="Normal 3 2 4 2 3" xfId="31628" xr:uid="{00000000-0005-0000-0000-0000796E0000}"/>
    <cellStyle name="Normal 3 2 4 2 4" xfId="32953" xr:uid="{00000000-0005-0000-0000-00007A6E0000}"/>
    <cellStyle name="Normal 3 2 4 2 5" xfId="33011" xr:uid="{00000000-0005-0000-0000-00007B6E0000}"/>
    <cellStyle name="Normal 3 2 4 3" xfId="7334" xr:uid="{00000000-0005-0000-0000-00007C6E0000}"/>
    <cellStyle name="Normal 3 2 4 3 2" xfId="13259" xr:uid="{00000000-0005-0000-0000-00007D6E0000}"/>
    <cellStyle name="Normal 3 2 4 3 2 2" xfId="26895" xr:uid="{00000000-0005-0000-0000-00007E6E0000}"/>
    <cellStyle name="Normal 3 2 4 3 3" xfId="31629" xr:uid="{00000000-0005-0000-0000-00007F6E0000}"/>
    <cellStyle name="Normal 3 2 4 4" xfId="7335" xr:uid="{00000000-0005-0000-0000-0000806E0000}"/>
    <cellStyle name="Normal 3 2 4 4 2" xfId="15701" xr:uid="{00000000-0005-0000-0000-0000816E0000}"/>
    <cellStyle name="Normal 3 2 4 4 2 2" xfId="29187" xr:uid="{00000000-0005-0000-0000-0000826E0000}"/>
    <cellStyle name="Normal 3 2 4 4 3" xfId="31630" xr:uid="{00000000-0005-0000-0000-0000836E0000}"/>
    <cellStyle name="Normal 3 2 4 5" xfId="7336" xr:uid="{00000000-0005-0000-0000-0000846E0000}"/>
    <cellStyle name="Normal 3 2 4 5 2" xfId="15809" xr:uid="{00000000-0005-0000-0000-0000856E0000}"/>
    <cellStyle name="Normal 3 2 4 5 2 2" xfId="29216" xr:uid="{00000000-0005-0000-0000-0000866E0000}"/>
    <cellStyle name="Normal 3 2 4 5 3" xfId="31631" xr:uid="{00000000-0005-0000-0000-0000876E0000}"/>
    <cellStyle name="Normal 3 2 4 6" xfId="8706" xr:uid="{00000000-0005-0000-0000-0000886E0000}"/>
    <cellStyle name="Normal 3 2 4 6 2" xfId="17324" xr:uid="{00000000-0005-0000-0000-0000896E0000}"/>
    <cellStyle name="Normal 3 2 4 6 2 2" xfId="30677" xr:uid="{00000000-0005-0000-0000-00008A6E0000}"/>
    <cellStyle name="Normal 3 2 4 6 3" xfId="23229" xr:uid="{00000000-0005-0000-0000-00008B6E0000}"/>
    <cellStyle name="Normal 3 2 4 7" xfId="8808" xr:uid="{00000000-0005-0000-0000-00008C6E0000}"/>
    <cellStyle name="Normal 3 2 4 7 2" xfId="23286" xr:uid="{00000000-0005-0000-0000-00008D6E0000}"/>
    <cellStyle name="Normal 3 2 4 8" xfId="31627" xr:uid="{00000000-0005-0000-0000-00008E6E0000}"/>
    <cellStyle name="Normal 3 2 4 9" xfId="32937" xr:uid="{00000000-0005-0000-0000-00008F6E0000}"/>
    <cellStyle name="Normal 3 2 5" xfId="7337" xr:uid="{00000000-0005-0000-0000-0000906E0000}"/>
    <cellStyle name="Normal 3 2 5 10" xfId="32992" xr:uid="{00000000-0005-0000-0000-0000916E0000}"/>
    <cellStyle name="Normal 3 2 5 2" xfId="7338" xr:uid="{00000000-0005-0000-0000-0000926E0000}"/>
    <cellStyle name="Normal 3 2 5 2 2" xfId="11555" xr:uid="{00000000-0005-0000-0000-0000936E0000}"/>
    <cellStyle name="Normal 3 2 5 2 2 2" xfId="25386" xr:uid="{00000000-0005-0000-0000-0000946E0000}"/>
    <cellStyle name="Normal 3 2 5 2 3" xfId="31633" xr:uid="{00000000-0005-0000-0000-0000956E0000}"/>
    <cellStyle name="Normal 3 2 5 2 4" xfId="32954" xr:uid="{00000000-0005-0000-0000-0000966E0000}"/>
    <cellStyle name="Normal 3 2 5 2 5" xfId="33012" xr:uid="{00000000-0005-0000-0000-0000976E0000}"/>
    <cellStyle name="Normal 3 2 5 3" xfId="7339" xr:uid="{00000000-0005-0000-0000-0000986E0000}"/>
    <cellStyle name="Normal 3 2 5 3 2" xfId="13260" xr:uid="{00000000-0005-0000-0000-0000996E0000}"/>
    <cellStyle name="Normal 3 2 5 3 2 2" xfId="26896" xr:uid="{00000000-0005-0000-0000-00009A6E0000}"/>
    <cellStyle name="Normal 3 2 5 3 3" xfId="31634" xr:uid="{00000000-0005-0000-0000-00009B6E0000}"/>
    <cellStyle name="Normal 3 2 5 4" xfId="7340" xr:uid="{00000000-0005-0000-0000-00009C6E0000}"/>
    <cellStyle name="Normal 3 2 5 4 2" xfId="15702" xr:uid="{00000000-0005-0000-0000-00009D6E0000}"/>
    <cellStyle name="Normal 3 2 5 4 2 2" xfId="29188" xr:uid="{00000000-0005-0000-0000-00009E6E0000}"/>
    <cellStyle name="Normal 3 2 5 4 3" xfId="31635" xr:uid="{00000000-0005-0000-0000-00009F6E0000}"/>
    <cellStyle name="Normal 3 2 5 5" xfId="7341" xr:uid="{00000000-0005-0000-0000-0000A06E0000}"/>
    <cellStyle name="Normal 3 2 5 5 2" xfId="15810" xr:uid="{00000000-0005-0000-0000-0000A16E0000}"/>
    <cellStyle name="Normal 3 2 5 5 2 2" xfId="29217" xr:uid="{00000000-0005-0000-0000-0000A26E0000}"/>
    <cellStyle name="Normal 3 2 5 5 3" xfId="31636" xr:uid="{00000000-0005-0000-0000-0000A36E0000}"/>
    <cellStyle name="Normal 3 2 5 6" xfId="8696" xr:uid="{00000000-0005-0000-0000-0000A46E0000}"/>
    <cellStyle name="Normal 3 2 5 6 2" xfId="17319" xr:uid="{00000000-0005-0000-0000-0000A56E0000}"/>
    <cellStyle name="Normal 3 2 5 6 2 2" xfId="30672" xr:uid="{00000000-0005-0000-0000-0000A66E0000}"/>
    <cellStyle name="Normal 3 2 5 6 3" xfId="23224" xr:uid="{00000000-0005-0000-0000-0000A76E0000}"/>
    <cellStyle name="Normal 3 2 5 7" xfId="8803" xr:uid="{00000000-0005-0000-0000-0000A86E0000}"/>
    <cellStyle name="Normal 3 2 5 7 2" xfId="23281" xr:uid="{00000000-0005-0000-0000-0000A96E0000}"/>
    <cellStyle name="Normal 3 2 5 8" xfId="31632" xr:uid="{00000000-0005-0000-0000-0000AA6E0000}"/>
    <cellStyle name="Normal 3 2 5 9" xfId="32932" xr:uid="{00000000-0005-0000-0000-0000AB6E0000}"/>
    <cellStyle name="Normal 3 2 6" xfId="7342" xr:uid="{00000000-0005-0000-0000-0000AC6E0000}"/>
    <cellStyle name="Normal 3 2 6 2" xfId="8718" xr:uid="{00000000-0005-0000-0000-0000AD6E0000}"/>
    <cellStyle name="Normal 3 2 7" xfId="7343" xr:uid="{00000000-0005-0000-0000-0000AE6E0000}"/>
    <cellStyle name="Normal 3 2 7 2" xfId="7344" xr:uid="{00000000-0005-0000-0000-0000AF6E0000}"/>
    <cellStyle name="Normal 3 2 7 2 2" xfId="10193" xr:uid="{00000000-0005-0000-0000-0000B06E0000}"/>
    <cellStyle name="Normal 3 2 7 3" xfId="7345" xr:uid="{00000000-0005-0000-0000-0000B16E0000}"/>
    <cellStyle name="Normal 3 2 7 3 2" xfId="7346" xr:uid="{00000000-0005-0000-0000-0000B26E0000}"/>
    <cellStyle name="Normal 3 2 7 3 2 2" xfId="13261" xr:uid="{00000000-0005-0000-0000-0000B36E0000}"/>
    <cellStyle name="Normal 3 2 7 3 3" xfId="11736" xr:uid="{00000000-0005-0000-0000-0000B46E0000}"/>
    <cellStyle name="Normal 3 2 7 3 3 2" xfId="25452" xr:uid="{00000000-0005-0000-0000-0000B56E0000}"/>
    <cellStyle name="Normal 3 2 7 4" xfId="10192" xr:uid="{00000000-0005-0000-0000-0000B66E0000}"/>
    <cellStyle name="Normal 3 2 7 5" xfId="32950" xr:uid="{00000000-0005-0000-0000-0000B76E0000}"/>
    <cellStyle name="Normal 3 2 7 6" xfId="33008" xr:uid="{00000000-0005-0000-0000-0000B86E0000}"/>
    <cellStyle name="Normal 3 2 8" xfId="7347" xr:uid="{00000000-0005-0000-0000-0000B96E0000}"/>
    <cellStyle name="Normal 3 2 8 2" xfId="7348" xr:uid="{00000000-0005-0000-0000-0000BA6E0000}"/>
    <cellStyle name="Normal 3 2 8 2 2" xfId="13262" xr:uid="{00000000-0005-0000-0000-0000BB6E0000}"/>
    <cellStyle name="Normal 3 2 8 3" xfId="10522" xr:uid="{00000000-0005-0000-0000-0000BC6E0000}"/>
    <cellStyle name="Normal 3 2 9" xfId="7349" xr:uid="{00000000-0005-0000-0000-0000BD6E0000}"/>
    <cellStyle name="Normal 3 2 9 2" xfId="7350" xr:uid="{00000000-0005-0000-0000-0000BE6E0000}"/>
    <cellStyle name="Normal 3 2 9 2 2" xfId="13263" xr:uid="{00000000-0005-0000-0000-0000BF6E0000}"/>
    <cellStyle name="Normal 3 2 9 2 2 2" xfId="26897" xr:uid="{00000000-0005-0000-0000-0000C06E0000}"/>
    <cellStyle name="Normal 3 2 9 2 3" xfId="31638" xr:uid="{00000000-0005-0000-0000-0000C16E0000}"/>
    <cellStyle name="Normal 3 2 9 3" xfId="7351" xr:uid="{00000000-0005-0000-0000-0000C26E0000}"/>
    <cellStyle name="Normal 3 2 9 3 2" xfId="15703" xr:uid="{00000000-0005-0000-0000-0000C36E0000}"/>
    <cellStyle name="Normal 3 2 9 3 2 2" xfId="29189" xr:uid="{00000000-0005-0000-0000-0000C46E0000}"/>
    <cellStyle name="Normal 3 2 9 3 3" xfId="31639" xr:uid="{00000000-0005-0000-0000-0000C56E0000}"/>
    <cellStyle name="Normal 3 2 9 4" xfId="11550" xr:uid="{00000000-0005-0000-0000-0000C66E0000}"/>
    <cellStyle name="Normal 3 2 9 4 2" xfId="25381" xr:uid="{00000000-0005-0000-0000-0000C76E0000}"/>
    <cellStyle name="Normal 3 2 9 5" xfId="31637" xr:uid="{00000000-0005-0000-0000-0000C86E0000}"/>
    <cellStyle name="Normal 3 3" xfId="7352" xr:uid="{00000000-0005-0000-0000-0000C96E0000}"/>
    <cellStyle name="Normal 3 3 10" xfId="7353" xr:uid="{00000000-0005-0000-0000-0000CA6E0000}"/>
    <cellStyle name="Normal 3 3 10 2" xfId="7354" xr:uid="{00000000-0005-0000-0000-0000CB6E0000}"/>
    <cellStyle name="Normal 3 3 10 2 2" xfId="17203" xr:uid="{00000000-0005-0000-0000-0000CC6E0000}"/>
    <cellStyle name="Normal 3 3 10 2 2 2" xfId="30562" xr:uid="{00000000-0005-0000-0000-0000CD6E0000}"/>
    <cellStyle name="Normal 3 3 10 2 3" xfId="31642" xr:uid="{00000000-0005-0000-0000-0000CE6E0000}"/>
    <cellStyle name="Normal 3 3 10 3" xfId="13430" xr:uid="{00000000-0005-0000-0000-0000CF6E0000}"/>
    <cellStyle name="Normal 3 3 10 3 2" xfId="26979" xr:uid="{00000000-0005-0000-0000-0000D06E0000}"/>
    <cellStyle name="Normal 3 3 10 4" xfId="31641" xr:uid="{00000000-0005-0000-0000-0000D16E0000}"/>
    <cellStyle name="Normal 3 3 11" xfId="7355" xr:uid="{00000000-0005-0000-0000-0000D26E0000}"/>
    <cellStyle name="Normal 3 3 11 2" xfId="7356" xr:uid="{00000000-0005-0000-0000-0000D36E0000}"/>
    <cellStyle name="Normal 3 3 11 2 2" xfId="17292" xr:uid="{00000000-0005-0000-0000-0000D46E0000}"/>
    <cellStyle name="Normal 3 3 11 2 2 2" xfId="30651" xr:uid="{00000000-0005-0000-0000-0000D56E0000}"/>
    <cellStyle name="Normal 3 3 11 2 3" xfId="31644" xr:uid="{00000000-0005-0000-0000-0000D66E0000}"/>
    <cellStyle name="Normal 3 3 11 3" xfId="14011" xr:uid="{00000000-0005-0000-0000-0000D76E0000}"/>
    <cellStyle name="Normal 3 3 11 3 2" xfId="27560" xr:uid="{00000000-0005-0000-0000-0000D86E0000}"/>
    <cellStyle name="Normal 3 3 11 4" xfId="31643" xr:uid="{00000000-0005-0000-0000-0000D96E0000}"/>
    <cellStyle name="Normal 3 3 12" xfId="7357" xr:uid="{00000000-0005-0000-0000-0000DA6E0000}"/>
    <cellStyle name="Normal 3 3 12 2" xfId="7358" xr:uid="{00000000-0005-0000-0000-0000DB6E0000}"/>
    <cellStyle name="Normal 3 3 12 2 2" xfId="16478" xr:uid="{00000000-0005-0000-0000-0000DC6E0000}"/>
    <cellStyle name="Normal 3 3 12 2 2 2" xfId="29885" xr:uid="{00000000-0005-0000-0000-0000DD6E0000}"/>
    <cellStyle name="Normal 3 3 12 2 3" xfId="31646" xr:uid="{00000000-0005-0000-0000-0000DE6E0000}"/>
    <cellStyle name="Normal 3 3 12 3" xfId="15811" xr:uid="{00000000-0005-0000-0000-0000DF6E0000}"/>
    <cellStyle name="Normal 3 3 12 3 2" xfId="29218" xr:uid="{00000000-0005-0000-0000-0000E06E0000}"/>
    <cellStyle name="Normal 3 3 12 4" xfId="31645" xr:uid="{00000000-0005-0000-0000-0000E16E0000}"/>
    <cellStyle name="Normal 3 3 13" xfId="7359" xr:uid="{00000000-0005-0000-0000-0000E26E0000}"/>
    <cellStyle name="Normal 3 3 13 2" xfId="15897" xr:uid="{00000000-0005-0000-0000-0000E36E0000}"/>
    <cellStyle name="Normal 3 3 13 2 2" xfId="29304" xr:uid="{00000000-0005-0000-0000-0000E46E0000}"/>
    <cellStyle name="Normal 3 3 13 3" xfId="31647" xr:uid="{00000000-0005-0000-0000-0000E56E0000}"/>
    <cellStyle name="Normal 3 3 14" xfId="8684" xr:uid="{00000000-0005-0000-0000-0000E66E0000}"/>
    <cellStyle name="Normal 3 3 14 2" xfId="17309" xr:uid="{00000000-0005-0000-0000-0000E76E0000}"/>
    <cellStyle name="Normal 3 3 14 2 2" xfId="30662" xr:uid="{00000000-0005-0000-0000-0000E86E0000}"/>
    <cellStyle name="Normal 3 3 14 3" xfId="23214" xr:uid="{00000000-0005-0000-0000-0000E96E0000}"/>
    <cellStyle name="Normal 3 3 15" xfId="8793" xr:uid="{00000000-0005-0000-0000-0000EA6E0000}"/>
    <cellStyle name="Normal 3 3 15 2" xfId="23271" xr:uid="{00000000-0005-0000-0000-0000EB6E0000}"/>
    <cellStyle name="Normal 3 3 16" xfId="31640" xr:uid="{00000000-0005-0000-0000-0000EC6E0000}"/>
    <cellStyle name="Normal 3 3 17" xfId="32922" xr:uid="{00000000-0005-0000-0000-0000ED6E0000}"/>
    <cellStyle name="Normal 3 3 18" xfId="32982" xr:uid="{00000000-0005-0000-0000-0000EE6E0000}"/>
    <cellStyle name="Normal 3 3 2" xfId="7360" xr:uid="{00000000-0005-0000-0000-0000EF6E0000}"/>
    <cellStyle name="Normal 3 3 2 10" xfId="10194" xr:uid="{00000000-0005-0000-0000-0000F06E0000}"/>
    <cellStyle name="Normal 3 3 2 10 2" xfId="24397" xr:uid="{00000000-0005-0000-0000-0000F16E0000}"/>
    <cellStyle name="Normal 3 3 2 11" xfId="31648" xr:uid="{00000000-0005-0000-0000-0000F26E0000}"/>
    <cellStyle name="Normal 3 3 2 12" xfId="32955" xr:uid="{00000000-0005-0000-0000-0000F36E0000}"/>
    <cellStyle name="Normal 3 3 2 13" xfId="33013" xr:uid="{00000000-0005-0000-0000-0000F46E0000}"/>
    <cellStyle name="Normal 3 3 2 2" xfId="7361" xr:uid="{00000000-0005-0000-0000-0000F56E0000}"/>
    <cellStyle name="Normal 3 3 2 2 10" xfId="31649" xr:uid="{00000000-0005-0000-0000-0000F66E0000}"/>
    <cellStyle name="Normal 3 3 2 2 2" xfId="7362" xr:uid="{00000000-0005-0000-0000-0000F76E0000}"/>
    <cellStyle name="Normal 3 3 2 2 2 2" xfId="7363" xr:uid="{00000000-0005-0000-0000-0000F86E0000}"/>
    <cellStyle name="Normal 3 3 2 2 2 2 2" xfId="7364" xr:uid="{00000000-0005-0000-0000-0000F96E0000}"/>
    <cellStyle name="Normal 3 3 2 2 2 2 2 2" xfId="7365" xr:uid="{00000000-0005-0000-0000-0000FA6E0000}"/>
    <cellStyle name="Normal 3 3 2 2 2 2 2 2 2" xfId="16979" xr:uid="{00000000-0005-0000-0000-0000FB6E0000}"/>
    <cellStyle name="Normal 3 3 2 2 2 2 2 2 2 2" xfId="30386" xr:uid="{00000000-0005-0000-0000-0000FC6E0000}"/>
    <cellStyle name="Normal 3 3 2 2 2 2 2 2 3" xfId="31653" xr:uid="{00000000-0005-0000-0000-0000FD6E0000}"/>
    <cellStyle name="Normal 3 3 2 2 2 2 2 3" xfId="11560" xr:uid="{00000000-0005-0000-0000-0000FE6E0000}"/>
    <cellStyle name="Normal 3 3 2 2 2 2 2 3 2" xfId="25391" xr:uid="{00000000-0005-0000-0000-0000FF6E0000}"/>
    <cellStyle name="Normal 3 3 2 2 2 2 2 4" xfId="31652" xr:uid="{00000000-0005-0000-0000-0000006F0000}"/>
    <cellStyle name="Normal 3 3 2 2 2 2 3" xfId="7366" xr:uid="{00000000-0005-0000-0000-0000016F0000}"/>
    <cellStyle name="Normal 3 3 2 2 2 2 3 2" xfId="12367" xr:uid="{00000000-0005-0000-0000-0000026F0000}"/>
    <cellStyle name="Normal 3 3 2 2 2 2 3 2 2" xfId="26079" xr:uid="{00000000-0005-0000-0000-0000036F0000}"/>
    <cellStyle name="Normal 3 3 2 2 2 2 3 3" xfId="31654" xr:uid="{00000000-0005-0000-0000-0000046F0000}"/>
    <cellStyle name="Normal 3 3 2 2 2 2 4" xfId="7367" xr:uid="{00000000-0005-0000-0000-0000056F0000}"/>
    <cellStyle name="Normal 3 3 2 2 2 2 4 2" xfId="13931" xr:uid="{00000000-0005-0000-0000-0000066F0000}"/>
    <cellStyle name="Normal 3 3 2 2 2 2 4 2 2" xfId="27480" xr:uid="{00000000-0005-0000-0000-0000076F0000}"/>
    <cellStyle name="Normal 3 3 2 2 2 2 4 3" xfId="31655" xr:uid="{00000000-0005-0000-0000-0000086F0000}"/>
    <cellStyle name="Normal 3 3 2 2 2 2 5" xfId="7368" xr:uid="{00000000-0005-0000-0000-0000096F0000}"/>
    <cellStyle name="Normal 3 3 2 2 2 2 5 2" xfId="14512" xr:uid="{00000000-0005-0000-0000-00000A6F0000}"/>
    <cellStyle name="Normal 3 3 2 2 2 2 5 2 2" xfId="28061" xr:uid="{00000000-0005-0000-0000-00000B6F0000}"/>
    <cellStyle name="Normal 3 3 2 2 2 2 5 3" xfId="31656" xr:uid="{00000000-0005-0000-0000-00000C6F0000}"/>
    <cellStyle name="Normal 3 3 2 2 2 2 6" xfId="7369" xr:uid="{00000000-0005-0000-0000-00000D6F0000}"/>
    <cellStyle name="Normal 3 3 2 2 2 2 6 2" xfId="16398" xr:uid="{00000000-0005-0000-0000-00000E6F0000}"/>
    <cellStyle name="Normal 3 3 2 2 2 2 6 2 2" xfId="29805" xr:uid="{00000000-0005-0000-0000-00000F6F0000}"/>
    <cellStyle name="Normal 3 3 2 2 2 2 6 3" xfId="31657" xr:uid="{00000000-0005-0000-0000-0000106F0000}"/>
    <cellStyle name="Normal 3 3 2 2 2 2 7" xfId="10197" xr:uid="{00000000-0005-0000-0000-0000116F0000}"/>
    <cellStyle name="Normal 3 3 2 2 2 2 7 2" xfId="24400" xr:uid="{00000000-0005-0000-0000-0000126F0000}"/>
    <cellStyle name="Normal 3 3 2 2 2 2 8" xfId="31651" xr:uid="{00000000-0005-0000-0000-0000136F0000}"/>
    <cellStyle name="Normal 3 3 2 2 2 3" xfId="7370" xr:uid="{00000000-0005-0000-0000-0000146F0000}"/>
    <cellStyle name="Normal 3 3 2 2 2 3 2" xfId="7371" xr:uid="{00000000-0005-0000-0000-0000156F0000}"/>
    <cellStyle name="Normal 3 3 2 2 2 3 2 2" xfId="16690" xr:uid="{00000000-0005-0000-0000-0000166F0000}"/>
    <cellStyle name="Normal 3 3 2 2 2 3 2 2 2" xfId="30097" xr:uid="{00000000-0005-0000-0000-0000176F0000}"/>
    <cellStyle name="Normal 3 3 2 2 2 3 2 3" xfId="31659" xr:uid="{00000000-0005-0000-0000-0000186F0000}"/>
    <cellStyle name="Normal 3 3 2 2 2 3 3" xfId="11559" xr:uid="{00000000-0005-0000-0000-0000196F0000}"/>
    <cellStyle name="Normal 3 3 2 2 2 3 3 2" xfId="25390" xr:uid="{00000000-0005-0000-0000-00001A6F0000}"/>
    <cellStyle name="Normal 3 3 2 2 2 3 4" xfId="31658" xr:uid="{00000000-0005-0000-0000-00001B6F0000}"/>
    <cellStyle name="Normal 3 3 2 2 2 4" xfId="7372" xr:uid="{00000000-0005-0000-0000-00001C6F0000}"/>
    <cellStyle name="Normal 3 3 2 2 2 4 2" xfId="12067" xr:uid="{00000000-0005-0000-0000-00001D6F0000}"/>
    <cellStyle name="Normal 3 3 2 2 2 4 2 2" xfId="25782" xr:uid="{00000000-0005-0000-0000-00001E6F0000}"/>
    <cellStyle name="Normal 3 3 2 2 2 4 3" xfId="31660" xr:uid="{00000000-0005-0000-0000-00001F6F0000}"/>
    <cellStyle name="Normal 3 3 2 2 2 5" xfId="7373" xr:uid="{00000000-0005-0000-0000-0000206F0000}"/>
    <cellStyle name="Normal 3 3 2 2 2 5 2" xfId="13642" xr:uid="{00000000-0005-0000-0000-0000216F0000}"/>
    <cellStyle name="Normal 3 3 2 2 2 5 2 2" xfId="27191" xr:uid="{00000000-0005-0000-0000-0000226F0000}"/>
    <cellStyle name="Normal 3 3 2 2 2 5 3" xfId="31661" xr:uid="{00000000-0005-0000-0000-0000236F0000}"/>
    <cellStyle name="Normal 3 3 2 2 2 6" xfId="7374" xr:uid="{00000000-0005-0000-0000-0000246F0000}"/>
    <cellStyle name="Normal 3 3 2 2 2 6 2" xfId="14223" xr:uid="{00000000-0005-0000-0000-0000256F0000}"/>
    <cellStyle name="Normal 3 3 2 2 2 6 2 2" xfId="27772" xr:uid="{00000000-0005-0000-0000-0000266F0000}"/>
    <cellStyle name="Normal 3 3 2 2 2 6 3" xfId="31662" xr:uid="{00000000-0005-0000-0000-0000276F0000}"/>
    <cellStyle name="Normal 3 3 2 2 2 7" xfId="7375" xr:uid="{00000000-0005-0000-0000-0000286F0000}"/>
    <cellStyle name="Normal 3 3 2 2 2 7 2" xfId="16109" xr:uid="{00000000-0005-0000-0000-0000296F0000}"/>
    <cellStyle name="Normal 3 3 2 2 2 7 2 2" xfId="29516" xr:uid="{00000000-0005-0000-0000-00002A6F0000}"/>
    <cellStyle name="Normal 3 3 2 2 2 7 3" xfId="31663" xr:uid="{00000000-0005-0000-0000-00002B6F0000}"/>
    <cellStyle name="Normal 3 3 2 2 2 8" xfId="10196" xr:uid="{00000000-0005-0000-0000-00002C6F0000}"/>
    <cellStyle name="Normal 3 3 2 2 2 8 2" xfId="24399" xr:uid="{00000000-0005-0000-0000-00002D6F0000}"/>
    <cellStyle name="Normal 3 3 2 2 2 9" xfId="31650" xr:uid="{00000000-0005-0000-0000-00002E6F0000}"/>
    <cellStyle name="Normal 3 3 2 2 3" xfId="7376" xr:uid="{00000000-0005-0000-0000-00002F6F0000}"/>
    <cellStyle name="Normal 3 3 2 2 3 2" xfId="7377" xr:uid="{00000000-0005-0000-0000-0000306F0000}"/>
    <cellStyle name="Normal 3 3 2 2 3 2 2" xfId="7378" xr:uid="{00000000-0005-0000-0000-0000316F0000}"/>
    <cellStyle name="Normal 3 3 2 2 3 2 2 2" xfId="16836" xr:uid="{00000000-0005-0000-0000-0000326F0000}"/>
    <cellStyle name="Normal 3 3 2 2 3 2 2 2 2" xfId="30243" xr:uid="{00000000-0005-0000-0000-0000336F0000}"/>
    <cellStyle name="Normal 3 3 2 2 3 2 2 3" xfId="31666" xr:uid="{00000000-0005-0000-0000-0000346F0000}"/>
    <cellStyle name="Normal 3 3 2 2 3 2 3" xfId="11561" xr:uid="{00000000-0005-0000-0000-0000356F0000}"/>
    <cellStyle name="Normal 3 3 2 2 3 2 3 2" xfId="25392" xr:uid="{00000000-0005-0000-0000-0000366F0000}"/>
    <cellStyle name="Normal 3 3 2 2 3 2 4" xfId="31665" xr:uid="{00000000-0005-0000-0000-0000376F0000}"/>
    <cellStyle name="Normal 3 3 2 2 3 3" xfId="7379" xr:uid="{00000000-0005-0000-0000-0000386F0000}"/>
    <cellStyle name="Normal 3 3 2 2 3 3 2" xfId="12224" xr:uid="{00000000-0005-0000-0000-0000396F0000}"/>
    <cellStyle name="Normal 3 3 2 2 3 3 2 2" xfId="25936" xr:uid="{00000000-0005-0000-0000-00003A6F0000}"/>
    <cellStyle name="Normal 3 3 2 2 3 3 3" xfId="31667" xr:uid="{00000000-0005-0000-0000-00003B6F0000}"/>
    <cellStyle name="Normal 3 3 2 2 3 4" xfId="7380" xr:uid="{00000000-0005-0000-0000-00003C6F0000}"/>
    <cellStyle name="Normal 3 3 2 2 3 4 2" xfId="13788" xr:uid="{00000000-0005-0000-0000-00003D6F0000}"/>
    <cellStyle name="Normal 3 3 2 2 3 4 2 2" xfId="27337" xr:uid="{00000000-0005-0000-0000-00003E6F0000}"/>
    <cellStyle name="Normal 3 3 2 2 3 4 3" xfId="31668" xr:uid="{00000000-0005-0000-0000-00003F6F0000}"/>
    <cellStyle name="Normal 3 3 2 2 3 5" xfId="7381" xr:uid="{00000000-0005-0000-0000-0000406F0000}"/>
    <cellStyle name="Normal 3 3 2 2 3 5 2" xfId="14369" xr:uid="{00000000-0005-0000-0000-0000416F0000}"/>
    <cellStyle name="Normal 3 3 2 2 3 5 2 2" xfId="27918" xr:uid="{00000000-0005-0000-0000-0000426F0000}"/>
    <cellStyle name="Normal 3 3 2 2 3 5 3" xfId="31669" xr:uid="{00000000-0005-0000-0000-0000436F0000}"/>
    <cellStyle name="Normal 3 3 2 2 3 6" xfId="7382" xr:uid="{00000000-0005-0000-0000-0000446F0000}"/>
    <cellStyle name="Normal 3 3 2 2 3 6 2" xfId="16255" xr:uid="{00000000-0005-0000-0000-0000456F0000}"/>
    <cellStyle name="Normal 3 3 2 2 3 6 2 2" xfId="29662" xr:uid="{00000000-0005-0000-0000-0000466F0000}"/>
    <cellStyle name="Normal 3 3 2 2 3 6 3" xfId="31670" xr:uid="{00000000-0005-0000-0000-0000476F0000}"/>
    <cellStyle name="Normal 3 3 2 2 3 7" xfId="10198" xr:uid="{00000000-0005-0000-0000-0000486F0000}"/>
    <cellStyle name="Normal 3 3 2 2 3 7 2" xfId="24401" xr:uid="{00000000-0005-0000-0000-0000496F0000}"/>
    <cellStyle name="Normal 3 3 2 2 3 8" xfId="31664" xr:uid="{00000000-0005-0000-0000-00004A6F0000}"/>
    <cellStyle name="Normal 3 3 2 2 4" xfId="7383" xr:uid="{00000000-0005-0000-0000-00004B6F0000}"/>
    <cellStyle name="Normal 3 3 2 2 4 2" xfId="7384" xr:uid="{00000000-0005-0000-0000-00004C6F0000}"/>
    <cellStyle name="Normal 3 3 2 2 4 2 2" xfId="17183" xr:uid="{00000000-0005-0000-0000-00004D6F0000}"/>
    <cellStyle name="Normal 3 3 2 2 4 2 2 2" xfId="30542" xr:uid="{00000000-0005-0000-0000-00004E6F0000}"/>
    <cellStyle name="Normal 3 3 2 2 4 2 3" xfId="31672" xr:uid="{00000000-0005-0000-0000-00004F6F0000}"/>
    <cellStyle name="Normal 3 3 2 2 4 3" xfId="11558" xr:uid="{00000000-0005-0000-0000-0000506F0000}"/>
    <cellStyle name="Normal 3 3 2 2 4 3 2" xfId="25389" xr:uid="{00000000-0005-0000-0000-0000516F0000}"/>
    <cellStyle name="Normal 3 3 2 2 4 4" xfId="31671" xr:uid="{00000000-0005-0000-0000-0000526F0000}"/>
    <cellStyle name="Normal 3 3 2 2 5" xfId="7385" xr:uid="{00000000-0005-0000-0000-0000536F0000}"/>
    <cellStyle name="Normal 3 3 2 2 5 2" xfId="7386" xr:uid="{00000000-0005-0000-0000-0000546F0000}"/>
    <cellStyle name="Normal 3 3 2 2 5 2 2" xfId="17272" xr:uid="{00000000-0005-0000-0000-0000556F0000}"/>
    <cellStyle name="Normal 3 3 2 2 5 2 2 2" xfId="30631" xr:uid="{00000000-0005-0000-0000-0000566F0000}"/>
    <cellStyle name="Normal 3 3 2 2 5 2 3" xfId="31674" xr:uid="{00000000-0005-0000-0000-0000576F0000}"/>
    <cellStyle name="Normal 3 3 2 2 5 3" xfId="11922" xr:uid="{00000000-0005-0000-0000-0000586F0000}"/>
    <cellStyle name="Normal 3 3 2 2 5 3 2" xfId="25637" xr:uid="{00000000-0005-0000-0000-0000596F0000}"/>
    <cellStyle name="Normal 3 3 2 2 5 4" xfId="31673" xr:uid="{00000000-0005-0000-0000-00005A6F0000}"/>
    <cellStyle name="Normal 3 3 2 2 6" xfId="7387" xr:uid="{00000000-0005-0000-0000-00005B6F0000}"/>
    <cellStyle name="Normal 3 3 2 2 6 2" xfId="7388" xr:uid="{00000000-0005-0000-0000-00005C6F0000}"/>
    <cellStyle name="Normal 3 3 2 2 6 2 2" xfId="16547" xr:uid="{00000000-0005-0000-0000-00005D6F0000}"/>
    <cellStyle name="Normal 3 3 2 2 6 2 2 2" xfId="29954" xr:uid="{00000000-0005-0000-0000-00005E6F0000}"/>
    <cellStyle name="Normal 3 3 2 2 6 2 3" xfId="31676" xr:uid="{00000000-0005-0000-0000-00005F6F0000}"/>
    <cellStyle name="Normal 3 3 2 2 6 3" xfId="13499" xr:uid="{00000000-0005-0000-0000-0000606F0000}"/>
    <cellStyle name="Normal 3 3 2 2 6 3 2" xfId="27048" xr:uid="{00000000-0005-0000-0000-0000616F0000}"/>
    <cellStyle name="Normal 3 3 2 2 6 4" xfId="31675" xr:uid="{00000000-0005-0000-0000-0000626F0000}"/>
    <cellStyle name="Normal 3 3 2 2 7" xfId="7389" xr:uid="{00000000-0005-0000-0000-0000636F0000}"/>
    <cellStyle name="Normal 3 3 2 2 7 2" xfId="14080" xr:uid="{00000000-0005-0000-0000-0000646F0000}"/>
    <cellStyle name="Normal 3 3 2 2 7 2 2" xfId="27629" xr:uid="{00000000-0005-0000-0000-0000656F0000}"/>
    <cellStyle name="Normal 3 3 2 2 7 3" xfId="31677" xr:uid="{00000000-0005-0000-0000-0000666F0000}"/>
    <cellStyle name="Normal 3 3 2 2 8" xfId="7390" xr:uid="{00000000-0005-0000-0000-0000676F0000}"/>
    <cellStyle name="Normal 3 3 2 2 8 2" xfId="15966" xr:uid="{00000000-0005-0000-0000-0000686F0000}"/>
    <cellStyle name="Normal 3 3 2 2 8 2 2" xfId="29373" xr:uid="{00000000-0005-0000-0000-0000696F0000}"/>
    <cellStyle name="Normal 3 3 2 2 8 3" xfId="31678" xr:uid="{00000000-0005-0000-0000-00006A6F0000}"/>
    <cellStyle name="Normal 3 3 2 2 9" xfId="10195" xr:uid="{00000000-0005-0000-0000-00006B6F0000}"/>
    <cellStyle name="Normal 3 3 2 2 9 2" xfId="24398" xr:uid="{00000000-0005-0000-0000-00006C6F0000}"/>
    <cellStyle name="Normal 3 3 2 3" xfId="7391" xr:uid="{00000000-0005-0000-0000-00006D6F0000}"/>
    <cellStyle name="Normal 3 3 2 3 2" xfId="7392" xr:uid="{00000000-0005-0000-0000-00006E6F0000}"/>
    <cellStyle name="Normal 3 3 2 3 2 2" xfId="7393" xr:uid="{00000000-0005-0000-0000-00006F6F0000}"/>
    <cellStyle name="Normal 3 3 2 3 2 2 2" xfId="7394" xr:uid="{00000000-0005-0000-0000-0000706F0000}"/>
    <cellStyle name="Normal 3 3 2 3 2 2 2 2" xfId="16933" xr:uid="{00000000-0005-0000-0000-0000716F0000}"/>
    <cellStyle name="Normal 3 3 2 3 2 2 2 2 2" xfId="30340" xr:uid="{00000000-0005-0000-0000-0000726F0000}"/>
    <cellStyle name="Normal 3 3 2 3 2 2 2 3" xfId="31682" xr:uid="{00000000-0005-0000-0000-0000736F0000}"/>
    <cellStyle name="Normal 3 3 2 3 2 2 3" xfId="11563" xr:uid="{00000000-0005-0000-0000-0000746F0000}"/>
    <cellStyle name="Normal 3 3 2 3 2 2 3 2" xfId="25394" xr:uid="{00000000-0005-0000-0000-0000756F0000}"/>
    <cellStyle name="Normal 3 3 2 3 2 2 4" xfId="31681" xr:uid="{00000000-0005-0000-0000-0000766F0000}"/>
    <cellStyle name="Normal 3 3 2 3 2 3" xfId="7395" xr:uid="{00000000-0005-0000-0000-0000776F0000}"/>
    <cellStyle name="Normal 3 3 2 3 2 3 2" xfId="12321" xr:uid="{00000000-0005-0000-0000-0000786F0000}"/>
    <cellStyle name="Normal 3 3 2 3 2 3 2 2" xfId="26033" xr:uid="{00000000-0005-0000-0000-0000796F0000}"/>
    <cellStyle name="Normal 3 3 2 3 2 3 3" xfId="31683" xr:uid="{00000000-0005-0000-0000-00007A6F0000}"/>
    <cellStyle name="Normal 3 3 2 3 2 4" xfId="7396" xr:uid="{00000000-0005-0000-0000-00007B6F0000}"/>
    <cellStyle name="Normal 3 3 2 3 2 4 2" xfId="13885" xr:uid="{00000000-0005-0000-0000-00007C6F0000}"/>
    <cellStyle name="Normal 3 3 2 3 2 4 2 2" xfId="27434" xr:uid="{00000000-0005-0000-0000-00007D6F0000}"/>
    <cellStyle name="Normal 3 3 2 3 2 4 3" xfId="31684" xr:uid="{00000000-0005-0000-0000-00007E6F0000}"/>
    <cellStyle name="Normal 3 3 2 3 2 5" xfId="7397" xr:uid="{00000000-0005-0000-0000-00007F6F0000}"/>
    <cellStyle name="Normal 3 3 2 3 2 5 2" xfId="14466" xr:uid="{00000000-0005-0000-0000-0000806F0000}"/>
    <cellStyle name="Normal 3 3 2 3 2 5 2 2" xfId="28015" xr:uid="{00000000-0005-0000-0000-0000816F0000}"/>
    <cellStyle name="Normal 3 3 2 3 2 5 3" xfId="31685" xr:uid="{00000000-0005-0000-0000-0000826F0000}"/>
    <cellStyle name="Normal 3 3 2 3 2 6" xfId="7398" xr:uid="{00000000-0005-0000-0000-0000836F0000}"/>
    <cellStyle name="Normal 3 3 2 3 2 6 2" xfId="16352" xr:uid="{00000000-0005-0000-0000-0000846F0000}"/>
    <cellStyle name="Normal 3 3 2 3 2 6 2 2" xfId="29759" xr:uid="{00000000-0005-0000-0000-0000856F0000}"/>
    <cellStyle name="Normal 3 3 2 3 2 6 3" xfId="31686" xr:uid="{00000000-0005-0000-0000-0000866F0000}"/>
    <cellStyle name="Normal 3 3 2 3 2 7" xfId="10200" xr:uid="{00000000-0005-0000-0000-0000876F0000}"/>
    <cellStyle name="Normal 3 3 2 3 2 7 2" xfId="24403" xr:uid="{00000000-0005-0000-0000-0000886F0000}"/>
    <cellStyle name="Normal 3 3 2 3 2 8" xfId="31680" xr:uid="{00000000-0005-0000-0000-0000896F0000}"/>
    <cellStyle name="Normal 3 3 2 3 3" xfId="7399" xr:uid="{00000000-0005-0000-0000-00008A6F0000}"/>
    <cellStyle name="Normal 3 3 2 3 3 2" xfId="7400" xr:uid="{00000000-0005-0000-0000-00008B6F0000}"/>
    <cellStyle name="Normal 3 3 2 3 3 2 2" xfId="16644" xr:uid="{00000000-0005-0000-0000-00008C6F0000}"/>
    <cellStyle name="Normal 3 3 2 3 3 2 2 2" xfId="30051" xr:uid="{00000000-0005-0000-0000-00008D6F0000}"/>
    <cellStyle name="Normal 3 3 2 3 3 2 3" xfId="31688" xr:uid="{00000000-0005-0000-0000-00008E6F0000}"/>
    <cellStyle name="Normal 3 3 2 3 3 3" xfId="11562" xr:uid="{00000000-0005-0000-0000-00008F6F0000}"/>
    <cellStyle name="Normal 3 3 2 3 3 3 2" xfId="25393" xr:uid="{00000000-0005-0000-0000-0000906F0000}"/>
    <cellStyle name="Normal 3 3 2 3 3 4" xfId="31687" xr:uid="{00000000-0005-0000-0000-0000916F0000}"/>
    <cellStyle name="Normal 3 3 2 3 4" xfId="7401" xr:uid="{00000000-0005-0000-0000-0000926F0000}"/>
    <cellStyle name="Normal 3 3 2 3 4 2" xfId="12021" xr:uid="{00000000-0005-0000-0000-0000936F0000}"/>
    <cellStyle name="Normal 3 3 2 3 4 2 2" xfId="25736" xr:uid="{00000000-0005-0000-0000-0000946F0000}"/>
    <cellStyle name="Normal 3 3 2 3 4 3" xfId="31689" xr:uid="{00000000-0005-0000-0000-0000956F0000}"/>
    <cellStyle name="Normal 3 3 2 3 5" xfId="7402" xr:uid="{00000000-0005-0000-0000-0000966F0000}"/>
    <cellStyle name="Normal 3 3 2 3 5 2" xfId="13596" xr:uid="{00000000-0005-0000-0000-0000976F0000}"/>
    <cellStyle name="Normal 3 3 2 3 5 2 2" xfId="27145" xr:uid="{00000000-0005-0000-0000-0000986F0000}"/>
    <cellStyle name="Normal 3 3 2 3 5 3" xfId="31690" xr:uid="{00000000-0005-0000-0000-0000996F0000}"/>
    <cellStyle name="Normal 3 3 2 3 6" xfId="7403" xr:uid="{00000000-0005-0000-0000-00009A6F0000}"/>
    <cellStyle name="Normal 3 3 2 3 6 2" xfId="14177" xr:uid="{00000000-0005-0000-0000-00009B6F0000}"/>
    <cellStyle name="Normal 3 3 2 3 6 2 2" xfId="27726" xr:uid="{00000000-0005-0000-0000-00009C6F0000}"/>
    <cellStyle name="Normal 3 3 2 3 6 3" xfId="31691" xr:uid="{00000000-0005-0000-0000-00009D6F0000}"/>
    <cellStyle name="Normal 3 3 2 3 7" xfId="7404" xr:uid="{00000000-0005-0000-0000-00009E6F0000}"/>
    <cellStyle name="Normal 3 3 2 3 7 2" xfId="16063" xr:uid="{00000000-0005-0000-0000-00009F6F0000}"/>
    <cellStyle name="Normal 3 3 2 3 7 2 2" xfId="29470" xr:uid="{00000000-0005-0000-0000-0000A06F0000}"/>
    <cellStyle name="Normal 3 3 2 3 7 3" xfId="31692" xr:uid="{00000000-0005-0000-0000-0000A16F0000}"/>
    <cellStyle name="Normal 3 3 2 3 8" xfId="10199" xr:uid="{00000000-0005-0000-0000-0000A26F0000}"/>
    <cellStyle name="Normal 3 3 2 3 8 2" xfId="24402" xr:uid="{00000000-0005-0000-0000-0000A36F0000}"/>
    <cellStyle name="Normal 3 3 2 3 9" xfId="31679" xr:uid="{00000000-0005-0000-0000-0000A46F0000}"/>
    <cellStyle name="Normal 3 3 2 4" xfId="7405" xr:uid="{00000000-0005-0000-0000-0000A56F0000}"/>
    <cellStyle name="Normal 3 3 2 4 2" xfId="7406" xr:uid="{00000000-0005-0000-0000-0000A66F0000}"/>
    <cellStyle name="Normal 3 3 2 4 2 2" xfId="7407" xr:uid="{00000000-0005-0000-0000-0000A76F0000}"/>
    <cellStyle name="Normal 3 3 2 4 2 2 2" xfId="16790" xr:uid="{00000000-0005-0000-0000-0000A86F0000}"/>
    <cellStyle name="Normal 3 3 2 4 2 2 2 2" xfId="30197" xr:uid="{00000000-0005-0000-0000-0000A96F0000}"/>
    <cellStyle name="Normal 3 3 2 4 2 2 3" xfId="31695" xr:uid="{00000000-0005-0000-0000-0000AA6F0000}"/>
    <cellStyle name="Normal 3 3 2 4 2 3" xfId="11564" xr:uid="{00000000-0005-0000-0000-0000AB6F0000}"/>
    <cellStyle name="Normal 3 3 2 4 2 3 2" xfId="25395" xr:uid="{00000000-0005-0000-0000-0000AC6F0000}"/>
    <cellStyle name="Normal 3 3 2 4 2 4" xfId="31694" xr:uid="{00000000-0005-0000-0000-0000AD6F0000}"/>
    <cellStyle name="Normal 3 3 2 4 3" xfId="7408" xr:uid="{00000000-0005-0000-0000-0000AE6F0000}"/>
    <cellStyle name="Normal 3 3 2 4 3 2" xfId="12178" xr:uid="{00000000-0005-0000-0000-0000AF6F0000}"/>
    <cellStyle name="Normal 3 3 2 4 3 2 2" xfId="25890" xr:uid="{00000000-0005-0000-0000-0000B06F0000}"/>
    <cellStyle name="Normal 3 3 2 4 3 3" xfId="31696" xr:uid="{00000000-0005-0000-0000-0000B16F0000}"/>
    <cellStyle name="Normal 3 3 2 4 4" xfId="7409" xr:uid="{00000000-0005-0000-0000-0000B26F0000}"/>
    <cellStyle name="Normal 3 3 2 4 4 2" xfId="13742" xr:uid="{00000000-0005-0000-0000-0000B36F0000}"/>
    <cellStyle name="Normal 3 3 2 4 4 2 2" xfId="27291" xr:uid="{00000000-0005-0000-0000-0000B46F0000}"/>
    <cellStyle name="Normal 3 3 2 4 4 3" xfId="31697" xr:uid="{00000000-0005-0000-0000-0000B56F0000}"/>
    <cellStyle name="Normal 3 3 2 4 5" xfId="7410" xr:uid="{00000000-0005-0000-0000-0000B66F0000}"/>
    <cellStyle name="Normal 3 3 2 4 5 2" xfId="14323" xr:uid="{00000000-0005-0000-0000-0000B76F0000}"/>
    <cellStyle name="Normal 3 3 2 4 5 2 2" xfId="27872" xr:uid="{00000000-0005-0000-0000-0000B86F0000}"/>
    <cellStyle name="Normal 3 3 2 4 5 3" xfId="31698" xr:uid="{00000000-0005-0000-0000-0000B96F0000}"/>
    <cellStyle name="Normal 3 3 2 4 6" xfId="7411" xr:uid="{00000000-0005-0000-0000-0000BA6F0000}"/>
    <cellStyle name="Normal 3 3 2 4 6 2" xfId="16209" xr:uid="{00000000-0005-0000-0000-0000BB6F0000}"/>
    <cellStyle name="Normal 3 3 2 4 6 2 2" xfId="29616" xr:uid="{00000000-0005-0000-0000-0000BC6F0000}"/>
    <cellStyle name="Normal 3 3 2 4 6 3" xfId="31699" xr:uid="{00000000-0005-0000-0000-0000BD6F0000}"/>
    <cellStyle name="Normal 3 3 2 4 7" xfId="10201" xr:uid="{00000000-0005-0000-0000-0000BE6F0000}"/>
    <cellStyle name="Normal 3 3 2 4 7 2" xfId="24404" xr:uid="{00000000-0005-0000-0000-0000BF6F0000}"/>
    <cellStyle name="Normal 3 3 2 4 8" xfId="31693" xr:uid="{00000000-0005-0000-0000-0000C06F0000}"/>
    <cellStyle name="Normal 3 3 2 5" xfId="7412" xr:uid="{00000000-0005-0000-0000-0000C16F0000}"/>
    <cellStyle name="Normal 3 3 2 5 2" xfId="7413" xr:uid="{00000000-0005-0000-0000-0000C26F0000}"/>
    <cellStyle name="Normal 3 3 2 5 2 2" xfId="17043" xr:uid="{00000000-0005-0000-0000-0000C36F0000}"/>
    <cellStyle name="Normal 3 3 2 5 2 2 2" xfId="30444" xr:uid="{00000000-0005-0000-0000-0000C46F0000}"/>
    <cellStyle name="Normal 3 3 2 5 2 3" xfId="31701" xr:uid="{00000000-0005-0000-0000-0000C56F0000}"/>
    <cellStyle name="Normal 3 3 2 5 3" xfId="11557" xr:uid="{00000000-0005-0000-0000-0000C66F0000}"/>
    <cellStyle name="Normal 3 3 2 5 3 2" xfId="25388" xr:uid="{00000000-0005-0000-0000-0000C76F0000}"/>
    <cellStyle name="Normal 3 3 2 5 4" xfId="31700" xr:uid="{00000000-0005-0000-0000-0000C86F0000}"/>
    <cellStyle name="Normal 3 3 2 6" xfId="7414" xr:uid="{00000000-0005-0000-0000-0000C96F0000}"/>
    <cellStyle name="Normal 3 3 2 6 2" xfId="7415" xr:uid="{00000000-0005-0000-0000-0000CA6F0000}"/>
    <cellStyle name="Normal 3 3 2 6 2 2" xfId="17137" xr:uid="{00000000-0005-0000-0000-0000CB6F0000}"/>
    <cellStyle name="Normal 3 3 2 6 2 2 2" xfId="30496" xr:uid="{00000000-0005-0000-0000-0000CC6F0000}"/>
    <cellStyle name="Normal 3 3 2 6 2 3" xfId="31703" xr:uid="{00000000-0005-0000-0000-0000CD6F0000}"/>
    <cellStyle name="Normal 3 3 2 6 3" xfId="11865" xr:uid="{00000000-0005-0000-0000-0000CE6F0000}"/>
    <cellStyle name="Normal 3 3 2 6 3 2" xfId="25580" xr:uid="{00000000-0005-0000-0000-0000CF6F0000}"/>
    <cellStyle name="Normal 3 3 2 6 4" xfId="31702" xr:uid="{00000000-0005-0000-0000-0000D06F0000}"/>
    <cellStyle name="Normal 3 3 2 7" xfId="7416" xr:uid="{00000000-0005-0000-0000-0000D16F0000}"/>
    <cellStyle name="Normal 3 3 2 7 2" xfId="7417" xr:uid="{00000000-0005-0000-0000-0000D26F0000}"/>
    <cellStyle name="Normal 3 3 2 7 2 2" xfId="17226" xr:uid="{00000000-0005-0000-0000-0000D36F0000}"/>
    <cellStyle name="Normal 3 3 2 7 2 2 2" xfId="30585" xr:uid="{00000000-0005-0000-0000-0000D46F0000}"/>
    <cellStyle name="Normal 3 3 2 7 2 3" xfId="31705" xr:uid="{00000000-0005-0000-0000-0000D56F0000}"/>
    <cellStyle name="Normal 3 3 2 7 3" xfId="13453" xr:uid="{00000000-0005-0000-0000-0000D66F0000}"/>
    <cellStyle name="Normal 3 3 2 7 3 2" xfId="27002" xr:uid="{00000000-0005-0000-0000-0000D76F0000}"/>
    <cellStyle name="Normal 3 3 2 7 4" xfId="31704" xr:uid="{00000000-0005-0000-0000-0000D86F0000}"/>
    <cellStyle name="Normal 3 3 2 8" xfId="7418" xr:uid="{00000000-0005-0000-0000-0000D96F0000}"/>
    <cellStyle name="Normal 3 3 2 8 2" xfId="7419" xr:uid="{00000000-0005-0000-0000-0000DA6F0000}"/>
    <cellStyle name="Normal 3 3 2 8 2 2" xfId="16501" xr:uid="{00000000-0005-0000-0000-0000DB6F0000}"/>
    <cellStyle name="Normal 3 3 2 8 2 2 2" xfId="29908" xr:uid="{00000000-0005-0000-0000-0000DC6F0000}"/>
    <cellStyle name="Normal 3 3 2 8 2 3" xfId="31707" xr:uid="{00000000-0005-0000-0000-0000DD6F0000}"/>
    <cellStyle name="Normal 3 3 2 8 3" xfId="14034" xr:uid="{00000000-0005-0000-0000-0000DE6F0000}"/>
    <cellStyle name="Normal 3 3 2 8 3 2" xfId="27583" xr:uid="{00000000-0005-0000-0000-0000DF6F0000}"/>
    <cellStyle name="Normal 3 3 2 8 4" xfId="31706" xr:uid="{00000000-0005-0000-0000-0000E06F0000}"/>
    <cellStyle name="Normal 3 3 2 9" xfId="7420" xr:uid="{00000000-0005-0000-0000-0000E16F0000}"/>
    <cellStyle name="Normal 3 3 2 9 2" xfId="15920" xr:uid="{00000000-0005-0000-0000-0000E26F0000}"/>
    <cellStyle name="Normal 3 3 2 9 2 2" xfId="29327" xr:uid="{00000000-0005-0000-0000-0000E36F0000}"/>
    <cellStyle name="Normal 3 3 2 9 3" xfId="31708" xr:uid="{00000000-0005-0000-0000-0000E46F0000}"/>
    <cellStyle name="Normal 3 3 3" xfId="7421" xr:uid="{00000000-0005-0000-0000-0000E56F0000}"/>
    <cellStyle name="Normal 3 3 3 10" xfId="31709" xr:uid="{00000000-0005-0000-0000-0000E66F0000}"/>
    <cellStyle name="Normal 3 3 3 2" xfId="7422" xr:uid="{00000000-0005-0000-0000-0000E76F0000}"/>
    <cellStyle name="Normal 3 3 3 2 2" xfId="7423" xr:uid="{00000000-0005-0000-0000-0000E86F0000}"/>
    <cellStyle name="Normal 3 3 3 2 2 2" xfId="7424" xr:uid="{00000000-0005-0000-0000-0000E96F0000}"/>
    <cellStyle name="Normal 3 3 3 2 2 2 2" xfId="7425" xr:uid="{00000000-0005-0000-0000-0000EA6F0000}"/>
    <cellStyle name="Normal 3 3 3 2 2 2 2 2" xfId="16956" xr:uid="{00000000-0005-0000-0000-0000EB6F0000}"/>
    <cellStyle name="Normal 3 3 3 2 2 2 2 2 2" xfId="30363" xr:uid="{00000000-0005-0000-0000-0000EC6F0000}"/>
    <cellStyle name="Normal 3 3 3 2 2 2 2 3" xfId="31713" xr:uid="{00000000-0005-0000-0000-0000ED6F0000}"/>
    <cellStyle name="Normal 3 3 3 2 2 2 3" xfId="11567" xr:uid="{00000000-0005-0000-0000-0000EE6F0000}"/>
    <cellStyle name="Normal 3 3 3 2 2 2 3 2" xfId="25398" xr:uid="{00000000-0005-0000-0000-0000EF6F0000}"/>
    <cellStyle name="Normal 3 3 3 2 2 2 4" xfId="31712" xr:uid="{00000000-0005-0000-0000-0000F06F0000}"/>
    <cellStyle name="Normal 3 3 3 2 2 3" xfId="7426" xr:uid="{00000000-0005-0000-0000-0000F16F0000}"/>
    <cellStyle name="Normal 3 3 3 2 2 3 2" xfId="12344" xr:uid="{00000000-0005-0000-0000-0000F26F0000}"/>
    <cellStyle name="Normal 3 3 3 2 2 3 2 2" xfId="26056" xr:uid="{00000000-0005-0000-0000-0000F36F0000}"/>
    <cellStyle name="Normal 3 3 3 2 2 3 3" xfId="31714" xr:uid="{00000000-0005-0000-0000-0000F46F0000}"/>
    <cellStyle name="Normal 3 3 3 2 2 4" xfId="7427" xr:uid="{00000000-0005-0000-0000-0000F56F0000}"/>
    <cellStyle name="Normal 3 3 3 2 2 4 2" xfId="13908" xr:uid="{00000000-0005-0000-0000-0000F66F0000}"/>
    <cellStyle name="Normal 3 3 3 2 2 4 2 2" xfId="27457" xr:uid="{00000000-0005-0000-0000-0000F76F0000}"/>
    <cellStyle name="Normal 3 3 3 2 2 4 3" xfId="31715" xr:uid="{00000000-0005-0000-0000-0000F86F0000}"/>
    <cellStyle name="Normal 3 3 3 2 2 5" xfId="7428" xr:uid="{00000000-0005-0000-0000-0000F96F0000}"/>
    <cellStyle name="Normal 3 3 3 2 2 5 2" xfId="14489" xr:uid="{00000000-0005-0000-0000-0000FA6F0000}"/>
    <cellStyle name="Normal 3 3 3 2 2 5 2 2" xfId="28038" xr:uid="{00000000-0005-0000-0000-0000FB6F0000}"/>
    <cellStyle name="Normal 3 3 3 2 2 5 3" xfId="31716" xr:uid="{00000000-0005-0000-0000-0000FC6F0000}"/>
    <cellStyle name="Normal 3 3 3 2 2 6" xfId="7429" xr:uid="{00000000-0005-0000-0000-0000FD6F0000}"/>
    <cellStyle name="Normal 3 3 3 2 2 6 2" xfId="16375" xr:uid="{00000000-0005-0000-0000-0000FE6F0000}"/>
    <cellStyle name="Normal 3 3 3 2 2 6 2 2" xfId="29782" xr:uid="{00000000-0005-0000-0000-0000FF6F0000}"/>
    <cellStyle name="Normal 3 3 3 2 2 6 3" xfId="31717" xr:uid="{00000000-0005-0000-0000-000000700000}"/>
    <cellStyle name="Normal 3 3 3 2 2 7" xfId="10204" xr:uid="{00000000-0005-0000-0000-000001700000}"/>
    <cellStyle name="Normal 3 3 3 2 2 7 2" xfId="24407" xr:uid="{00000000-0005-0000-0000-000002700000}"/>
    <cellStyle name="Normal 3 3 3 2 2 8" xfId="31711" xr:uid="{00000000-0005-0000-0000-000003700000}"/>
    <cellStyle name="Normal 3 3 3 2 3" xfId="7430" xr:uid="{00000000-0005-0000-0000-000004700000}"/>
    <cellStyle name="Normal 3 3 3 2 3 2" xfId="7431" xr:uid="{00000000-0005-0000-0000-000005700000}"/>
    <cellStyle name="Normal 3 3 3 2 3 2 2" xfId="16667" xr:uid="{00000000-0005-0000-0000-000006700000}"/>
    <cellStyle name="Normal 3 3 3 2 3 2 2 2" xfId="30074" xr:uid="{00000000-0005-0000-0000-000007700000}"/>
    <cellStyle name="Normal 3 3 3 2 3 2 3" xfId="31719" xr:uid="{00000000-0005-0000-0000-000008700000}"/>
    <cellStyle name="Normal 3 3 3 2 3 3" xfId="11566" xr:uid="{00000000-0005-0000-0000-000009700000}"/>
    <cellStyle name="Normal 3 3 3 2 3 3 2" xfId="25397" xr:uid="{00000000-0005-0000-0000-00000A700000}"/>
    <cellStyle name="Normal 3 3 3 2 3 4" xfId="31718" xr:uid="{00000000-0005-0000-0000-00000B700000}"/>
    <cellStyle name="Normal 3 3 3 2 4" xfId="7432" xr:uid="{00000000-0005-0000-0000-00000C700000}"/>
    <cellStyle name="Normal 3 3 3 2 4 2" xfId="12044" xr:uid="{00000000-0005-0000-0000-00000D700000}"/>
    <cellStyle name="Normal 3 3 3 2 4 2 2" xfId="25759" xr:uid="{00000000-0005-0000-0000-00000E700000}"/>
    <cellStyle name="Normal 3 3 3 2 4 3" xfId="31720" xr:uid="{00000000-0005-0000-0000-00000F700000}"/>
    <cellStyle name="Normal 3 3 3 2 5" xfId="7433" xr:uid="{00000000-0005-0000-0000-000010700000}"/>
    <cellStyle name="Normal 3 3 3 2 5 2" xfId="13619" xr:uid="{00000000-0005-0000-0000-000011700000}"/>
    <cellStyle name="Normal 3 3 3 2 5 2 2" xfId="27168" xr:uid="{00000000-0005-0000-0000-000012700000}"/>
    <cellStyle name="Normal 3 3 3 2 5 3" xfId="31721" xr:uid="{00000000-0005-0000-0000-000013700000}"/>
    <cellStyle name="Normal 3 3 3 2 6" xfId="7434" xr:uid="{00000000-0005-0000-0000-000014700000}"/>
    <cellStyle name="Normal 3 3 3 2 6 2" xfId="14200" xr:uid="{00000000-0005-0000-0000-000015700000}"/>
    <cellStyle name="Normal 3 3 3 2 6 2 2" xfId="27749" xr:uid="{00000000-0005-0000-0000-000016700000}"/>
    <cellStyle name="Normal 3 3 3 2 6 3" xfId="31722" xr:uid="{00000000-0005-0000-0000-000017700000}"/>
    <cellStyle name="Normal 3 3 3 2 7" xfId="7435" xr:uid="{00000000-0005-0000-0000-000018700000}"/>
    <cellStyle name="Normal 3 3 3 2 7 2" xfId="16086" xr:uid="{00000000-0005-0000-0000-000019700000}"/>
    <cellStyle name="Normal 3 3 3 2 7 2 2" xfId="29493" xr:uid="{00000000-0005-0000-0000-00001A700000}"/>
    <cellStyle name="Normal 3 3 3 2 7 3" xfId="31723" xr:uid="{00000000-0005-0000-0000-00001B700000}"/>
    <cellStyle name="Normal 3 3 3 2 8" xfId="10203" xr:uid="{00000000-0005-0000-0000-00001C700000}"/>
    <cellStyle name="Normal 3 3 3 2 8 2" xfId="24406" xr:uid="{00000000-0005-0000-0000-00001D700000}"/>
    <cellStyle name="Normal 3 3 3 2 9" xfId="31710" xr:uid="{00000000-0005-0000-0000-00001E700000}"/>
    <cellStyle name="Normal 3 3 3 3" xfId="7436" xr:uid="{00000000-0005-0000-0000-00001F700000}"/>
    <cellStyle name="Normal 3 3 3 3 2" xfId="7437" xr:uid="{00000000-0005-0000-0000-000020700000}"/>
    <cellStyle name="Normal 3 3 3 3 2 2" xfId="7438" xr:uid="{00000000-0005-0000-0000-000021700000}"/>
    <cellStyle name="Normal 3 3 3 3 2 2 2" xfId="16813" xr:uid="{00000000-0005-0000-0000-000022700000}"/>
    <cellStyle name="Normal 3 3 3 3 2 2 2 2" xfId="30220" xr:uid="{00000000-0005-0000-0000-000023700000}"/>
    <cellStyle name="Normal 3 3 3 3 2 2 3" xfId="31726" xr:uid="{00000000-0005-0000-0000-000024700000}"/>
    <cellStyle name="Normal 3 3 3 3 2 3" xfId="11568" xr:uid="{00000000-0005-0000-0000-000025700000}"/>
    <cellStyle name="Normal 3 3 3 3 2 3 2" xfId="25399" xr:uid="{00000000-0005-0000-0000-000026700000}"/>
    <cellStyle name="Normal 3 3 3 3 2 4" xfId="31725" xr:uid="{00000000-0005-0000-0000-000027700000}"/>
    <cellStyle name="Normal 3 3 3 3 3" xfId="7439" xr:uid="{00000000-0005-0000-0000-000028700000}"/>
    <cellStyle name="Normal 3 3 3 3 3 2" xfId="12201" xr:uid="{00000000-0005-0000-0000-000029700000}"/>
    <cellStyle name="Normal 3 3 3 3 3 2 2" xfId="25913" xr:uid="{00000000-0005-0000-0000-00002A700000}"/>
    <cellStyle name="Normal 3 3 3 3 3 3" xfId="31727" xr:uid="{00000000-0005-0000-0000-00002B700000}"/>
    <cellStyle name="Normal 3 3 3 3 4" xfId="7440" xr:uid="{00000000-0005-0000-0000-00002C700000}"/>
    <cellStyle name="Normal 3 3 3 3 4 2" xfId="13765" xr:uid="{00000000-0005-0000-0000-00002D700000}"/>
    <cellStyle name="Normal 3 3 3 3 4 2 2" xfId="27314" xr:uid="{00000000-0005-0000-0000-00002E700000}"/>
    <cellStyle name="Normal 3 3 3 3 4 3" xfId="31728" xr:uid="{00000000-0005-0000-0000-00002F700000}"/>
    <cellStyle name="Normal 3 3 3 3 5" xfId="7441" xr:uid="{00000000-0005-0000-0000-000030700000}"/>
    <cellStyle name="Normal 3 3 3 3 5 2" xfId="14346" xr:uid="{00000000-0005-0000-0000-000031700000}"/>
    <cellStyle name="Normal 3 3 3 3 5 2 2" xfId="27895" xr:uid="{00000000-0005-0000-0000-000032700000}"/>
    <cellStyle name="Normal 3 3 3 3 5 3" xfId="31729" xr:uid="{00000000-0005-0000-0000-000033700000}"/>
    <cellStyle name="Normal 3 3 3 3 6" xfId="7442" xr:uid="{00000000-0005-0000-0000-000034700000}"/>
    <cellStyle name="Normal 3 3 3 3 6 2" xfId="16232" xr:uid="{00000000-0005-0000-0000-000035700000}"/>
    <cellStyle name="Normal 3 3 3 3 6 2 2" xfId="29639" xr:uid="{00000000-0005-0000-0000-000036700000}"/>
    <cellStyle name="Normal 3 3 3 3 6 3" xfId="31730" xr:uid="{00000000-0005-0000-0000-000037700000}"/>
    <cellStyle name="Normal 3 3 3 3 7" xfId="10205" xr:uid="{00000000-0005-0000-0000-000038700000}"/>
    <cellStyle name="Normal 3 3 3 3 7 2" xfId="24408" xr:uid="{00000000-0005-0000-0000-000039700000}"/>
    <cellStyle name="Normal 3 3 3 3 8" xfId="31724" xr:uid="{00000000-0005-0000-0000-00003A700000}"/>
    <cellStyle name="Normal 3 3 3 4" xfId="7443" xr:uid="{00000000-0005-0000-0000-00003B700000}"/>
    <cellStyle name="Normal 3 3 3 4 2" xfId="7444" xr:uid="{00000000-0005-0000-0000-00003C700000}"/>
    <cellStyle name="Normal 3 3 3 4 2 2" xfId="17160" xr:uid="{00000000-0005-0000-0000-00003D700000}"/>
    <cellStyle name="Normal 3 3 3 4 2 2 2" xfId="30519" xr:uid="{00000000-0005-0000-0000-00003E700000}"/>
    <cellStyle name="Normal 3 3 3 4 2 3" xfId="31732" xr:uid="{00000000-0005-0000-0000-00003F700000}"/>
    <cellStyle name="Normal 3 3 3 4 3" xfId="11565" xr:uid="{00000000-0005-0000-0000-000040700000}"/>
    <cellStyle name="Normal 3 3 3 4 3 2" xfId="25396" xr:uid="{00000000-0005-0000-0000-000041700000}"/>
    <cellStyle name="Normal 3 3 3 4 4" xfId="31731" xr:uid="{00000000-0005-0000-0000-000042700000}"/>
    <cellStyle name="Normal 3 3 3 5" xfId="7445" xr:uid="{00000000-0005-0000-0000-000043700000}"/>
    <cellStyle name="Normal 3 3 3 5 2" xfId="7446" xr:uid="{00000000-0005-0000-0000-000044700000}"/>
    <cellStyle name="Normal 3 3 3 5 2 2" xfId="17249" xr:uid="{00000000-0005-0000-0000-000045700000}"/>
    <cellStyle name="Normal 3 3 3 5 2 2 2" xfId="30608" xr:uid="{00000000-0005-0000-0000-000046700000}"/>
    <cellStyle name="Normal 3 3 3 5 2 3" xfId="31734" xr:uid="{00000000-0005-0000-0000-000047700000}"/>
    <cellStyle name="Normal 3 3 3 5 3" xfId="11899" xr:uid="{00000000-0005-0000-0000-000048700000}"/>
    <cellStyle name="Normal 3 3 3 5 3 2" xfId="25614" xr:uid="{00000000-0005-0000-0000-000049700000}"/>
    <cellStyle name="Normal 3 3 3 5 4" xfId="31733" xr:uid="{00000000-0005-0000-0000-00004A700000}"/>
    <cellStyle name="Normal 3 3 3 6" xfId="7447" xr:uid="{00000000-0005-0000-0000-00004B700000}"/>
    <cellStyle name="Normal 3 3 3 6 2" xfId="7448" xr:uid="{00000000-0005-0000-0000-00004C700000}"/>
    <cellStyle name="Normal 3 3 3 6 2 2" xfId="16524" xr:uid="{00000000-0005-0000-0000-00004D700000}"/>
    <cellStyle name="Normal 3 3 3 6 2 2 2" xfId="29931" xr:uid="{00000000-0005-0000-0000-00004E700000}"/>
    <cellStyle name="Normal 3 3 3 6 2 3" xfId="31736" xr:uid="{00000000-0005-0000-0000-00004F700000}"/>
    <cellStyle name="Normal 3 3 3 6 3" xfId="13476" xr:uid="{00000000-0005-0000-0000-000050700000}"/>
    <cellStyle name="Normal 3 3 3 6 3 2" xfId="27025" xr:uid="{00000000-0005-0000-0000-000051700000}"/>
    <cellStyle name="Normal 3 3 3 6 4" xfId="31735" xr:uid="{00000000-0005-0000-0000-000052700000}"/>
    <cellStyle name="Normal 3 3 3 7" xfId="7449" xr:uid="{00000000-0005-0000-0000-000053700000}"/>
    <cellStyle name="Normal 3 3 3 7 2" xfId="14057" xr:uid="{00000000-0005-0000-0000-000054700000}"/>
    <cellStyle name="Normal 3 3 3 7 2 2" xfId="27606" xr:uid="{00000000-0005-0000-0000-000055700000}"/>
    <cellStyle name="Normal 3 3 3 7 3" xfId="31737" xr:uid="{00000000-0005-0000-0000-000056700000}"/>
    <cellStyle name="Normal 3 3 3 8" xfId="7450" xr:uid="{00000000-0005-0000-0000-000057700000}"/>
    <cellStyle name="Normal 3 3 3 8 2" xfId="15943" xr:uid="{00000000-0005-0000-0000-000058700000}"/>
    <cellStyle name="Normal 3 3 3 8 2 2" xfId="29350" xr:uid="{00000000-0005-0000-0000-000059700000}"/>
    <cellStyle name="Normal 3 3 3 8 3" xfId="31738" xr:uid="{00000000-0005-0000-0000-00005A700000}"/>
    <cellStyle name="Normal 3 3 3 9" xfId="10202" xr:uid="{00000000-0005-0000-0000-00005B700000}"/>
    <cellStyle name="Normal 3 3 3 9 2" xfId="24405" xr:uid="{00000000-0005-0000-0000-00005C700000}"/>
    <cellStyle name="Normal 3 3 4" xfId="7451" xr:uid="{00000000-0005-0000-0000-00005D700000}"/>
    <cellStyle name="Normal 3 3 4 10" xfId="31739" xr:uid="{00000000-0005-0000-0000-00005E700000}"/>
    <cellStyle name="Normal 3 3 4 2" xfId="7452" xr:uid="{00000000-0005-0000-0000-00005F700000}"/>
    <cellStyle name="Normal 3 3 4 2 2" xfId="7453" xr:uid="{00000000-0005-0000-0000-000060700000}"/>
    <cellStyle name="Normal 3 3 4 2 2 2" xfId="7454" xr:uid="{00000000-0005-0000-0000-000061700000}"/>
    <cellStyle name="Normal 3 3 4 2 2 2 2" xfId="7455" xr:uid="{00000000-0005-0000-0000-000062700000}"/>
    <cellStyle name="Normal 3 3 4 2 2 2 2 2" xfId="16999" xr:uid="{00000000-0005-0000-0000-000063700000}"/>
    <cellStyle name="Normal 3 3 4 2 2 2 2 2 2" xfId="30406" xr:uid="{00000000-0005-0000-0000-000064700000}"/>
    <cellStyle name="Normal 3 3 4 2 2 2 2 3" xfId="31743" xr:uid="{00000000-0005-0000-0000-000065700000}"/>
    <cellStyle name="Normal 3 3 4 2 2 2 3" xfId="11571" xr:uid="{00000000-0005-0000-0000-000066700000}"/>
    <cellStyle name="Normal 3 3 4 2 2 2 3 2" xfId="25402" xr:uid="{00000000-0005-0000-0000-000067700000}"/>
    <cellStyle name="Normal 3 3 4 2 2 2 4" xfId="31742" xr:uid="{00000000-0005-0000-0000-000068700000}"/>
    <cellStyle name="Normal 3 3 4 2 2 3" xfId="7456" xr:uid="{00000000-0005-0000-0000-000069700000}"/>
    <cellStyle name="Normal 3 3 4 2 2 3 2" xfId="12387" xr:uid="{00000000-0005-0000-0000-00006A700000}"/>
    <cellStyle name="Normal 3 3 4 2 2 3 2 2" xfId="26099" xr:uid="{00000000-0005-0000-0000-00006B700000}"/>
    <cellStyle name="Normal 3 3 4 2 2 3 3" xfId="31744" xr:uid="{00000000-0005-0000-0000-00006C700000}"/>
    <cellStyle name="Normal 3 3 4 2 2 4" xfId="7457" xr:uid="{00000000-0005-0000-0000-00006D700000}"/>
    <cellStyle name="Normal 3 3 4 2 2 4 2" xfId="13951" xr:uid="{00000000-0005-0000-0000-00006E700000}"/>
    <cellStyle name="Normal 3 3 4 2 2 4 2 2" xfId="27500" xr:uid="{00000000-0005-0000-0000-00006F700000}"/>
    <cellStyle name="Normal 3 3 4 2 2 4 3" xfId="31745" xr:uid="{00000000-0005-0000-0000-000070700000}"/>
    <cellStyle name="Normal 3 3 4 2 2 5" xfId="7458" xr:uid="{00000000-0005-0000-0000-000071700000}"/>
    <cellStyle name="Normal 3 3 4 2 2 5 2" xfId="14532" xr:uid="{00000000-0005-0000-0000-000072700000}"/>
    <cellStyle name="Normal 3 3 4 2 2 5 2 2" xfId="28081" xr:uid="{00000000-0005-0000-0000-000073700000}"/>
    <cellStyle name="Normal 3 3 4 2 2 5 3" xfId="31746" xr:uid="{00000000-0005-0000-0000-000074700000}"/>
    <cellStyle name="Normal 3 3 4 2 2 6" xfId="7459" xr:uid="{00000000-0005-0000-0000-000075700000}"/>
    <cellStyle name="Normal 3 3 4 2 2 6 2" xfId="16418" xr:uid="{00000000-0005-0000-0000-000076700000}"/>
    <cellStyle name="Normal 3 3 4 2 2 6 2 2" xfId="29825" xr:uid="{00000000-0005-0000-0000-000077700000}"/>
    <cellStyle name="Normal 3 3 4 2 2 6 3" xfId="31747" xr:uid="{00000000-0005-0000-0000-000078700000}"/>
    <cellStyle name="Normal 3 3 4 2 2 7" xfId="10208" xr:uid="{00000000-0005-0000-0000-000079700000}"/>
    <cellStyle name="Normal 3 3 4 2 2 7 2" xfId="24411" xr:uid="{00000000-0005-0000-0000-00007A700000}"/>
    <cellStyle name="Normal 3 3 4 2 2 8" xfId="31741" xr:uid="{00000000-0005-0000-0000-00007B700000}"/>
    <cellStyle name="Normal 3 3 4 2 3" xfId="7460" xr:uid="{00000000-0005-0000-0000-00007C700000}"/>
    <cellStyle name="Normal 3 3 4 2 3 2" xfId="7461" xr:uid="{00000000-0005-0000-0000-00007D700000}"/>
    <cellStyle name="Normal 3 3 4 2 3 2 2" xfId="16710" xr:uid="{00000000-0005-0000-0000-00007E700000}"/>
    <cellStyle name="Normal 3 3 4 2 3 2 2 2" xfId="30117" xr:uid="{00000000-0005-0000-0000-00007F700000}"/>
    <cellStyle name="Normal 3 3 4 2 3 2 3" xfId="31749" xr:uid="{00000000-0005-0000-0000-000080700000}"/>
    <cellStyle name="Normal 3 3 4 2 3 3" xfId="11570" xr:uid="{00000000-0005-0000-0000-000081700000}"/>
    <cellStyle name="Normal 3 3 4 2 3 3 2" xfId="25401" xr:uid="{00000000-0005-0000-0000-000082700000}"/>
    <cellStyle name="Normal 3 3 4 2 3 4" xfId="31748" xr:uid="{00000000-0005-0000-0000-000083700000}"/>
    <cellStyle name="Normal 3 3 4 2 4" xfId="7462" xr:uid="{00000000-0005-0000-0000-000084700000}"/>
    <cellStyle name="Normal 3 3 4 2 4 2" xfId="12087" xr:uid="{00000000-0005-0000-0000-000085700000}"/>
    <cellStyle name="Normal 3 3 4 2 4 2 2" xfId="25802" xr:uid="{00000000-0005-0000-0000-000086700000}"/>
    <cellStyle name="Normal 3 3 4 2 4 3" xfId="31750" xr:uid="{00000000-0005-0000-0000-000087700000}"/>
    <cellStyle name="Normal 3 3 4 2 5" xfId="7463" xr:uid="{00000000-0005-0000-0000-000088700000}"/>
    <cellStyle name="Normal 3 3 4 2 5 2" xfId="13662" xr:uid="{00000000-0005-0000-0000-000089700000}"/>
    <cellStyle name="Normal 3 3 4 2 5 2 2" xfId="27211" xr:uid="{00000000-0005-0000-0000-00008A700000}"/>
    <cellStyle name="Normal 3 3 4 2 5 3" xfId="31751" xr:uid="{00000000-0005-0000-0000-00008B700000}"/>
    <cellStyle name="Normal 3 3 4 2 6" xfId="7464" xr:uid="{00000000-0005-0000-0000-00008C700000}"/>
    <cellStyle name="Normal 3 3 4 2 6 2" xfId="14243" xr:uid="{00000000-0005-0000-0000-00008D700000}"/>
    <cellStyle name="Normal 3 3 4 2 6 2 2" xfId="27792" xr:uid="{00000000-0005-0000-0000-00008E700000}"/>
    <cellStyle name="Normal 3 3 4 2 6 3" xfId="31752" xr:uid="{00000000-0005-0000-0000-00008F700000}"/>
    <cellStyle name="Normal 3 3 4 2 7" xfId="7465" xr:uid="{00000000-0005-0000-0000-000090700000}"/>
    <cellStyle name="Normal 3 3 4 2 7 2" xfId="16129" xr:uid="{00000000-0005-0000-0000-000091700000}"/>
    <cellStyle name="Normal 3 3 4 2 7 2 2" xfId="29536" xr:uid="{00000000-0005-0000-0000-000092700000}"/>
    <cellStyle name="Normal 3 3 4 2 7 3" xfId="31753" xr:uid="{00000000-0005-0000-0000-000093700000}"/>
    <cellStyle name="Normal 3 3 4 2 8" xfId="10207" xr:uid="{00000000-0005-0000-0000-000094700000}"/>
    <cellStyle name="Normal 3 3 4 2 8 2" xfId="24410" xr:uid="{00000000-0005-0000-0000-000095700000}"/>
    <cellStyle name="Normal 3 3 4 2 9" xfId="31740" xr:uid="{00000000-0005-0000-0000-000096700000}"/>
    <cellStyle name="Normal 3 3 4 3" xfId="7466" xr:uid="{00000000-0005-0000-0000-000097700000}"/>
    <cellStyle name="Normal 3 3 4 3 2" xfId="7467" xr:uid="{00000000-0005-0000-0000-000098700000}"/>
    <cellStyle name="Normal 3 3 4 3 2 2" xfId="7468" xr:uid="{00000000-0005-0000-0000-000099700000}"/>
    <cellStyle name="Normal 3 3 4 3 2 2 2" xfId="16856" xr:uid="{00000000-0005-0000-0000-00009A700000}"/>
    <cellStyle name="Normal 3 3 4 3 2 2 2 2" xfId="30263" xr:uid="{00000000-0005-0000-0000-00009B700000}"/>
    <cellStyle name="Normal 3 3 4 3 2 2 3" xfId="31756" xr:uid="{00000000-0005-0000-0000-00009C700000}"/>
    <cellStyle name="Normal 3 3 4 3 2 3" xfId="11572" xr:uid="{00000000-0005-0000-0000-00009D700000}"/>
    <cellStyle name="Normal 3 3 4 3 2 3 2" xfId="25403" xr:uid="{00000000-0005-0000-0000-00009E700000}"/>
    <cellStyle name="Normal 3 3 4 3 2 4" xfId="31755" xr:uid="{00000000-0005-0000-0000-00009F700000}"/>
    <cellStyle name="Normal 3 3 4 3 3" xfId="7469" xr:uid="{00000000-0005-0000-0000-0000A0700000}"/>
    <cellStyle name="Normal 3 3 4 3 3 2" xfId="12244" xr:uid="{00000000-0005-0000-0000-0000A1700000}"/>
    <cellStyle name="Normal 3 3 4 3 3 2 2" xfId="25956" xr:uid="{00000000-0005-0000-0000-0000A2700000}"/>
    <cellStyle name="Normal 3 3 4 3 3 3" xfId="31757" xr:uid="{00000000-0005-0000-0000-0000A3700000}"/>
    <cellStyle name="Normal 3 3 4 3 4" xfId="7470" xr:uid="{00000000-0005-0000-0000-0000A4700000}"/>
    <cellStyle name="Normal 3 3 4 3 4 2" xfId="13808" xr:uid="{00000000-0005-0000-0000-0000A5700000}"/>
    <cellStyle name="Normal 3 3 4 3 4 2 2" xfId="27357" xr:uid="{00000000-0005-0000-0000-0000A6700000}"/>
    <cellStyle name="Normal 3 3 4 3 4 3" xfId="31758" xr:uid="{00000000-0005-0000-0000-0000A7700000}"/>
    <cellStyle name="Normal 3 3 4 3 5" xfId="7471" xr:uid="{00000000-0005-0000-0000-0000A8700000}"/>
    <cellStyle name="Normal 3 3 4 3 5 2" xfId="14389" xr:uid="{00000000-0005-0000-0000-0000A9700000}"/>
    <cellStyle name="Normal 3 3 4 3 5 2 2" xfId="27938" xr:uid="{00000000-0005-0000-0000-0000AA700000}"/>
    <cellStyle name="Normal 3 3 4 3 5 3" xfId="31759" xr:uid="{00000000-0005-0000-0000-0000AB700000}"/>
    <cellStyle name="Normal 3 3 4 3 6" xfId="7472" xr:uid="{00000000-0005-0000-0000-0000AC700000}"/>
    <cellStyle name="Normal 3 3 4 3 6 2" xfId="16275" xr:uid="{00000000-0005-0000-0000-0000AD700000}"/>
    <cellStyle name="Normal 3 3 4 3 6 2 2" xfId="29682" xr:uid="{00000000-0005-0000-0000-0000AE700000}"/>
    <cellStyle name="Normal 3 3 4 3 6 3" xfId="31760" xr:uid="{00000000-0005-0000-0000-0000AF700000}"/>
    <cellStyle name="Normal 3 3 4 3 7" xfId="10209" xr:uid="{00000000-0005-0000-0000-0000B0700000}"/>
    <cellStyle name="Normal 3 3 4 3 7 2" xfId="24412" xr:uid="{00000000-0005-0000-0000-0000B1700000}"/>
    <cellStyle name="Normal 3 3 4 3 8" xfId="31754" xr:uid="{00000000-0005-0000-0000-0000B2700000}"/>
    <cellStyle name="Normal 3 3 4 4" xfId="7473" xr:uid="{00000000-0005-0000-0000-0000B3700000}"/>
    <cellStyle name="Normal 3 3 4 4 2" xfId="7474" xr:uid="{00000000-0005-0000-0000-0000B4700000}"/>
    <cellStyle name="Normal 3 3 4 4 2 2" xfId="16567" xr:uid="{00000000-0005-0000-0000-0000B5700000}"/>
    <cellStyle name="Normal 3 3 4 4 2 2 2" xfId="29974" xr:uid="{00000000-0005-0000-0000-0000B6700000}"/>
    <cellStyle name="Normal 3 3 4 4 2 3" xfId="31762" xr:uid="{00000000-0005-0000-0000-0000B7700000}"/>
    <cellStyle name="Normal 3 3 4 4 3" xfId="11569" xr:uid="{00000000-0005-0000-0000-0000B8700000}"/>
    <cellStyle name="Normal 3 3 4 4 3 2" xfId="25400" xr:uid="{00000000-0005-0000-0000-0000B9700000}"/>
    <cellStyle name="Normal 3 3 4 4 4" xfId="31761" xr:uid="{00000000-0005-0000-0000-0000BA700000}"/>
    <cellStyle name="Normal 3 3 4 5" xfId="7475" xr:uid="{00000000-0005-0000-0000-0000BB700000}"/>
    <cellStyle name="Normal 3 3 4 5 2" xfId="11942" xr:uid="{00000000-0005-0000-0000-0000BC700000}"/>
    <cellStyle name="Normal 3 3 4 5 2 2" xfId="25657" xr:uid="{00000000-0005-0000-0000-0000BD700000}"/>
    <cellStyle name="Normal 3 3 4 5 3" xfId="31763" xr:uid="{00000000-0005-0000-0000-0000BE700000}"/>
    <cellStyle name="Normal 3 3 4 6" xfId="7476" xr:uid="{00000000-0005-0000-0000-0000BF700000}"/>
    <cellStyle name="Normal 3 3 4 6 2" xfId="13519" xr:uid="{00000000-0005-0000-0000-0000C0700000}"/>
    <cellStyle name="Normal 3 3 4 6 2 2" xfId="27068" xr:uid="{00000000-0005-0000-0000-0000C1700000}"/>
    <cellStyle name="Normal 3 3 4 6 3" xfId="31764" xr:uid="{00000000-0005-0000-0000-0000C2700000}"/>
    <cellStyle name="Normal 3 3 4 7" xfId="7477" xr:uid="{00000000-0005-0000-0000-0000C3700000}"/>
    <cellStyle name="Normal 3 3 4 7 2" xfId="14100" xr:uid="{00000000-0005-0000-0000-0000C4700000}"/>
    <cellStyle name="Normal 3 3 4 7 2 2" xfId="27649" xr:uid="{00000000-0005-0000-0000-0000C5700000}"/>
    <cellStyle name="Normal 3 3 4 7 3" xfId="31765" xr:uid="{00000000-0005-0000-0000-0000C6700000}"/>
    <cellStyle name="Normal 3 3 4 8" xfId="7478" xr:uid="{00000000-0005-0000-0000-0000C7700000}"/>
    <cellStyle name="Normal 3 3 4 8 2" xfId="15986" xr:uid="{00000000-0005-0000-0000-0000C8700000}"/>
    <cellStyle name="Normal 3 3 4 8 2 2" xfId="29393" xr:uid="{00000000-0005-0000-0000-0000C9700000}"/>
    <cellStyle name="Normal 3 3 4 8 3" xfId="31766" xr:uid="{00000000-0005-0000-0000-0000CA700000}"/>
    <cellStyle name="Normal 3 3 4 9" xfId="10206" xr:uid="{00000000-0005-0000-0000-0000CB700000}"/>
    <cellStyle name="Normal 3 3 4 9 2" xfId="24409" xr:uid="{00000000-0005-0000-0000-0000CC700000}"/>
    <cellStyle name="Normal 3 3 5" xfId="7479" xr:uid="{00000000-0005-0000-0000-0000CD700000}"/>
    <cellStyle name="Normal 3 3 5 2" xfId="7480" xr:uid="{00000000-0005-0000-0000-0000CE700000}"/>
    <cellStyle name="Normal 3 3 5 2 2" xfId="7481" xr:uid="{00000000-0005-0000-0000-0000CF700000}"/>
    <cellStyle name="Normal 3 3 5 2 2 2" xfId="7482" xr:uid="{00000000-0005-0000-0000-0000D0700000}"/>
    <cellStyle name="Normal 3 3 5 2 2 2 2" xfId="16910" xr:uid="{00000000-0005-0000-0000-0000D1700000}"/>
    <cellStyle name="Normal 3 3 5 2 2 2 2 2" xfId="30317" xr:uid="{00000000-0005-0000-0000-0000D2700000}"/>
    <cellStyle name="Normal 3 3 5 2 2 2 3" xfId="31770" xr:uid="{00000000-0005-0000-0000-0000D3700000}"/>
    <cellStyle name="Normal 3 3 5 2 2 3" xfId="11574" xr:uid="{00000000-0005-0000-0000-0000D4700000}"/>
    <cellStyle name="Normal 3 3 5 2 2 3 2" xfId="25405" xr:uid="{00000000-0005-0000-0000-0000D5700000}"/>
    <cellStyle name="Normal 3 3 5 2 2 4" xfId="31769" xr:uid="{00000000-0005-0000-0000-0000D6700000}"/>
    <cellStyle name="Normal 3 3 5 2 3" xfId="7483" xr:uid="{00000000-0005-0000-0000-0000D7700000}"/>
    <cellStyle name="Normal 3 3 5 2 3 2" xfId="12298" xr:uid="{00000000-0005-0000-0000-0000D8700000}"/>
    <cellStyle name="Normal 3 3 5 2 3 2 2" xfId="26010" xr:uid="{00000000-0005-0000-0000-0000D9700000}"/>
    <cellStyle name="Normal 3 3 5 2 3 3" xfId="31771" xr:uid="{00000000-0005-0000-0000-0000DA700000}"/>
    <cellStyle name="Normal 3 3 5 2 4" xfId="7484" xr:uid="{00000000-0005-0000-0000-0000DB700000}"/>
    <cellStyle name="Normal 3 3 5 2 4 2" xfId="13862" xr:uid="{00000000-0005-0000-0000-0000DC700000}"/>
    <cellStyle name="Normal 3 3 5 2 4 2 2" xfId="27411" xr:uid="{00000000-0005-0000-0000-0000DD700000}"/>
    <cellStyle name="Normal 3 3 5 2 4 3" xfId="31772" xr:uid="{00000000-0005-0000-0000-0000DE700000}"/>
    <cellStyle name="Normal 3 3 5 2 5" xfId="7485" xr:uid="{00000000-0005-0000-0000-0000DF700000}"/>
    <cellStyle name="Normal 3 3 5 2 5 2" xfId="14443" xr:uid="{00000000-0005-0000-0000-0000E0700000}"/>
    <cellStyle name="Normal 3 3 5 2 5 2 2" xfId="27992" xr:uid="{00000000-0005-0000-0000-0000E1700000}"/>
    <cellStyle name="Normal 3 3 5 2 5 3" xfId="31773" xr:uid="{00000000-0005-0000-0000-0000E2700000}"/>
    <cellStyle name="Normal 3 3 5 2 6" xfId="7486" xr:uid="{00000000-0005-0000-0000-0000E3700000}"/>
    <cellStyle name="Normal 3 3 5 2 6 2" xfId="16329" xr:uid="{00000000-0005-0000-0000-0000E4700000}"/>
    <cellStyle name="Normal 3 3 5 2 6 2 2" xfId="29736" xr:uid="{00000000-0005-0000-0000-0000E5700000}"/>
    <cellStyle name="Normal 3 3 5 2 6 3" xfId="31774" xr:uid="{00000000-0005-0000-0000-0000E6700000}"/>
    <cellStyle name="Normal 3 3 5 2 7" xfId="10211" xr:uid="{00000000-0005-0000-0000-0000E7700000}"/>
    <cellStyle name="Normal 3 3 5 2 7 2" xfId="24414" xr:uid="{00000000-0005-0000-0000-0000E8700000}"/>
    <cellStyle name="Normal 3 3 5 2 8" xfId="31768" xr:uid="{00000000-0005-0000-0000-0000E9700000}"/>
    <cellStyle name="Normal 3 3 5 3" xfId="7487" xr:uid="{00000000-0005-0000-0000-0000EA700000}"/>
    <cellStyle name="Normal 3 3 5 3 2" xfId="7488" xr:uid="{00000000-0005-0000-0000-0000EB700000}"/>
    <cellStyle name="Normal 3 3 5 3 2 2" xfId="16621" xr:uid="{00000000-0005-0000-0000-0000EC700000}"/>
    <cellStyle name="Normal 3 3 5 3 2 2 2" xfId="30028" xr:uid="{00000000-0005-0000-0000-0000ED700000}"/>
    <cellStyle name="Normal 3 3 5 3 2 3" xfId="31776" xr:uid="{00000000-0005-0000-0000-0000EE700000}"/>
    <cellStyle name="Normal 3 3 5 3 3" xfId="11573" xr:uid="{00000000-0005-0000-0000-0000EF700000}"/>
    <cellStyle name="Normal 3 3 5 3 3 2" xfId="25404" xr:uid="{00000000-0005-0000-0000-0000F0700000}"/>
    <cellStyle name="Normal 3 3 5 3 4" xfId="31775" xr:uid="{00000000-0005-0000-0000-0000F1700000}"/>
    <cellStyle name="Normal 3 3 5 4" xfId="7489" xr:uid="{00000000-0005-0000-0000-0000F2700000}"/>
    <cellStyle name="Normal 3 3 5 4 2" xfId="11998" xr:uid="{00000000-0005-0000-0000-0000F3700000}"/>
    <cellStyle name="Normal 3 3 5 4 2 2" xfId="25713" xr:uid="{00000000-0005-0000-0000-0000F4700000}"/>
    <cellStyle name="Normal 3 3 5 4 3" xfId="31777" xr:uid="{00000000-0005-0000-0000-0000F5700000}"/>
    <cellStyle name="Normal 3 3 5 5" xfId="7490" xr:uid="{00000000-0005-0000-0000-0000F6700000}"/>
    <cellStyle name="Normal 3 3 5 5 2" xfId="13573" xr:uid="{00000000-0005-0000-0000-0000F7700000}"/>
    <cellStyle name="Normal 3 3 5 5 2 2" xfId="27122" xr:uid="{00000000-0005-0000-0000-0000F8700000}"/>
    <cellStyle name="Normal 3 3 5 5 3" xfId="31778" xr:uid="{00000000-0005-0000-0000-0000F9700000}"/>
    <cellStyle name="Normal 3 3 5 6" xfId="7491" xr:uid="{00000000-0005-0000-0000-0000FA700000}"/>
    <cellStyle name="Normal 3 3 5 6 2" xfId="14154" xr:uid="{00000000-0005-0000-0000-0000FB700000}"/>
    <cellStyle name="Normal 3 3 5 6 2 2" xfId="27703" xr:uid="{00000000-0005-0000-0000-0000FC700000}"/>
    <cellStyle name="Normal 3 3 5 6 3" xfId="31779" xr:uid="{00000000-0005-0000-0000-0000FD700000}"/>
    <cellStyle name="Normal 3 3 5 7" xfId="7492" xr:uid="{00000000-0005-0000-0000-0000FE700000}"/>
    <cellStyle name="Normal 3 3 5 7 2" xfId="16040" xr:uid="{00000000-0005-0000-0000-0000FF700000}"/>
    <cellStyle name="Normal 3 3 5 7 2 2" xfId="29447" xr:uid="{00000000-0005-0000-0000-000000710000}"/>
    <cellStyle name="Normal 3 3 5 7 3" xfId="31780" xr:uid="{00000000-0005-0000-0000-000001710000}"/>
    <cellStyle name="Normal 3 3 5 8" xfId="10210" xr:uid="{00000000-0005-0000-0000-000002710000}"/>
    <cellStyle name="Normal 3 3 5 8 2" xfId="24413" xr:uid="{00000000-0005-0000-0000-000003710000}"/>
    <cellStyle name="Normal 3 3 5 9" xfId="31767" xr:uid="{00000000-0005-0000-0000-000004710000}"/>
    <cellStyle name="Normal 3 3 6" xfId="7493" xr:uid="{00000000-0005-0000-0000-000005710000}"/>
    <cellStyle name="Normal 3 3 6 2" xfId="7494" xr:uid="{00000000-0005-0000-0000-000006710000}"/>
    <cellStyle name="Normal 3 3 6 2 2" xfId="7495" xr:uid="{00000000-0005-0000-0000-000007710000}"/>
    <cellStyle name="Normal 3 3 6 2 2 2" xfId="16733" xr:uid="{00000000-0005-0000-0000-000008710000}"/>
    <cellStyle name="Normal 3 3 6 2 2 2 2" xfId="30140" xr:uid="{00000000-0005-0000-0000-000009710000}"/>
    <cellStyle name="Normal 3 3 6 2 2 3" xfId="31783" xr:uid="{00000000-0005-0000-0000-00000A710000}"/>
    <cellStyle name="Normal 3 3 6 2 3" xfId="11575" xr:uid="{00000000-0005-0000-0000-00000B710000}"/>
    <cellStyle name="Normal 3 3 6 2 3 2" xfId="25406" xr:uid="{00000000-0005-0000-0000-00000C710000}"/>
    <cellStyle name="Normal 3 3 6 2 4" xfId="31782" xr:uid="{00000000-0005-0000-0000-00000D710000}"/>
    <cellStyle name="Normal 3 3 6 3" xfId="7496" xr:uid="{00000000-0005-0000-0000-00000E710000}"/>
    <cellStyle name="Normal 3 3 6 3 2" xfId="12121" xr:uid="{00000000-0005-0000-0000-00000F710000}"/>
    <cellStyle name="Normal 3 3 6 3 2 2" xfId="25833" xr:uid="{00000000-0005-0000-0000-000010710000}"/>
    <cellStyle name="Normal 3 3 6 3 3" xfId="31784" xr:uid="{00000000-0005-0000-0000-000011710000}"/>
    <cellStyle name="Normal 3 3 6 4" xfId="7497" xr:uid="{00000000-0005-0000-0000-000012710000}"/>
    <cellStyle name="Normal 3 3 6 4 2" xfId="13685" xr:uid="{00000000-0005-0000-0000-000013710000}"/>
    <cellStyle name="Normal 3 3 6 4 2 2" xfId="27234" xr:uid="{00000000-0005-0000-0000-000014710000}"/>
    <cellStyle name="Normal 3 3 6 4 3" xfId="31785" xr:uid="{00000000-0005-0000-0000-000015710000}"/>
    <cellStyle name="Normal 3 3 6 5" xfId="7498" xr:uid="{00000000-0005-0000-0000-000016710000}"/>
    <cellStyle name="Normal 3 3 6 5 2" xfId="14266" xr:uid="{00000000-0005-0000-0000-000017710000}"/>
    <cellStyle name="Normal 3 3 6 5 2 2" xfId="27815" xr:uid="{00000000-0005-0000-0000-000018710000}"/>
    <cellStyle name="Normal 3 3 6 5 3" xfId="31786" xr:uid="{00000000-0005-0000-0000-000019710000}"/>
    <cellStyle name="Normal 3 3 6 6" xfId="7499" xr:uid="{00000000-0005-0000-0000-00001A710000}"/>
    <cellStyle name="Normal 3 3 6 6 2" xfId="16152" xr:uid="{00000000-0005-0000-0000-00001B710000}"/>
    <cellStyle name="Normal 3 3 6 6 2 2" xfId="29559" xr:uid="{00000000-0005-0000-0000-00001C710000}"/>
    <cellStyle name="Normal 3 3 6 6 3" xfId="31787" xr:uid="{00000000-0005-0000-0000-00001D710000}"/>
    <cellStyle name="Normal 3 3 6 7" xfId="10212" xr:uid="{00000000-0005-0000-0000-00001E710000}"/>
    <cellStyle name="Normal 3 3 6 7 2" xfId="24415" xr:uid="{00000000-0005-0000-0000-00001F710000}"/>
    <cellStyle name="Normal 3 3 6 8" xfId="31781" xr:uid="{00000000-0005-0000-0000-000020710000}"/>
    <cellStyle name="Normal 3 3 7" xfId="7500" xr:uid="{00000000-0005-0000-0000-000021710000}"/>
    <cellStyle name="Normal 3 3 7 2" xfId="7501" xr:uid="{00000000-0005-0000-0000-000022710000}"/>
    <cellStyle name="Normal 3 3 7 2 2" xfId="7502" xr:uid="{00000000-0005-0000-0000-000023710000}"/>
    <cellStyle name="Normal 3 3 7 2 2 2" xfId="17006" xr:uid="{00000000-0005-0000-0000-000024710000}"/>
    <cellStyle name="Normal 3 3 7 2 2 2 2" xfId="30413" xr:uid="{00000000-0005-0000-0000-000025710000}"/>
    <cellStyle name="Normal 3 3 7 2 2 3" xfId="31790" xr:uid="{00000000-0005-0000-0000-000026710000}"/>
    <cellStyle name="Normal 3 3 7 2 3" xfId="11576" xr:uid="{00000000-0005-0000-0000-000027710000}"/>
    <cellStyle name="Normal 3 3 7 2 3 2" xfId="25407" xr:uid="{00000000-0005-0000-0000-000028710000}"/>
    <cellStyle name="Normal 3 3 7 2 4" xfId="31789" xr:uid="{00000000-0005-0000-0000-000029710000}"/>
    <cellStyle name="Normal 3 3 7 3" xfId="7503" xr:uid="{00000000-0005-0000-0000-00002A710000}"/>
    <cellStyle name="Normal 3 3 7 3 2" xfId="12395" xr:uid="{00000000-0005-0000-0000-00002B710000}"/>
    <cellStyle name="Normal 3 3 7 3 2 2" xfId="26107" xr:uid="{00000000-0005-0000-0000-00002C710000}"/>
    <cellStyle name="Normal 3 3 7 3 3" xfId="31791" xr:uid="{00000000-0005-0000-0000-00002D710000}"/>
    <cellStyle name="Normal 3 3 7 4" xfId="7504" xr:uid="{00000000-0005-0000-0000-00002E710000}"/>
    <cellStyle name="Normal 3 3 7 4 2" xfId="13958" xr:uid="{00000000-0005-0000-0000-00002F710000}"/>
    <cellStyle name="Normal 3 3 7 4 2 2" xfId="27507" xr:uid="{00000000-0005-0000-0000-000030710000}"/>
    <cellStyle name="Normal 3 3 7 4 3" xfId="31792" xr:uid="{00000000-0005-0000-0000-000031710000}"/>
    <cellStyle name="Normal 3 3 7 5" xfId="7505" xr:uid="{00000000-0005-0000-0000-000032710000}"/>
    <cellStyle name="Normal 3 3 7 5 2" xfId="14539" xr:uid="{00000000-0005-0000-0000-000033710000}"/>
    <cellStyle name="Normal 3 3 7 5 2 2" xfId="28088" xr:uid="{00000000-0005-0000-0000-000034710000}"/>
    <cellStyle name="Normal 3 3 7 5 3" xfId="31793" xr:uid="{00000000-0005-0000-0000-000035710000}"/>
    <cellStyle name="Normal 3 3 7 6" xfId="7506" xr:uid="{00000000-0005-0000-0000-000036710000}"/>
    <cellStyle name="Normal 3 3 7 6 2" xfId="16425" xr:uid="{00000000-0005-0000-0000-000037710000}"/>
    <cellStyle name="Normal 3 3 7 6 2 2" xfId="29832" xr:uid="{00000000-0005-0000-0000-000038710000}"/>
    <cellStyle name="Normal 3 3 7 6 3" xfId="31794" xr:uid="{00000000-0005-0000-0000-000039710000}"/>
    <cellStyle name="Normal 3 3 7 7" xfId="10213" xr:uid="{00000000-0005-0000-0000-00003A710000}"/>
    <cellStyle name="Normal 3 3 7 7 2" xfId="24416" xr:uid="{00000000-0005-0000-0000-00003B710000}"/>
    <cellStyle name="Normal 3 3 7 8" xfId="31788" xr:uid="{00000000-0005-0000-0000-00003C710000}"/>
    <cellStyle name="Normal 3 3 8" xfId="7507" xr:uid="{00000000-0005-0000-0000-00003D710000}"/>
    <cellStyle name="Normal 3 3 8 2" xfId="7508" xr:uid="{00000000-0005-0000-0000-00003E710000}"/>
    <cellStyle name="Normal 3 3 8 2 2" xfId="17042" xr:uid="{00000000-0005-0000-0000-00003F710000}"/>
    <cellStyle name="Normal 3 3 8 2 2 2" xfId="30443" xr:uid="{00000000-0005-0000-0000-000040710000}"/>
    <cellStyle name="Normal 3 3 8 2 3" xfId="31796" xr:uid="{00000000-0005-0000-0000-000041710000}"/>
    <cellStyle name="Normal 3 3 8 3" xfId="11556" xr:uid="{00000000-0005-0000-0000-000042710000}"/>
    <cellStyle name="Normal 3 3 8 3 2" xfId="25387" xr:uid="{00000000-0005-0000-0000-000043710000}"/>
    <cellStyle name="Normal 3 3 8 4" xfId="31795" xr:uid="{00000000-0005-0000-0000-000044710000}"/>
    <cellStyle name="Normal 3 3 9" xfId="7509" xr:uid="{00000000-0005-0000-0000-000045710000}"/>
    <cellStyle name="Normal 3 3 9 2" xfId="7510" xr:uid="{00000000-0005-0000-0000-000046710000}"/>
    <cellStyle name="Normal 3 3 9 2 2" xfId="17114" xr:uid="{00000000-0005-0000-0000-000047710000}"/>
    <cellStyle name="Normal 3 3 9 2 2 2" xfId="30473" xr:uid="{00000000-0005-0000-0000-000048710000}"/>
    <cellStyle name="Normal 3 3 9 2 3" xfId="31798" xr:uid="{00000000-0005-0000-0000-000049710000}"/>
    <cellStyle name="Normal 3 3 9 3" xfId="11829" xr:uid="{00000000-0005-0000-0000-00004A710000}"/>
    <cellStyle name="Normal 3 3 9 3 2" xfId="25544" xr:uid="{00000000-0005-0000-0000-00004B710000}"/>
    <cellStyle name="Normal 3 3 9 4" xfId="31797" xr:uid="{00000000-0005-0000-0000-00004C710000}"/>
    <cellStyle name="Normal 3 4" xfId="7511" xr:uid="{00000000-0005-0000-0000-00004D710000}"/>
    <cellStyle name="Normal 3 4 10" xfId="31799" xr:uid="{00000000-0005-0000-0000-00004E710000}"/>
    <cellStyle name="Normal 3 4 11" xfId="32926" xr:uid="{00000000-0005-0000-0000-00004F710000}"/>
    <cellStyle name="Normal 3 4 12" xfId="32986" xr:uid="{00000000-0005-0000-0000-000050710000}"/>
    <cellStyle name="Normal 3 4 2" xfId="7512" xr:uid="{00000000-0005-0000-0000-000051710000}"/>
    <cellStyle name="Normal 3 4 2 10" xfId="33014" xr:uid="{00000000-0005-0000-0000-000052710000}"/>
    <cellStyle name="Normal 3 4 2 2" xfId="7513" xr:uid="{00000000-0005-0000-0000-000053710000}"/>
    <cellStyle name="Normal 3 4 2 2 2" xfId="7514" xr:uid="{00000000-0005-0000-0000-000054710000}"/>
    <cellStyle name="Normal 3 4 2 2 2 2" xfId="17001" xr:uid="{00000000-0005-0000-0000-000055710000}"/>
    <cellStyle name="Normal 3 4 2 2 2 2 2" xfId="30408" xr:uid="{00000000-0005-0000-0000-000056710000}"/>
    <cellStyle name="Normal 3 4 2 2 2 3" xfId="31802" xr:uid="{00000000-0005-0000-0000-000057710000}"/>
    <cellStyle name="Normal 3 4 2 2 3" xfId="11578" xr:uid="{00000000-0005-0000-0000-000058710000}"/>
    <cellStyle name="Normal 3 4 2 2 3 2" xfId="25409" xr:uid="{00000000-0005-0000-0000-000059710000}"/>
    <cellStyle name="Normal 3 4 2 2 4" xfId="31801" xr:uid="{00000000-0005-0000-0000-00005A710000}"/>
    <cellStyle name="Normal 3 4 2 3" xfId="7515" xr:uid="{00000000-0005-0000-0000-00005B710000}"/>
    <cellStyle name="Normal 3 4 2 3 2" xfId="12389" xr:uid="{00000000-0005-0000-0000-00005C710000}"/>
    <cellStyle name="Normal 3 4 2 3 2 2" xfId="26101" xr:uid="{00000000-0005-0000-0000-00005D710000}"/>
    <cellStyle name="Normal 3 4 2 3 3" xfId="31803" xr:uid="{00000000-0005-0000-0000-00005E710000}"/>
    <cellStyle name="Normal 3 4 2 4" xfId="7516" xr:uid="{00000000-0005-0000-0000-00005F710000}"/>
    <cellStyle name="Normal 3 4 2 4 2" xfId="13953" xr:uid="{00000000-0005-0000-0000-000060710000}"/>
    <cellStyle name="Normal 3 4 2 4 2 2" xfId="27502" xr:uid="{00000000-0005-0000-0000-000061710000}"/>
    <cellStyle name="Normal 3 4 2 4 3" xfId="31804" xr:uid="{00000000-0005-0000-0000-000062710000}"/>
    <cellStyle name="Normal 3 4 2 5" xfId="7517" xr:uid="{00000000-0005-0000-0000-000063710000}"/>
    <cellStyle name="Normal 3 4 2 5 2" xfId="14534" xr:uid="{00000000-0005-0000-0000-000064710000}"/>
    <cellStyle name="Normal 3 4 2 5 2 2" xfId="28083" xr:uid="{00000000-0005-0000-0000-000065710000}"/>
    <cellStyle name="Normal 3 4 2 5 3" xfId="31805" xr:uid="{00000000-0005-0000-0000-000066710000}"/>
    <cellStyle name="Normal 3 4 2 6" xfId="7518" xr:uid="{00000000-0005-0000-0000-000067710000}"/>
    <cellStyle name="Normal 3 4 2 6 2" xfId="16420" xr:uid="{00000000-0005-0000-0000-000068710000}"/>
    <cellStyle name="Normal 3 4 2 6 2 2" xfId="29827" xr:uid="{00000000-0005-0000-0000-000069710000}"/>
    <cellStyle name="Normal 3 4 2 6 3" xfId="31806" xr:uid="{00000000-0005-0000-0000-00006A710000}"/>
    <cellStyle name="Normal 3 4 2 7" xfId="10214" xr:uid="{00000000-0005-0000-0000-00006B710000}"/>
    <cellStyle name="Normal 3 4 2 7 2" xfId="24417" xr:uid="{00000000-0005-0000-0000-00006C710000}"/>
    <cellStyle name="Normal 3 4 2 8" xfId="31800" xr:uid="{00000000-0005-0000-0000-00006D710000}"/>
    <cellStyle name="Normal 3 4 2 9" xfId="32956" xr:uid="{00000000-0005-0000-0000-00006E710000}"/>
    <cellStyle name="Normal 3 4 3" xfId="7519" xr:uid="{00000000-0005-0000-0000-00006F710000}"/>
    <cellStyle name="Normal 3 4 3 2" xfId="7520" xr:uid="{00000000-0005-0000-0000-000070710000}"/>
    <cellStyle name="Normal 3 4 3 2 2" xfId="17044" xr:uid="{00000000-0005-0000-0000-000071710000}"/>
    <cellStyle name="Normal 3 4 3 2 2 2" xfId="30445" xr:uid="{00000000-0005-0000-0000-000072710000}"/>
    <cellStyle name="Normal 3 4 3 2 3" xfId="31808" xr:uid="{00000000-0005-0000-0000-000073710000}"/>
    <cellStyle name="Normal 3 4 3 3" xfId="10215" xr:uid="{00000000-0005-0000-0000-000074710000}"/>
    <cellStyle name="Normal 3 4 3 4" xfId="31807" xr:uid="{00000000-0005-0000-0000-000075710000}"/>
    <cellStyle name="Normal 3 4 4" xfId="7521" xr:uid="{00000000-0005-0000-0000-000076710000}"/>
    <cellStyle name="Normal 3 4 4 2" xfId="11577" xr:uid="{00000000-0005-0000-0000-000077710000}"/>
    <cellStyle name="Normal 3 4 4 2 2" xfId="25408" xr:uid="{00000000-0005-0000-0000-000078710000}"/>
    <cellStyle name="Normal 3 4 4 3" xfId="31809" xr:uid="{00000000-0005-0000-0000-000079710000}"/>
    <cellStyle name="Normal 3 4 5" xfId="7522" xr:uid="{00000000-0005-0000-0000-00007A710000}"/>
    <cellStyle name="Normal 3 4 5 2" xfId="13264" xr:uid="{00000000-0005-0000-0000-00007B710000}"/>
    <cellStyle name="Normal 3 4 5 2 2" xfId="26898" xr:uid="{00000000-0005-0000-0000-00007C710000}"/>
    <cellStyle name="Normal 3 4 5 3" xfId="31810" xr:uid="{00000000-0005-0000-0000-00007D710000}"/>
    <cellStyle name="Normal 3 4 6" xfId="7523" xr:uid="{00000000-0005-0000-0000-00007E710000}"/>
    <cellStyle name="Normal 3 4 6 2" xfId="15704" xr:uid="{00000000-0005-0000-0000-00007F710000}"/>
    <cellStyle name="Normal 3 4 6 2 2" xfId="29190" xr:uid="{00000000-0005-0000-0000-000080710000}"/>
    <cellStyle name="Normal 3 4 6 3" xfId="31811" xr:uid="{00000000-0005-0000-0000-000081710000}"/>
    <cellStyle name="Normal 3 4 7" xfId="7524" xr:uid="{00000000-0005-0000-0000-000082710000}"/>
    <cellStyle name="Normal 3 4 7 2" xfId="15812" xr:uid="{00000000-0005-0000-0000-000083710000}"/>
    <cellStyle name="Normal 3 4 7 2 2" xfId="29219" xr:uid="{00000000-0005-0000-0000-000084710000}"/>
    <cellStyle name="Normal 3 4 7 3" xfId="31812" xr:uid="{00000000-0005-0000-0000-000085710000}"/>
    <cellStyle name="Normal 3 4 8" xfId="8688" xr:uid="{00000000-0005-0000-0000-000086710000}"/>
    <cellStyle name="Normal 3 4 8 2" xfId="17313" xr:uid="{00000000-0005-0000-0000-000087710000}"/>
    <cellStyle name="Normal 3 4 8 2 2" xfId="30666" xr:uid="{00000000-0005-0000-0000-000088710000}"/>
    <cellStyle name="Normal 3 4 8 3" xfId="23218" xr:uid="{00000000-0005-0000-0000-000089710000}"/>
    <cellStyle name="Normal 3 4 9" xfId="8797" xr:uid="{00000000-0005-0000-0000-00008A710000}"/>
    <cellStyle name="Normal 3 4 9 2" xfId="23275" xr:uid="{00000000-0005-0000-0000-00008B710000}"/>
    <cellStyle name="Normal 3 5" xfId="7525" xr:uid="{00000000-0005-0000-0000-00008C710000}"/>
    <cellStyle name="Normal 3 5 10" xfId="32994" xr:uid="{00000000-0005-0000-0000-00008D710000}"/>
    <cellStyle name="Normal 3 5 2" xfId="7526" xr:uid="{00000000-0005-0000-0000-00008E710000}"/>
    <cellStyle name="Normal 3 5 2 2" xfId="11579" xr:uid="{00000000-0005-0000-0000-00008F710000}"/>
    <cellStyle name="Normal 3 5 2 2 2" xfId="25410" xr:uid="{00000000-0005-0000-0000-000090710000}"/>
    <cellStyle name="Normal 3 5 2 3" xfId="31814" xr:uid="{00000000-0005-0000-0000-000091710000}"/>
    <cellStyle name="Normal 3 5 2 4" xfId="32957" xr:uid="{00000000-0005-0000-0000-000092710000}"/>
    <cellStyle name="Normal 3 5 2 5" xfId="33015" xr:uid="{00000000-0005-0000-0000-000093710000}"/>
    <cellStyle name="Normal 3 5 3" xfId="7527" xr:uid="{00000000-0005-0000-0000-000094710000}"/>
    <cellStyle name="Normal 3 5 3 2" xfId="13265" xr:uid="{00000000-0005-0000-0000-000095710000}"/>
    <cellStyle name="Normal 3 5 3 2 2" xfId="26899" xr:uid="{00000000-0005-0000-0000-000096710000}"/>
    <cellStyle name="Normal 3 5 3 3" xfId="31815" xr:uid="{00000000-0005-0000-0000-000097710000}"/>
    <cellStyle name="Normal 3 5 4" xfId="7528" xr:uid="{00000000-0005-0000-0000-000098710000}"/>
    <cellStyle name="Normal 3 5 4 2" xfId="15705" xr:uid="{00000000-0005-0000-0000-000099710000}"/>
    <cellStyle name="Normal 3 5 4 2 2" xfId="29191" xr:uid="{00000000-0005-0000-0000-00009A710000}"/>
    <cellStyle name="Normal 3 5 4 3" xfId="31816" xr:uid="{00000000-0005-0000-0000-00009B710000}"/>
    <cellStyle name="Normal 3 5 5" xfId="7529" xr:uid="{00000000-0005-0000-0000-00009C710000}"/>
    <cellStyle name="Normal 3 5 5 2" xfId="15813" xr:uid="{00000000-0005-0000-0000-00009D710000}"/>
    <cellStyle name="Normal 3 5 5 2 2" xfId="29220" xr:uid="{00000000-0005-0000-0000-00009E710000}"/>
    <cellStyle name="Normal 3 5 5 3" xfId="31817" xr:uid="{00000000-0005-0000-0000-00009F710000}"/>
    <cellStyle name="Normal 3 5 6" xfId="8703" xr:uid="{00000000-0005-0000-0000-0000A0710000}"/>
    <cellStyle name="Normal 3 5 6 2" xfId="17321" xr:uid="{00000000-0005-0000-0000-0000A1710000}"/>
    <cellStyle name="Normal 3 5 6 2 2" xfId="30674" xr:uid="{00000000-0005-0000-0000-0000A2710000}"/>
    <cellStyle name="Normal 3 5 6 3" xfId="23226" xr:uid="{00000000-0005-0000-0000-0000A3710000}"/>
    <cellStyle name="Normal 3 5 7" xfId="8805" xr:uid="{00000000-0005-0000-0000-0000A4710000}"/>
    <cellStyle name="Normal 3 5 7 2" xfId="23283" xr:uid="{00000000-0005-0000-0000-0000A5710000}"/>
    <cellStyle name="Normal 3 5 8" xfId="31813" xr:uid="{00000000-0005-0000-0000-0000A6710000}"/>
    <cellStyle name="Normal 3 5 9" xfId="32934" xr:uid="{00000000-0005-0000-0000-0000A7710000}"/>
    <cellStyle name="Normal 3 6" xfId="7530" xr:uid="{00000000-0005-0000-0000-0000A8710000}"/>
    <cellStyle name="Normal 3 6 10" xfId="32993" xr:uid="{00000000-0005-0000-0000-0000A9710000}"/>
    <cellStyle name="Normal 3 6 2" xfId="7531" xr:uid="{00000000-0005-0000-0000-0000AA710000}"/>
    <cellStyle name="Normal 3 6 2 2" xfId="11580" xr:uid="{00000000-0005-0000-0000-0000AB710000}"/>
    <cellStyle name="Normal 3 6 2 2 2" xfId="25411" xr:uid="{00000000-0005-0000-0000-0000AC710000}"/>
    <cellStyle name="Normal 3 6 2 3" xfId="31819" xr:uid="{00000000-0005-0000-0000-0000AD710000}"/>
    <cellStyle name="Normal 3 6 2 4" xfId="32958" xr:uid="{00000000-0005-0000-0000-0000AE710000}"/>
    <cellStyle name="Normal 3 6 2 5" xfId="33016" xr:uid="{00000000-0005-0000-0000-0000AF710000}"/>
    <cellStyle name="Normal 3 6 3" xfId="7532" xr:uid="{00000000-0005-0000-0000-0000B0710000}"/>
    <cellStyle name="Normal 3 6 3 2" xfId="13266" xr:uid="{00000000-0005-0000-0000-0000B1710000}"/>
    <cellStyle name="Normal 3 6 3 2 2" xfId="26900" xr:uid="{00000000-0005-0000-0000-0000B2710000}"/>
    <cellStyle name="Normal 3 6 3 3" xfId="31820" xr:uid="{00000000-0005-0000-0000-0000B3710000}"/>
    <cellStyle name="Normal 3 6 4" xfId="7533" xr:uid="{00000000-0005-0000-0000-0000B4710000}"/>
    <cellStyle name="Normal 3 6 4 2" xfId="15706" xr:uid="{00000000-0005-0000-0000-0000B5710000}"/>
    <cellStyle name="Normal 3 6 4 2 2" xfId="29192" xr:uid="{00000000-0005-0000-0000-0000B6710000}"/>
    <cellStyle name="Normal 3 6 4 3" xfId="31821" xr:uid="{00000000-0005-0000-0000-0000B7710000}"/>
    <cellStyle name="Normal 3 6 5" xfId="7534" xr:uid="{00000000-0005-0000-0000-0000B8710000}"/>
    <cellStyle name="Normal 3 6 5 2" xfId="15814" xr:uid="{00000000-0005-0000-0000-0000B9710000}"/>
    <cellStyle name="Normal 3 6 5 2 2" xfId="29221" xr:uid="{00000000-0005-0000-0000-0000BA710000}"/>
    <cellStyle name="Normal 3 6 5 3" xfId="31822" xr:uid="{00000000-0005-0000-0000-0000BB710000}"/>
    <cellStyle name="Normal 3 6 6" xfId="8701" xr:uid="{00000000-0005-0000-0000-0000BC710000}"/>
    <cellStyle name="Normal 3 6 6 2" xfId="17320" xr:uid="{00000000-0005-0000-0000-0000BD710000}"/>
    <cellStyle name="Normal 3 6 6 2 2" xfId="30673" xr:uid="{00000000-0005-0000-0000-0000BE710000}"/>
    <cellStyle name="Normal 3 6 6 3" xfId="23225" xr:uid="{00000000-0005-0000-0000-0000BF710000}"/>
    <cellStyle name="Normal 3 6 7" xfId="8804" xr:uid="{00000000-0005-0000-0000-0000C0710000}"/>
    <cellStyle name="Normal 3 6 7 2" xfId="23282" xr:uid="{00000000-0005-0000-0000-0000C1710000}"/>
    <cellStyle name="Normal 3 6 8" xfId="31818" xr:uid="{00000000-0005-0000-0000-0000C2710000}"/>
    <cellStyle name="Normal 3 6 9" xfId="32933" xr:uid="{00000000-0005-0000-0000-0000C3710000}"/>
    <cellStyle name="Normal 3 7" xfId="7535" xr:uid="{00000000-0005-0000-0000-0000C4710000}"/>
    <cellStyle name="Normal 3 7 10" xfId="32999" xr:uid="{00000000-0005-0000-0000-0000C5710000}"/>
    <cellStyle name="Normal 3 7 2" xfId="7536" xr:uid="{00000000-0005-0000-0000-0000C6710000}"/>
    <cellStyle name="Normal 3 7 2 2" xfId="11581" xr:uid="{00000000-0005-0000-0000-0000C7710000}"/>
    <cellStyle name="Normal 3 7 2 2 2" xfId="25412" xr:uid="{00000000-0005-0000-0000-0000C8710000}"/>
    <cellStyle name="Normal 3 7 2 3" xfId="31824" xr:uid="{00000000-0005-0000-0000-0000C9710000}"/>
    <cellStyle name="Normal 3 7 2 4" xfId="32959" xr:uid="{00000000-0005-0000-0000-0000CA710000}"/>
    <cellStyle name="Normal 3 7 2 5" xfId="33017" xr:uid="{00000000-0005-0000-0000-0000CB710000}"/>
    <cellStyle name="Normal 3 7 3" xfId="7537" xr:uid="{00000000-0005-0000-0000-0000CC710000}"/>
    <cellStyle name="Normal 3 7 3 2" xfId="13267" xr:uid="{00000000-0005-0000-0000-0000CD710000}"/>
    <cellStyle name="Normal 3 7 3 2 2" xfId="26901" xr:uid="{00000000-0005-0000-0000-0000CE710000}"/>
    <cellStyle name="Normal 3 7 3 3" xfId="31825" xr:uid="{00000000-0005-0000-0000-0000CF710000}"/>
    <cellStyle name="Normal 3 7 4" xfId="7538" xr:uid="{00000000-0005-0000-0000-0000D0710000}"/>
    <cellStyle name="Normal 3 7 4 2" xfId="15707" xr:uid="{00000000-0005-0000-0000-0000D1710000}"/>
    <cellStyle name="Normal 3 7 4 2 2" xfId="29193" xr:uid="{00000000-0005-0000-0000-0000D2710000}"/>
    <cellStyle name="Normal 3 7 4 3" xfId="31826" xr:uid="{00000000-0005-0000-0000-0000D3710000}"/>
    <cellStyle name="Normal 3 7 5" xfId="7539" xr:uid="{00000000-0005-0000-0000-0000D4710000}"/>
    <cellStyle name="Normal 3 7 5 2" xfId="15815" xr:uid="{00000000-0005-0000-0000-0000D5710000}"/>
    <cellStyle name="Normal 3 7 5 2 2" xfId="29222" xr:uid="{00000000-0005-0000-0000-0000D6710000}"/>
    <cellStyle name="Normal 3 7 5 3" xfId="31827" xr:uid="{00000000-0005-0000-0000-0000D7710000}"/>
    <cellStyle name="Normal 3 7 6" xfId="8714" xr:uid="{00000000-0005-0000-0000-0000D8710000}"/>
    <cellStyle name="Normal 3 7 6 2" xfId="17326" xr:uid="{00000000-0005-0000-0000-0000D9710000}"/>
    <cellStyle name="Normal 3 7 6 2 2" xfId="30679" xr:uid="{00000000-0005-0000-0000-0000DA710000}"/>
    <cellStyle name="Normal 3 7 6 3" xfId="23233" xr:uid="{00000000-0005-0000-0000-0000DB710000}"/>
    <cellStyle name="Normal 3 7 7" xfId="8810" xr:uid="{00000000-0005-0000-0000-0000DC710000}"/>
    <cellStyle name="Normal 3 7 7 2" xfId="23288" xr:uid="{00000000-0005-0000-0000-0000DD710000}"/>
    <cellStyle name="Normal 3 7 8" xfId="31823" xr:uid="{00000000-0005-0000-0000-0000DE710000}"/>
    <cellStyle name="Normal 3 7 9" xfId="32940" xr:uid="{00000000-0005-0000-0000-0000DF710000}"/>
    <cellStyle name="Normal 3 8" xfId="7540" xr:uid="{00000000-0005-0000-0000-0000E0710000}"/>
    <cellStyle name="Normal 3 8 10" xfId="33000" xr:uid="{00000000-0005-0000-0000-0000E1710000}"/>
    <cellStyle name="Normal 3 8 2" xfId="7541" xr:uid="{00000000-0005-0000-0000-0000E2710000}"/>
    <cellStyle name="Normal 3 8 2 2" xfId="11582" xr:uid="{00000000-0005-0000-0000-0000E3710000}"/>
    <cellStyle name="Normal 3 8 2 2 2" xfId="25413" xr:uid="{00000000-0005-0000-0000-0000E4710000}"/>
    <cellStyle name="Normal 3 8 2 3" xfId="31829" xr:uid="{00000000-0005-0000-0000-0000E5710000}"/>
    <cellStyle name="Normal 3 8 2 4" xfId="32960" xr:uid="{00000000-0005-0000-0000-0000E6710000}"/>
    <cellStyle name="Normal 3 8 2 5" xfId="33018" xr:uid="{00000000-0005-0000-0000-0000E7710000}"/>
    <cellStyle name="Normal 3 8 3" xfId="7542" xr:uid="{00000000-0005-0000-0000-0000E8710000}"/>
    <cellStyle name="Normal 3 8 3 2" xfId="13268" xr:uid="{00000000-0005-0000-0000-0000E9710000}"/>
    <cellStyle name="Normal 3 8 3 2 2" xfId="26902" xr:uid="{00000000-0005-0000-0000-0000EA710000}"/>
    <cellStyle name="Normal 3 8 3 3" xfId="31830" xr:uid="{00000000-0005-0000-0000-0000EB710000}"/>
    <cellStyle name="Normal 3 8 4" xfId="7543" xr:uid="{00000000-0005-0000-0000-0000EC710000}"/>
    <cellStyle name="Normal 3 8 4 2" xfId="15708" xr:uid="{00000000-0005-0000-0000-0000ED710000}"/>
    <cellStyle name="Normal 3 8 4 2 2" xfId="29194" xr:uid="{00000000-0005-0000-0000-0000EE710000}"/>
    <cellStyle name="Normal 3 8 4 3" xfId="31831" xr:uid="{00000000-0005-0000-0000-0000EF710000}"/>
    <cellStyle name="Normal 3 8 5" xfId="7544" xr:uid="{00000000-0005-0000-0000-0000F0710000}"/>
    <cellStyle name="Normal 3 8 5 2" xfId="15816" xr:uid="{00000000-0005-0000-0000-0000F1710000}"/>
    <cellStyle name="Normal 3 8 5 2 2" xfId="29223" xr:uid="{00000000-0005-0000-0000-0000F2710000}"/>
    <cellStyle name="Normal 3 8 5 3" xfId="31832" xr:uid="{00000000-0005-0000-0000-0000F3710000}"/>
    <cellStyle name="Normal 3 8 6" xfId="8716" xr:uid="{00000000-0005-0000-0000-0000F4710000}"/>
    <cellStyle name="Normal 3 8 6 2" xfId="17327" xr:uid="{00000000-0005-0000-0000-0000F5710000}"/>
    <cellStyle name="Normal 3 8 6 2 2" xfId="30680" xr:uid="{00000000-0005-0000-0000-0000F6710000}"/>
    <cellStyle name="Normal 3 8 6 3" xfId="23234" xr:uid="{00000000-0005-0000-0000-0000F7710000}"/>
    <cellStyle name="Normal 3 8 7" xfId="8811" xr:uid="{00000000-0005-0000-0000-0000F8710000}"/>
    <cellStyle name="Normal 3 8 7 2" xfId="23289" xr:uid="{00000000-0005-0000-0000-0000F9710000}"/>
    <cellStyle name="Normal 3 8 8" xfId="31828" xr:uid="{00000000-0005-0000-0000-0000FA710000}"/>
    <cellStyle name="Normal 3 8 9" xfId="32941" xr:uid="{00000000-0005-0000-0000-0000FB710000}"/>
    <cellStyle name="Normal 3 9" xfId="7545" xr:uid="{00000000-0005-0000-0000-0000FC710000}"/>
    <cellStyle name="Normal 3 9 10" xfId="33001" xr:uid="{00000000-0005-0000-0000-0000FD710000}"/>
    <cellStyle name="Normal 3 9 2" xfId="7546" xr:uid="{00000000-0005-0000-0000-0000FE710000}"/>
    <cellStyle name="Normal 3 9 2 2" xfId="11583" xr:uid="{00000000-0005-0000-0000-0000FF710000}"/>
    <cellStyle name="Normal 3 9 2 2 2" xfId="25414" xr:uid="{00000000-0005-0000-0000-000000720000}"/>
    <cellStyle name="Normal 3 9 2 3" xfId="31834" xr:uid="{00000000-0005-0000-0000-000001720000}"/>
    <cellStyle name="Normal 3 9 2 4" xfId="32961" xr:uid="{00000000-0005-0000-0000-000002720000}"/>
    <cellStyle name="Normal 3 9 2 5" xfId="33019" xr:uid="{00000000-0005-0000-0000-000003720000}"/>
    <cellStyle name="Normal 3 9 3" xfId="7547" xr:uid="{00000000-0005-0000-0000-000004720000}"/>
    <cellStyle name="Normal 3 9 3 2" xfId="13269" xr:uid="{00000000-0005-0000-0000-000005720000}"/>
    <cellStyle name="Normal 3 9 3 2 2" xfId="26903" xr:uid="{00000000-0005-0000-0000-000006720000}"/>
    <cellStyle name="Normal 3 9 3 3" xfId="31835" xr:uid="{00000000-0005-0000-0000-000007720000}"/>
    <cellStyle name="Normal 3 9 4" xfId="7548" xr:uid="{00000000-0005-0000-0000-000008720000}"/>
    <cellStyle name="Normal 3 9 4 2" xfId="15709" xr:uid="{00000000-0005-0000-0000-000009720000}"/>
    <cellStyle name="Normal 3 9 4 2 2" xfId="29195" xr:uid="{00000000-0005-0000-0000-00000A720000}"/>
    <cellStyle name="Normal 3 9 4 3" xfId="31836" xr:uid="{00000000-0005-0000-0000-00000B720000}"/>
    <cellStyle name="Normal 3 9 5" xfId="7549" xr:uid="{00000000-0005-0000-0000-00000C720000}"/>
    <cellStyle name="Normal 3 9 5 2" xfId="15817" xr:uid="{00000000-0005-0000-0000-00000D720000}"/>
    <cellStyle name="Normal 3 9 5 2 2" xfId="29224" xr:uid="{00000000-0005-0000-0000-00000E720000}"/>
    <cellStyle name="Normal 3 9 5 3" xfId="31837" xr:uid="{00000000-0005-0000-0000-00000F720000}"/>
    <cellStyle name="Normal 3 9 6" xfId="8717" xr:uid="{00000000-0005-0000-0000-000010720000}"/>
    <cellStyle name="Normal 3 9 6 2" xfId="17328" xr:uid="{00000000-0005-0000-0000-000011720000}"/>
    <cellStyle name="Normal 3 9 6 2 2" xfId="30681" xr:uid="{00000000-0005-0000-0000-000012720000}"/>
    <cellStyle name="Normal 3 9 6 3" xfId="23235" xr:uid="{00000000-0005-0000-0000-000013720000}"/>
    <cellStyle name="Normal 3 9 7" xfId="8812" xr:uid="{00000000-0005-0000-0000-000014720000}"/>
    <cellStyle name="Normal 3 9 7 2" xfId="23290" xr:uid="{00000000-0005-0000-0000-000015720000}"/>
    <cellStyle name="Normal 3 9 8" xfId="31833" xr:uid="{00000000-0005-0000-0000-000016720000}"/>
    <cellStyle name="Normal 3 9 9" xfId="32942" xr:uid="{00000000-0005-0000-0000-000017720000}"/>
    <cellStyle name="Normal 30" xfId="33111" xr:uid="{00000000-0005-0000-0000-000018720000}"/>
    <cellStyle name="Normal 34" xfId="7550" xr:uid="{00000000-0005-0000-0000-000019720000}"/>
    <cellStyle name="Normal 34 2" xfId="17045" xr:uid="{00000000-0005-0000-0000-00001A720000}"/>
    <cellStyle name="Normal 34 3" xfId="31838" xr:uid="{00000000-0005-0000-0000-00001B720000}"/>
    <cellStyle name="Normal 4" xfId="7551" xr:uid="{00000000-0005-0000-0000-00001C720000}"/>
    <cellStyle name="Normal 4 10" xfId="8790" xr:uid="{00000000-0005-0000-0000-00001D720000}"/>
    <cellStyle name="Normal 4 10 2" xfId="23268" xr:uid="{00000000-0005-0000-0000-00001E720000}"/>
    <cellStyle name="Normal 4 11" xfId="32912" xr:uid="{00000000-0005-0000-0000-00001F720000}"/>
    <cellStyle name="Normal 4 12" xfId="32975" xr:uid="{00000000-0005-0000-0000-000020720000}"/>
    <cellStyle name="Normal 4 2" xfId="7552" xr:uid="{00000000-0005-0000-0000-000021720000}"/>
    <cellStyle name="Normal 4 2 10" xfId="8794" xr:uid="{00000000-0005-0000-0000-000022720000}"/>
    <cellStyle name="Normal 4 2 10 2" xfId="23272" xr:uid="{00000000-0005-0000-0000-000023720000}"/>
    <cellStyle name="Normal 4 2 11" xfId="32923" xr:uid="{00000000-0005-0000-0000-000024720000}"/>
    <cellStyle name="Normal 4 2 12" xfId="32983" xr:uid="{00000000-0005-0000-0000-000025720000}"/>
    <cellStyle name="Normal 4 2 13" xfId="33040" xr:uid="{00000000-0005-0000-0000-000026720000}"/>
    <cellStyle name="Normal 4 2 2" xfId="7553" xr:uid="{00000000-0005-0000-0000-000027720000}"/>
    <cellStyle name="Normal 4 2 2 2" xfId="7554" xr:uid="{00000000-0005-0000-0000-000028720000}"/>
    <cellStyle name="Normal 4 2 2 2 2" xfId="11730" xr:uid="{00000000-0005-0000-0000-000029720000}"/>
    <cellStyle name="Normal 4 2 2 2 2 2" xfId="25449" xr:uid="{00000000-0005-0000-0000-00002A720000}"/>
    <cellStyle name="Normal 4 2 2 2 3" xfId="31839" xr:uid="{00000000-0005-0000-0000-00002B720000}"/>
    <cellStyle name="Normal 4 2 2 3" xfId="7555" xr:uid="{00000000-0005-0000-0000-00002C720000}"/>
    <cellStyle name="Normal 4 2 2 3 2" xfId="17046" xr:uid="{00000000-0005-0000-0000-00002D720000}"/>
    <cellStyle name="Normal 4 2 2 3 2 2" xfId="30446" xr:uid="{00000000-0005-0000-0000-00002E720000}"/>
    <cellStyle name="Normal 4 2 2 3 3" xfId="31840" xr:uid="{00000000-0005-0000-0000-00002F720000}"/>
    <cellStyle name="Normal 4 2 2 4" xfId="10216" xr:uid="{00000000-0005-0000-0000-000030720000}"/>
    <cellStyle name="Normal 4 2 2 5" xfId="32963" xr:uid="{00000000-0005-0000-0000-000031720000}"/>
    <cellStyle name="Normal 4 2 2 6" xfId="33021" xr:uid="{00000000-0005-0000-0000-000032720000}"/>
    <cellStyle name="Normal 4 2 3" xfId="7556" xr:uid="{00000000-0005-0000-0000-000033720000}"/>
    <cellStyle name="Normal 4 2 3 2" xfId="7557" xr:uid="{00000000-0005-0000-0000-000034720000}"/>
    <cellStyle name="Normal 4 2 3 2 2" xfId="10218" xr:uid="{00000000-0005-0000-0000-000035720000}"/>
    <cellStyle name="Normal 4 2 3 3" xfId="7558" xr:uid="{00000000-0005-0000-0000-000036720000}"/>
    <cellStyle name="Normal 4 2 3 3 2" xfId="13271" xr:uid="{00000000-0005-0000-0000-000037720000}"/>
    <cellStyle name="Normal 4 2 3 4" xfId="10217" xr:uid="{00000000-0005-0000-0000-000038720000}"/>
    <cellStyle name="Normal 4 2 4" xfId="7559" xr:uid="{00000000-0005-0000-0000-000039720000}"/>
    <cellStyle name="Normal 4 2 4 2" xfId="7560" xr:uid="{00000000-0005-0000-0000-00003A720000}"/>
    <cellStyle name="Normal 4 2 4 2 2" xfId="13272" xr:uid="{00000000-0005-0000-0000-00003B720000}"/>
    <cellStyle name="Normal 4 2 4 3" xfId="10523" xr:uid="{00000000-0005-0000-0000-00003C720000}"/>
    <cellStyle name="Normal 4 2 5" xfId="7561" xr:uid="{00000000-0005-0000-0000-00003D720000}"/>
    <cellStyle name="Normal 4 2 5 2" xfId="7562" xr:uid="{00000000-0005-0000-0000-00003E720000}"/>
    <cellStyle name="Normal 4 2 5 2 2" xfId="13273" xr:uid="{00000000-0005-0000-0000-00003F720000}"/>
    <cellStyle name="Normal 4 2 5 2 2 2" xfId="26905" xr:uid="{00000000-0005-0000-0000-000040720000}"/>
    <cellStyle name="Normal 4 2 5 2 3" xfId="31842" xr:uid="{00000000-0005-0000-0000-000041720000}"/>
    <cellStyle name="Normal 4 2 5 3" xfId="7563" xr:uid="{00000000-0005-0000-0000-000042720000}"/>
    <cellStyle name="Normal 4 2 5 3 2" xfId="15711" xr:uid="{00000000-0005-0000-0000-000043720000}"/>
    <cellStyle name="Normal 4 2 5 3 2 2" xfId="29197" xr:uid="{00000000-0005-0000-0000-000044720000}"/>
    <cellStyle name="Normal 4 2 5 3 3" xfId="31843" xr:uid="{00000000-0005-0000-0000-000045720000}"/>
    <cellStyle name="Normal 4 2 5 4" xfId="11585" xr:uid="{00000000-0005-0000-0000-000046720000}"/>
    <cellStyle name="Normal 4 2 5 4 2" xfId="25416" xr:uid="{00000000-0005-0000-0000-000047720000}"/>
    <cellStyle name="Normal 4 2 5 5" xfId="31841" xr:uid="{00000000-0005-0000-0000-000048720000}"/>
    <cellStyle name="Normal 4 2 6" xfId="7564" xr:uid="{00000000-0005-0000-0000-000049720000}"/>
    <cellStyle name="Normal 4 2 6 2" xfId="13270" xr:uid="{00000000-0005-0000-0000-00004A720000}"/>
    <cellStyle name="Normal 4 2 6 2 2" xfId="26904" xr:uid="{00000000-0005-0000-0000-00004B720000}"/>
    <cellStyle name="Normal 4 2 6 3" xfId="31844" xr:uid="{00000000-0005-0000-0000-00004C720000}"/>
    <cellStyle name="Normal 4 2 7" xfId="7565" xr:uid="{00000000-0005-0000-0000-00004D720000}"/>
    <cellStyle name="Normal 4 2 7 2" xfId="15710" xr:uid="{00000000-0005-0000-0000-00004E720000}"/>
    <cellStyle name="Normal 4 2 7 2 2" xfId="29196" xr:uid="{00000000-0005-0000-0000-00004F720000}"/>
    <cellStyle name="Normal 4 2 7 3" xfId="31845" xr:uid="{00000000-0005-0000-0000-000050720000}"/>
    <cellStyle name="Normal 4 2 8" xfId="7566" xr:uid="{00000000-0005-0000-0000-000051720000}"/>
    <cellStyle name="Normal 4 2 8 2" xfId="15819" xr:uid="{00000000-0005-0000-0000-000052720000}"/>
    <cellStyle name="Normal 4 2 8 2 2" xfId="29226" xr:uid="{00000000-0005-0000-0000-000053720000}"/>
    <cellStyle name="Normal 4 2 8 3" xfId="31846" xr:uid="{00000000-0005-0000-0000-000054720000}"/>
    <cellStyle name="Normal 4 2 9" xfId="8685" xr:uid="{00000000-0005-0000-0000-000055720000}"/>
    <cellStyle name="Normal 4 2 9 2" xfId="17310" xr:uid="{00000000-0005-0000-0000-000056720000}"/>
    <cellStyle name="Normal 4 2 9 2 2" xfId="30663" xr:uid="{00000000-0005-0000-0000-000057720000}"/>
    <cellStyle name="Normal 4 2 9 3" xfId="23215" xr:uid="{00000000-0005-0000-0000-000058720000}"/>
    <cellStyle name="Normal 4 3" xfId="7567" xr:uid="{00000000-0005-0000-0000-000059720000}"/>
    <cellStyle name="Normal 4 3 10" xfId="8798" xr:uid="{00000000-0005-0000-0000-00005A720000}"/>
    <cellStyle name="Normal 4 3 10 2" xfId="23276" xr:uid="{00000000-0005-0000-0000-00005B720000}"/>
    <cellStyle name="Normal 4 3 11" xfId="32927" xr:uid="{00000000-0005-0000-0000-00005C720000}"/>
    <cellStyle name="Normal 4 3 12" xfId="32987" xr:uid="{00000000-0005-0000-0000-00005D720000}"/>
    <cellStyle name="Normal 4 3 2" xfId="7568" xr:uid="{00000000-0005-0000-0000-00005E720000}"/>
    <cellStyle name="Normal 4 3 2 2" xfId="7569" xr:uid="{00000000-0005-0000-0000-00005F720000}"/>
    <cellStyle name="Normal 4 3 2 2 2" xfId="11731" xr:uid="{00000000-0005-0000-0000-000060720000}"/>
    <cellStyle name="Normal 4 3 2 2 2 2" xfId="25450" xr:uid="{00000000-0005-0000-0000-000061720000}"/>
    <cellStyle name="Normal 4 3 2 2 3" xfId="31847" xr:uid="{00000000-0005-0000-0000-000062720000}"/>
    <cellStyle name="Normal 4 3 2 3" xfId="7570" xr:uid="{00000000-0005-0000-0000-000063720000}"/>
    <cellStyle name="Normal 4 3 2 3 2" xfId="17047" xr:uid="{00000000-0005-0000-0000-000064720000}"/>
    <cellStyle name="Normal 4 3 2 3 2 2" xfId="30447" xr:uid="{00000000-0005-0000-0000-000065720000}"/>
    <cellStyle name="Normal 4 3 2 3 3" xfId="31848" xr:uid="{00000000-0005-0000-0000-000066720000}"/>
    <cellStyle name="Normal 4 3 2 4" xfId="10219" xr:uid="{00000000-0005-0000-0000-000067720000}"/>
    <cellStyle name="Normal 4 3 2 5" xfId="32964" xr:uid="{00000000-0005-0000-0000-000068720000}"/>
    <cellStyle name="Normal 4 3 2 6" xfId="33022" xr:uid="{00000000-0005-0000-0000-000069720000}"/>
    <cellStyle name="Normal 4 3 3" xfId="7571" xr:uid="{00000000-0005-0000-0000-00006A720000}"/>
    <cellStyle name="Normal 4 3 3 2" xfId="7572" xr:uid="{00000000-0005-0000-0000-00006B720000}"/>
    <cellStyle name="Normal 4 3 3 2 2" xfId="10221" xr:uid="{00000000-0005-0000-0000-00006C720000}"/>
    <cellStyle name="Normal 4 3 3 3" xfId="7573" xr:uid="{00000000-0005-0000-0000-00006D720000}"/>
    <cellStyle name="Normal 4 3 3 3 2" xfId="13275" xr:uid="{00000000-0005-0000-0000-00006E720000}"/>
    <cellStyle name="Normal 4 3 3 4" xfId="10220" xr:uid="{00000000-0005-0000-0000-00006F720000}"/>
    <cellStyle name="Normal 4 3 4" xfId="7574" xr:uid="{00000000-0005-0000-0000-000070720000}"/>
    <cellStyle name="Normal 4 3 4 2" xfId="7575" xr:uid="{00000000-0005-0000-0000-000071720000}"/>
    <cellStyle name="Normal 4 3 4 2 2" xfId="13276" xr:uid="{00000000-0005-0000-0000-000072720000}"/>
    <cellStyle name="Normal 4 3 4 3" xfId="10524" xr:uid="{00000000-0005-0000-0000-000073720000}"/>
    <cellStyle name="Normal 4 3 5" xfId="7576" xr:uid="{00000000-0005-0000-0000-000074720000}"/>
    <cellStyle name="Normal 4 3 5 2" xfId="7577" xr:uid="{00000000-0005-0000-0000-000075720000}"/>
    <cellStyle name="Normal 4 3 5 2 2" xfId="13277" xr:uid="{00000000-0005-0000-0000-000076720000}"/>
    <cellStyle name="Normal 4 3 5 2 2 2" xfId="26907" xr:uid="{00000000-0005-0000-0000-000077720000}"/>
    <cellStyle name="Normal 4 3 5 2 3" xfId="31850" xr:uid="{00000000-0005-0000-0000-000078720000}"/>
    <cellStyle name="Normal 4 3 5 3" xfId="7578" xr:uid="{00000000-0005-0000-0000-000079720000}"/>
    <cellStyle name="Normal 4 3 5 3 2" xfId="15713" xr:uid="{00000000-0005-0000-0000-00007A720000}"/>
    <cellStyle name="Normal 4 3 5 3 2 2" xfId="29199" xr:uid="{00000000-0005-0000-0000-00007B720000}"/>
    <cellStyle name="Normal 4 3 5 3 3" xfId="31851" xr:uid="{00000000-0005-0000-0000-00007C720000}"/>
    <cellStyle name="Normal 4 3 5 4" xfId="11586" xr:uid="{00000000-0005-0000-0000-00007D720000}"/>
    <cellStyle name="Normal 4 3 5 4 2" xfId="25417" xr:uid="{00000000-0005-0000-0000-00007E720000}"/>
    <cellStyle name="Normal 4 3 5 5" xfId="31849" xr:uid="{00000000-0005-0000-0000-00007F720000}"/>
    <cellStyle name="Normal 4 3 6" xfId="7579" xr:uid="{00000000-0005-0000-0000-000080720000}"/>
    <cellStyle name="Normal 4 3 6 2" xfId="13274" xr:uid="{00000000-0005-0000-0000-000081720000}"/>
    <cellStyle name="Normal 4 3 6 2 2" xfId="26906" xr:uid="{00000000-0005-0000-0000-000082720000}"/>
    <cellStyle name="Normal 4 3 6 3" xfId="31852" xr:uid="{00000000-0005-0000-0000-000083720000}"/>
    <cellStyle name="Normal 4 3 7" xfId="7580" xr:uid="{00000000-0005-0000-0000-000084720000}"/>
    <cellStyle name="Normal 4 3 7 2" xfId="15712" xr:uid="{00000000-0005-0000-0000-000085720000}"/>
    <cellStyle name="Normal 4 3 7 2 2" xfId="29198" xr:uid="{00000000-0005-0000-0000-000086720000}"/>
    <cellStyle name="Normal 4 3 7 3" xfId="31853" xr:uid="{00000000-0005-0000-0000-000087720000}"/>
    <cellStyle name="Normal 4 3 8" xfId="7581" xr:uid="{00000000-0005-0000-0000-000088720000}"/>
    <cellStyle name="Normal 4 3 8 2" xfId="15820" xr:uid="{00000000-0005-0000-0000-000089720000}"/>
    <cellStyle name="Normal 4 3 8 2 2" xfId="29227" xr:uid="{00000000-0005-0000-0000-00008A720000}"/>
    <cellStyle name="Normal 4 3 8 3" xfId="31854" xr:uid="{00000000-0005-0000-0000-00008B720000}"/>
    <cellStyle name="Normal 4 3 9" xfId="8689" xr:uid="{00000000-0005-0000-0000-00008C720000}"/>
    <cellStyle name="Normal 4 3 9 2" xfId="17314" xr:uid="{00000000-0005-0000-0000-00008D720000}"/>
    <cellStyle name="Normal 4 3 9 2 2" xfId="30667" xr:uid="{00000000-0005-0000-0000-00008E720000}"/>
    <cellStyle name="Normal 4 3 9 3" xfId="23219" xr:uid="{00000000-0005-0000-0000-00008F720000}"/>
    <cellStyle name="Normal 4 4" xfId="7582" xr:uid="{00000000-0005-0000-0000-000090720000}"/>
    <cellStyle name="Normal 4 4 10" xfId="32935" xr:uid="{00000000-0005-0000-0000-000091720000}"/>
    <cellStyle name="Normal 4 4 11" xfId="32995" xr:uid="{00000000-0005-0000-0000-000092720000}"/>
    <cellStyle name="Normal 4 4 2" xfId="7583" xr:uid="{00000000-0005-0000-0000-000093720000}"/>
    <cellStyle name="Normal 4 4 2 2" xfId="7584" xr:uid="{00000000-0005-0000-0000-000094720000}"/>
    <cellStyle name="Normal 4 4 2 2 2" xfId="17048" xr:uid="{00000000-0005-0000-0000-000095720000}"/>
    <cellStyle name="Normal 4 4 2 2 2 2" xfId="30448" xr:uid="{00000000-0005-0000-0000-000096720000}"/>
    <cellStyle name="Normal 4 4 2 2 3" xfId="31857" xr:uid="{00000000-0005-0000-0000-000097720000}"/>
    <cellStyle name="Normal 4 4 2 3" xfId="10222" xr:uid="{00000000-0005-0000-0000-000098720000}"/>
    <cellStyle name="Normal 4 4 2 4" xfId="31856" xr:uid="{00000000-0005-0000-0000-000099720000}"/>
    <cellStyle name="Normal 4 4 2 5" xfId="32965" xr:uid="{00000000-0005-0000-0000-00009A720000}"/>
    <cellStyle name="Normal 4 4 2 6" xfId="33023" xr:uid="{00000000-0005-0000-0000-00009B720000}"/>
    <cellStyle name="Normal 4 4 3" xfId="7585" xr:uid="{00000000-0005-0000-0000-00009C720000}"/>
    <cellStyle name="Normal 4 4 3 2" xfId="11587" xr:uid="{00000000-0005-0000-0000-00009D720000}"/>
    <cellStyle name="Normal 4 4 3 2 2" xfId="25418" xr:uid="{00000000-0005-0000-0000-00009E720000}"/>
    <cellStyle name="Normal 4 4 3 3" xfId="31858" xr:uid="{00000000-0005-0000-0000-00009F720000}"/>
    <cellStyle name="Normal 4 4 4" xfId="7586" xr:uid="{00000000-0005-0000-0000-0000A0720000}"/>
    <cellStyle name="Normal 4 4 4 2" xfId="13278" xr:uid="{00000000-0005-0000-0000-0000A1720000}"/>
    <cellStyle name="Normal 4 4 4 2 2" xfId="26908" xr:uid="{00000000-0005-0000-0000-0000A2720000}"/>
    <cellStyle name="Normal 4 4 4 3" xfId="31859" xr:uid="{00000000-0005-0000-0000-0000A3720000}"/>
    <cellStyle name="Normal 4 4 5" xfId="7587" xr:uid="{00000000-0005-0000-0000-0000A4720000}"/>
    <cellStyle name="Normal 4 4 5 2" xfId="15714" xr:uid="{00000000-0005-0000-0000-0000A5720000}"/>
    <cellStyle name="Normal 4 4 5 2 2" xfId="29200" xr:uid="{00000000-0005-0000-0000-0000A6720000}"/>
    <cellStyle name="Normal 4 4 5 3" xfId="31860" xr:uid="{00000000-0005-0000-0000-0000A7720000}"/>
    <cellStyle name="Normal 4 4 6" xfId="7588" xr:uid="{00000000-0005-0000-0000-0000A8720000}"/>
    <cellStyle name="Normal 4 4 6 2" xfId="15821" xr:uid="{00000000-0005-0000-0000-0000A9720000}"/>
    <cellStyle name="Normal 4 4 6 2 2" xfId="29228" xr:uid="{00000000-0005-0000-0000-0000AA720000}"/>
    <cellStyle name="Normal 4 4 6 3" xfId="31861" xr:uid="{00000000-0005-0000-0000-0000AB720000}"/>
    <cellStyle name="Normal 4 4 7" xfId="8704" xr:uid="{00000000-0005-0000-0000-0000AC720000}"/>
    <cellStyle name="Normal 4 4 7 2" xfId="17322" xr:uid="{00000000-0005-0000-0000-0000AD720000}"/>
    <cellStyle name="Normal 4 4 7 2 2" xfId="30675" xr:uid="{00000000-0005-0000-0000-0000AE720000}"/>
    <cellStyle name="Normal 4 4 7 3" xfId="23227" xr:uid="{00000000-0005-0000-0000-0000AF720000}"/>
    <cellStyle name="Normal 4 4 8" xfId="8806" xr:uid="{00000000-0005-0000-0000-0000B0720000}"/>
    <cellStyle name="Normal 4 4 8 2" xfId="23284" xr:uid="{00000000-0005-0000-0000-0000B1720000}"/>
    <cellStyle name="Normal 4 4 9" xfId="31855" xr:uid="{00000000-0005-0000-0000-0000B2720000}"/>
    <cellStyle name="Normal 4 5" xfId="7589" xr:uid="{00000000-0005-0000-0000-0000B3720000}"/>
    <cellStyle name="Normal 4 5 10" xfId="7590" xr:uid="{00000000-0005-0000-0000-0000B4720000}"/>
    <cellStyle name="Normal 4 5 10 2" xfId="16421" xr:uid="{00000000-0005-0000-0000-0000B5720000}"/>
    <cellStyle name="Normal 4 5 10 2 2" xfId="29828" xr:uid="{00000000-0005-0000-0000-0000B6720000}"/>
    <cellStyle name="Normal 4 5 10 3" xfId="31863" xr:uid="{00000000-0005-0000-0000-0000B7720000}"/>
    <cellStyle name="Normal 4 5 11" xfId="8692" xr:uid="{00000000-0005-0000-0000-0000B8720000}"/>
    <cellStyle name="Normal 4 5 11 2" xfId="17317" xr:uid="{00000000-0005-0000-0000-0000B9720000}"/>
    <cellStyle name="Normal 4 5 11 2 2" xfId="30670" xr:uid="{00000000-0005-0000-0000-0000BA720000}"/>
    <cellStyle name="Normal 4 5 11 3" xfId="23222" xr:uid="{00000000-0005-0000-0000-0000BB720000}"/>
    <cellStyle name="Normal 4 5 12" xfId="8801" xr:uid="{00000000-0005-0000-0000-0000BC720000}"/>
    <cellStyle name="Normal 4 5 12 2" xfId="23279" xr:uid="{00000000-0005-0000-0000-0000BD720000}"/>
    <cellStyle name="Normal 4 5 13" xfId="31862" xr:uid="{00000000-0005-0000-0000-0000BE720000}"/>
    <cellStyle name="Normal 4 5 14" xfId="32930" xr:uid="{00000000-0005-0000-0000-0000BF720000}"/>
    <cellStyle name="Normal 4 5 15" xfId="32990" xr:uid="{00000000-0005-0000-0000-0000C0720000}"/>
    <cellStyle name="Normal 4 5 2" xfId="7591" xr:uid="{00000000-0005-0000-0000-0000C1720000}"/>
    <cellStyle name="Normal 4 5 2 2" xfId="7592" xr:uid="{00000000-0005-0000-0000-0000C2720000}"/>
    <cellStyle name="Normal 4 5 2 2 2" xfId="11589" xr:uid="{00000000-0005-0000-0000-0000C3720000}"/>
    <cellStyle name="Normal 4 5 2 2 2 2" xfId="25420" xr:uid="{00000000-0005-0000-0000-0000C4720000}"/>
    <cellStyle name="Normal 4 5 2 2 3" xfId="31865" xr:uid="{00000000-0005-0000-0000-0000C5720000}"/>
    <cellStyle name="Normal 4 5 2 3" xfId="7593" xr:uid="{00000000-0005-0000-0000-0000C6720000}"/>
    <cellStyle name="Normal 4 5 2 3 2" xfId="13280" xr:uid="{00000000-0005-0000-0000-0000C7720000}"/>
    <cellStyle name="Normal 4 5 2 3 2 2" xfId="26910" xr:uid="{00000000-0005-0000-0000-0000C8720000}"/>
    <cellStyle name="Normal 4 5 2 3 3" xfId="31866" xr:uid="{00000000-0005-0000-0000-0000C9720000}"/>
    <cellStyle name="Normal 4 5 2 4" xfId="7594" xr:uid="{00000000-0005-0000-0000-0000CA720000}"/>
    <cellStyle name="Normal 4 5 2 4 2" xfId="15716" xr:uid="{00000000-0005-0000-0000-0000CB720000}"/>
    <cellStyle name="Normal 4 5 2 4 2 2" xfId="29202" xr:uid="{00000000-0005-0000-0000-0000CC720000}"/>
    <cellStyle name="Normal 4 5 2 4 3" xfId="31867" xr:uid="{00000000-0005-0000-0000-0000CD720000}"/>
    <cellStyle name="Normal 4 5 2 5" xfId="7595" xr:uid="{00000000-0005-0000-0000-0000CE720000}"/>
    <cellStyle name="Normal 4 5 2 5 2" xfId="17002" xr:uid="{00000000-0005-0000-0000-0000CF720000}"/>
    <cellStyle name="Normal 4 5 2 5 2 2" xfId="30409" xr:uid="{00000000-0005-0000-0000-0000D0720000}"/>
    <cellStyle name="Normal 4 5 2 5 3" xfId="31868" xr:uid="{00000000-0005-0000-0000-0000D1720000}"/>
    <cellStyle name="Normal 4 5 2 6" xfId="10223" xr:uid="{00000000-0005-0000-0000-0000D2720000}"/>
    <cellStyle name="Normal 4 5 2 6 2" xfId="24418" xr:uid="{00000000-0005-0000-0000-0000D3720000}"/>
    <cellStyle name="Normal 4 5 2 7" xfId="31864" xr:uid="{00000000-0005-0000-0000-0000D4720000}"/>
    <cellStyle name="Normal 4 5 2 8" xfId="32966" xr:uid="{00000000-0005-0000-0000-0000D5720000}"/>
    <cellStyle name="Normal 4 5 2 9" xfId="33024" xr:uid="{00000000-0005-0000-0000-0000D6720000}"/>
    <cellStyle name="Normal 4 5 3" xfId="7596" xr:uid="{00000000-0005-0000-0000-0000D7720000}"/>
    <cellStyle name="Normal 4 5 3 2" xfId="11588" xr:uid="{00000000-0005-0000-0000-0000D8720000}"/>
    <cellStyle name="Normal 4 5 3 2 2" xfId="25419" xr:uid="{00000000-0005-0000-0000-0000D9720000}"/>
    <cellStyle name="Normal 4 5 3 3" xfId="31869" xr:uid="{00000000-0005-0000-0000-0000DA720000}"/>
    <cellStyle name="Normal 4 5 4" xfId="7597" xr:uid="{00000000-0005-0000-0000-0000DB720000}"/>
    <cellStyle name="Normal 4 5 4 2" xfId="12390" xr:uid="{00000000-0005-0000-0000-0000DC720000}"/>
    <cellStyle name="Normal 4 5 4 2 2" xfId="26102" xr:uid="{00000000-0005-0000-0000-0000DD720000}"/>
    <cellStyle name="Normal 4 5 4 3" xfId="31870" xr:uid="{00000000-0005-0000-0000-0000DE720000}"/>
    <cellStyle name="Normal 4 5 5" xfId="7598" xr:uid="{00000000-0005-0000-0000-0000DF720000}"/>
    <cellStyle name="Normal 4 5 5 2" xfId="13279" xr:uid="{00000000-0005-0000-0000-0000E0720000}"/>
    <cellStyle name="Normal 4 5 5 2 2" xfId="26909" xr:uid="{00000000-0005-0000-0000-0000E1720000}"/>
    <cellStyle name="Normal 4 5 5 3" xfId="31871" xr:uid="{00000000-0005-0000-0000-0000E2720000}"/>
    <cellStyle name="Normal 4 5 6" xfId="7599" xr:uid="{00000000-0005-0000-0000-0000E3720000}"/>
    <cellStyle name="Normal 4 5 6 2" xfId="13954" xr:uid="{00000000-0005-0000-0000-0000E4720000}"/>
    <cellStyle name="Normal 4 5 6 2 2" xfId="27503" xr:uid="{00000000-0005-0000-0000-0000E5720000}"/>
    <cellStyle name="Normal 4 5 6 3" xfId="31872" xr:uid="{00000000-0005-0000-0000-0000E6720000}"/>
    <cellStyle name="Normal 4 5 7" xfId="7600" xr:uid="{00000000-0005-0000-0000-0000E7720000}"/>
    <cellStyle name="Normal 4 5 7 2" xfId="14535" xr:uid="{00000000-0005-0000-0000-0000E8720000}"/>
    <cellStyle name="Normal 4 5 7 2 2" xfId="28084" xr:uid="{00000000-0005-0000-0000-0000E9720000}"/>
    <cellStyle name="Normal 4 5 7 3" xfId="31873" xr:uid="{00000000-0005-0000-0000-0000EA720000}"/>
    <cellStyle name="Normal 4 5 8" xfId="7601" xr:uid="{00000000-0005-0000-0000-0000EB720000}"/>
    <cellStyle name="Normal 4 5 8 2" xfId="15715" xr:uid="{00000000-0005-0000-0000-0000EC720000}"/>
    <cellStyle name="Normal 4 5 8 2 2" xfId="29201" xr:uid="{00000000-0005-0000-0000-0000ED720000}"/>
    <cellStyle name="Normal 4 5 8 3" xfId="31874" xr:uid="{00000000-0005-0000-0000-0000EE720000}"/>
    <cellStyle name="Normal 4 5 9" xfId="7602" xr:uid="{00000000-0005-0000-0000-0000EF720000}"/>
    <cellStyle name="Normal 4 5 9 2" xfId="15822" xr:uid="{00000000-0005-0000-0000-0000F0720000}"/>
    <cellStyle name="Normal 4 5 9 2 2" xfId="29229" xr:uid="{00000000-0005-0000-0000-0000F1720000}"/>
    <cellStyle name="Normal 4 5 9 3" xfId="31875" xr:uid="{00000000-0005-0000-0000-0000F2720000}"/>
    <cellStyle name="Normal 4 6" xfId="7603" xr:uid="{00000000-0005-0000-0000-0000F3720000}"/>
    <cellStyle name="Normal 4 6 2" xfId="7604" xr:uid="{00000000-0005-0000-0000-0000F4720000}"/>
    <cellStyle name="Normal 4 6 2 2" xfId="10225" xr:uid="{00000000-0005-0000-0000-0000F5720000}"/>
    <cellStyle name="Normal 4 6 2 3" xfId="32967" xr:uid="{00000000-0005-0000-0000-0000F6720000}"/>
    <cellStyle name="Normal 4 6 3" xfId="7605" xr:uid="{00000000-0005-0000-0000-0000F7720000}"/>
    <cellStyle name="Normal 4 6 3 2" xfId="11729" xr:uid="{00000000-0005-0000-0000-0000F8720000}"/>
    <cellStyle name="Normal 4 6 3 2 2" xfId="25448" xr:uid="{00000000-0005-0000-0000-0000F9720000}"/>
    <cellStyle name="Normal 4 6 3 3" xfId="31876" xr:uid="{00000000-0005-0000-0000-0000FA720000}"/>
    <cellStyle name="Normal 4 6 4" xfId="7606" xr:uid="{00000000-0005-0000-0000-0000FB720000}"/>
    <cellStyle name="Normal 4 6 4 2" xfId="17346" xr:uid="{00000000-0005-0000-0000-0000FC720000}"/>
    <cellStyle name="Normal 4 6 4 3" xfId="31877" xr:uid="{00000000-0005-0000-0000-0000FD720000}"/>
    <cellStyle name="Normal 4 6 5" xfId="8742" xr:uid="{00000000-0005-0000-0000-0000FE720000}"/>
    <cellStyle name="Normal 4 6 6" xfId="10224" xr:uid="{00000000-0005-0000-0000-0000FF720000}"/>
    <cellStyle name="Normal 4 6 7" xfId="32919" xr:uid="{00000000-0005-0000-0000-000000730000}"/>
    <cellStyle name="Normal 4 6 8" xfId="32979" xr:uid="{00000000-0005-0000-0000-000001730000}"/>
    <cellStyle name="Normal 4 7" xfId="7607" xr:uid="{00000000-0005-0000-0000-000002730000}"/>
    <cellStyle name="Normal 4 7 2" xfId="7608" xr:uid="{00000000-0005-0000-0000-000003730000}"/>
    <cellStyle name="Normal 4 7 2 2" xfId="13281" xr:uid="{00000000-0005-0000-0000-000004730000}"/>
    <cellStyle name="Normal 4 7 2 2 2" xfId="26911" xr:uid="{00000000-0005-0000-0000-000005730000}"/>
    <cellStyle name="Normal 4 7 2 3" xfId="31879" xr:uid="{00000000-0005-0000-0000-000006730000}"/>
    <cellStyle name="Normal 4 7 3" xfId="7609" xr:uid="{00000000-0005-0000-0000-000007730000}"/>
    <cellStyle name="Normal 4 7 3 2" xfId="15717" xr:uid="{00000000-0005-0000-0000-000008730000}"/>
    <cellStyle name="Normal 4 7 3 2 2" xfId="29203" xr:uid="{00000000-0005-0000-0000-000009730000}"/>
    <cellStyle name="Normal 4 7 3 3" xfId="31880" xr:uid="{00000000-0005-0000-0000-00000A730000}"/>
    <cellStyle name="Normal 4 7 4" xfId="11584" xr:uid="{00000000-0005-0000-0000-00000B730000}"/>
    <cellStyle name="Normal 4 7 4 2" xfId="25415" xr:uid="{00000000-0005-0000-0000-00000C730000}"/>
    <cellStyle name="Normal 4 7 5" xfId="31878" xr:uid="{00000000-0005-0000-0000-00000D730000}"/>
    <cellStyle name="Normal 4 7 6" xfId="32944" xr:uid="{00000000-0005-0000-0000-00000E730000}"/>
    <cellStyle name="Normal 4 7 7" xfId="33002" xr:uid="{00000000-0005-0000-0000-00000F730000}"/>
    <cellStyle name="Normal 4 8" xfId="7610" xr:uid="{00000000-0005-0000-0000-000010730000}"/>
    <cellStyle name="Normal 4 8 2" xfId="15818" xr:uid="{00000000-0005-0000-0000-000011730000}"/>
    <cellStyle name="Normal 4 8 2 2" xfId="29225" xr:uid="{00000000-0005-0000-0000-000012730000}"/>
    <cellStyle name="Normal 4 8 3" xfId="31881" xr:uid="{00000000-0005-0000-0000-000013730000}"/>
    <cellStyle name="Normal 4 8 4" xfId="32962" xr:uid="{00000000-0005-0000-0000-000014730000}"/>
    <cellStyle name="Normal 4 8 5" xfId="33020" xr:uid="{00000000-0005-0000-0000-000015730000}"/>
    <cellStyle name="Normal 4 9" xfId="8681" xr:uid="{00000000-0005-0000-0000-000016730000}"/>
    <cellStyle name="Normal 4 9 2" xfId="17306" xr:uid="{00000000-0005-0000-0000-000017730000}"/>
    <cellStyle name="Normal 4 9 2 2" xfId="30659" xr:uid="{00000000-0005-0000-0000-000018730000}"/>
    <cellStyle name="Normal 4 9 3" xfId="23211" xr:uid="{00000000-0005-0000-0000-000019730000}"/>
    <cellStyle name="Normal 5" xfId="7611" xr:uid="{00000000-0005-0000-0000-00001A730000}"/>
    <cellStyle name="Normal 5 10" xfId="7612" xr:uid="{00000000-0005-0000-0000-00001B730000}"/>
    <cellStyle name="Normal 5 10 2" xfId="15823" xr:uid="{00000000-0005-0000-0000-00001C730000}"/>
    <cellStyle name="Normal 5 10 2 2" xfId="29230" xr:uid="{00000000-0005-0000-0000-00001D730000}"/>
    <cellStyle name="Normal 5 10 3" xfId="31882" xr:uid="{00000000-0005-0000-0000-00001E730000}"/>
    <cellStyle name="Normal 5 11" xfId="8682" xr:uid="{00000000-0005-0000-0000-00001F730000}"/>
    <cellStyle name="Normal 5 11 2" xfId="17307" xr:uid="{00000000-0005-0000-0000-000020730000}"/>
    <cellStyle name="Normal 5 11 2 2" xfId="30660" xr:uid="{00000000-0005-0000-0000-000021730000}"/>
    <cellStyle name="Normal 5 11 3" xfId="23212" xr:uid="{00000000-0005-0000-0000-000022730000}"/>
    <cellStyle name="Normal 5 12" xfId="8791" xr:uid="{00000000-0005-0000-0000-000023730000}"/>
    <cellStyle name="Normal 5 12 2" xfId="23269" xr:uid="{00000000-0005-0000-0000-000024730000}"/>
    <cellStyle name="Normal 5 2" xfId="7613" xr:uid="{00000000-0005-0000-0000-000025730000}"/>
    <cellStyle name="Normal 5 2 10" xfId="32984" xr:uid="{00000000-0005-0000-0000-000026730000}"/>
    <cellStyle name="Normal 5 2 11" xfId="33041" xr:uid="{00000000-0005-0000-0000-000027730000}"/>
    <cellStyle name="Normal 5 2 2" xfId="7614" xr:uid="{00000000-0005-0000-0000-000028730000}"/>
    <cellStyle name="Normal 5 2 2 2" xfId="11591" xr:uid="{00000000-0005-0000-0000-000029730000}"/>
    <cellStyle name="Normal 5 2 2 2 2" xfId="25422" xr:uid="{00000000-0005-0000-0000-00002A730000}"/>
    <cellStyle name="Normal 5 2 2 3" xfId="31883" xr:uid="{00000000-0005-0000-0000-00002B730000}"/>
    <cellStyle name="Normal 5 2 2 4" xfId="32969" xr:uid="{00000000-0005-0000-0000-00002C730000}"/>
    <cellStyle name="Normal 5 2 2 5" xfId="33026" xr:uid="{00000000-0005-0000-0000-00002D730000}"/>
    <cellStyle name="Normal 5 2 3" xfId="7615" xr:uid="{00000000-0005-0000-0000-00002E730000}"/>
    <cellStyle name="Normal 5 2 3 2" xfId="13283" xr:uid="{00000000-0005-0000-0000-00002F730000}"/>
    <cellStyle name="Normal 5 2 3 2 2" xfId="26913" xr:uid="{00000000-0005-0000-0000-000030730000}"/>
    <cellStyle name="Normal 5 2 3 3" xfId="31884" xr:uid="{00000000-0005-0000-0000-000031730000}"/>
    <cellStyle name="Normal 5 2 4" xfId="7616" xr:uid="{00000000-0005-0000-0000-000032730000}"/>
    <cellStyle name="Normal 5 2 4 2" xfId="15719" xr:uid="{00000000-0005-0000-0000-000033730000}"/>
    <cellStyle name="Normal 5 2 4 2 2" xfId="29205" xr:uid="{00000000-0005-0000-0000-000034730000}"/>
    <cellStyle name="Normal 5 2 4 3" xfId="31885" xr:uid="{00000000-0005-0000-0000-000035730000}"/>
    <cellStyle name="Normal 5 2 5" xfId="7617" xr:uid="{00000000-0005-0000-0000-000036730000}"/>
    <cellStyle name="Normal 5 2 5 2" xfId="15824" xr:uid="{00000000-0005-0000-0000-000037730000}"/>
    <cellStyle name="Normal 5 2 5 2 2" xfId="29231" xr:uid="{00000000-0005-0000-0000-000038730000}"/>
    <cellStyle name="Normal 5 2 5 3" xfId="31886" xr:uid="{00000000-0005-0000-0000-000039730000}"/>
    <cellStyle name="Normal 5 2 6" xfId="7618" xr:uid="{00000000-0005-0000-0000-00003A730000}"/>
    <cellStyle name="Normal 5 2 6 2" xfId="17049" xr:uid="{00000000-0005-0000-0000-00003B730000}"/>
    <cellStyle name="Normal 5 2 7" xfId="8686" xr:uid="{00000000-0005-0000-0000-00003C730000}"/>
    <cellStyle name="Normal 5 2 7 2" xfId="17311" xr:uid="{00000000-0005-0000-0000-00003D730000}"/>
    <cellStyle name="Normal 5 2 7 2 2" xfId="30664" xr:uid="{00000000-0005-0000-0000-00003E730000}"/>
    <cellStyle name="Normal 5 2 7 3" xfId="23216" xr:uid="{00000000-0005-0000-0000-00003F730000}"/>
    <cellStyle name="Normal 5 2 8" xfId="8795" xr:uid="{00000000-0005-0000-0000-000040730000}"/>
    <cellStyle name="Normal 5 2 8 2" xfId="23273" xr:uid="{00000000-0005-0000-0000-000041730000}"/>
    <cellStyle name="Normal 5 2 9" xfId="32924" xr:uid="{00000000-0005-0000-0000-000042730000}"/>
    <cellStyle name="Normal 5 3" xfId="7619" xr:uid="{00000000-0005-0000-0000-000043730000}"/>
    <cellStyle name="Normal 5 3 10" xfId="32988" xr:uid="{00000000-0005-0000-0000-000044730000}"/>
    <cellStyle name="Normal 5 3 2" xfId="7620" xr:uid="{00000000-0005-0000-0000-000045730000}"/>
    <cellStyle name="Normal 5 3 2 2" xfId="11592" xr:uid="{00000000-0005-0000-0000-000046730000}"/>
    <cellStyle name="Normal 5 3 2 2 2" xfId="25423" xr:uid="{00000000-0005-0000-0000-000047730000}"/>
    <cellStyle name="Normal 5 3 2 3" xfId="31888" xr:uid="{00000000-0005-0000-0000-000048730000}"/>
    <cellStyle name="Normal 5 3 2 4" xfId="32970" xr:uid="{00000000-0005-0000-0000-000049730000}"/>
    <cellStyle name="Normal 5 3 2 5" xfId="33027" xr:uid="{00000000-0005-0000-0000-00004A730000}"/>
    <cellStyle name="Normal 5 3 3" xfId="7621" xr:uid="{00000000-0005-0000-0000-00004B730000}"/>
    <cellStyle name="Normal 5 3 3 2" xfId="13284" xr:uid="{00000000-0005-0000-0000-00004C730000}"/>
    <cellStyle name="Normal 5 3 3 2 2" xfId="26914" xr:uid="{00000000-0005-0000-0000-00004D730000}"/>
    <cellStyle name="Normal 5 3 3 3" xfId="31889" xr:uid="{00000000-0005-0000-0000-00004E730000}"/>
    <cellStyle name="Normal 5 3 4" xfId="7622" xr:uid="{00000000-0005-0000-0000-00004F730000}"/>
    <cellStyle name="Normal 5 3 4 2" xfId="15720" xr:uid="{00000000-0005-0000-0000-000050730000}"/>
    <cellStyle name="Normal 5 3 4 2 2" xfId="29206" xr:uid="{00000000-0005-0000-0000-000051730000}"/>
    <cellStyle name="Normal 5 3 4 3" xfId="31890" xr:uid="{00000000-0005-0000-0000-000052730000}"/>
    <cellStyle name="Normal 5 3 5" xfId="7623" xr:uid="{00000000-0005-0000-0000-000053730000}"/>
    <cellStyle name="Normal 5 3 5 2" xfId="15825" xr:uid="{00000000-0005-0000-0000-000054730000}"/>
    <cellStyle name="Normal 5 3 5 2 2" xfId="29232" xr:uid="{00000000-0005-0000-0000-000055730000}"/>
    <cellStyle name="Normal 5 3 5 3" xfId="31891" xr:uid="{00000000-0005-0000-0000-000056730000}"/>
    <cellStyle name="Normal 5 3 6" xfId="8690" xr:uid="{00000000-0005-0000-0000-000057730000}"/>
    <cellStyle name="Normal 5 3 6 2" xfId="17315" xr:uid="{00000000-0005-0000-0000-000058730000}"/>
    <cellStyle name="Normal 5 3 6 2 2" xfId="30668" xr:uid="{00000000-0005-0000-0000-000059730000}"/>
    <cellStyle name="Normal 5 3 6 3" xfId="23220" xr:uid="{00000000-0005-0000-0000-00005A730000}"/>
    <cellStyle name="Normal 5 3 7" xfId="8799" xr:uid="{00000000-0005-0000-0000-00005B730000}"/>
    <cellStyle name="Normal 5 3 7 2" xfId="23277" xr:uid="{00000000-0005-0000-0000-00005C730000}"/>
    <cellStyle name="Normal 5 3 8" xfId="31887" xr:uid="{00000000-0005-0000-0000-00005D730000}"/>
    <cellStyle name="Normal 5 3 9" xfId="32928" xr:uid="{00000000-0005-0000-0000-00005E730000}"/>
    <cellStyle name="Normal 5 4" xfId="7624" xr:uid="{00000000-0005-0000-0000-00005F730000}"/>
    <cellStyle name="Normal 5 4 10" xfId="32996" xr:uid="{00000000-0005-0000-0000-000060730000}"/>
    <cellStyle name="Normal 5 4 2" xfId="7625" xr:uid="{00000000-0005-0000-0000-000061730000}"/>
    <cellStyle name="Normal 5 4 2 2" xfId="11593" xr:uid="{00000000-0005-0000-0000-000062730000}"/>
    <cellStyle name="Normal 5 4 2 2 2" xfId="25424" xr:uid="{00000000-0005-0000-0000-000063730000}"/>
    <cellStyle name="Normal 5 4 2 3" xfId="31893" xr:uid="{00000000-0005-0000-0000-000064730000}"/>
    <cellStyle name="Normal 5 4 2 4" xfId="32971" xr:uid="{00000000-0005-0000-0000-000065730000}"/>
    <cellStyle name="Normal 5 4 2 5" xfId="33028" xr:uid="{00000000-0005-0000-0000-000066730000}"/>
    <cellStyle name="Normal 5 4 3" xfId="7626" xr:uid="{00000000-0005-0000-0000-000067730000}"/>
    <cellStyle name="Normal 5 4 3 2" xfId="13285" xr:uid="{00000000-0005-0000-0000-000068730000}"/>
    <cellStyle name="Normal 5 4 3 2 2" xfId="26915" xr:uid="{00000000-0005-0000-0000-000069730000}"/>
    <cellStyle name="Normal 5 4 3 3" xfId="31894" xr:uid="{00000000-0005-0000-0000-00006A730000}"/>
    <cellStyle name="Normal 5 4 4" xfId="7627" xr:uid="{00000000-0005-0000-0000-00006B730000}"/>
    <cellStyle name="Normal 5 4 4 2" xfId="15721" xr:uid="{00000000-0005-0000-0000-00006C730000}"/>
    <cellStyle name="Normal 5 4 4 2 2" xfId="29207" xr:uid="{00000000-0005-0000-0000-00006D730000}"/>
    <cellStyle name="Normal 5 4 4 3" xfId="31895" xr:uid="{00000000-0005-0000-0000-00006E730000}"/>
    <cellStyle name="Normal 5 4 5" xfId="7628" xr:uid="{00000000-0005-0000-0000-00006F730000}"/>
    <cellStyle name="Normal 5 4 5 2" xfId="15826" xr:uid="{00000000-0005-0000-0000-000070730000}"/>
    <cellStyle name="Normal 5 4 5 2 2" xfId="29233" xr:uid="{00000000-0005-0000-0000-000071730000}"/>
    <cellStyle name="Normal 5 4 5 3" xfId="31896" xr:uid="{00000000-0005-0000-0000-000072730000}"/>
    <cellStyle name="Normal 5 4 6" xfId="8705" xr:uid="{00000000-0005-0000-0000-000073730000}"/>
    <cellStyle name="Normal 5 4 6 2" xfId="17323" xr:uid="{00000000-0005-0000-0000-000074730000}"/>
    <cellStyle name="Normal 5 4 6 2 2" xfId="30676" xr:uid="{00000000-0005-0000-0000-000075730000}"/>
    <cellStyle name="Normal 5 4 6 3" xfId="23228" xr:uid="{00000000-0005-0000-0000-000076730000}"/>
    <cellStyle name="Normal 5 4 7" xfId="8807" xr:uid="{00000000-0005-0000-0000-000077730000}"/>
    <cellStyle name="Normal 5 4 7 2" xfId="23285" xr:uid="{00000000-0005-0000-0000-000078730000}"/>
    <cellStyle name="Normal 5 4 8" xfId="31892" xr:uid="{00000000-0005-0000-0000-000079730000}"/>
    <cellStyle name="Normal 5 4 9" xfId="32936" xr:uid="{00000000-0005-0000-0000-00007A730000}"/>
    <cellStyle name="Normal 5 5" xfId="7629" xr:uid="{00000000-0005-0000-0000-00007B730000}"/>
    <cellStyle name="Normal 5 5 10" xfId="32991" xr:uid="{00000000-0005-0000-0000-00007C730000}"/>
    <cellStyle name="Normal 5 5 2" xfId="7630" xr:uid="{00000000-0005-0000-0000-00007D730000}"/>
    <cellStyle name="Normal 5 5 2 2" xfId="11594" xr:uid="{00000000-0005-0000-0000-00007E730000}"/>
    <cellStyle name="Normal 5 5 2 2 2" xfId="25425" xr:uid="{00000000-0005-0000-0000-00007F730000}"/>
    <cellStyle name="Normal 5 5 2 3" xfId="31898" xr:uid="{00000000-0005-0000-0000-000080730000}"/>
    <cellStyle name="Normal 5 5 2 4" xfId="32972" xr:uid="{00000000-0005-0000-0000-000081730000}"/>
    <cellStyle name="Normal 5 5 2 5" xfId="33029" xr:uid="{00000000-0005-0000-0000-000082730000}"/>
    <cellStyle name="Normal 5 5 3" xfId="7631" xr:uid="{00000000-0005-0000-0000-000083730000}"/>
    <cellStyle name="Normal 5 5 3 2" xfId="13286" xr:uid="{00000000-0005-0000-0000-000084730000}"/>
    <cellStyle name="Normal 5 5 3 2 2" xfId="26916" xr:uid="{00000000-0005-0000-0000-000085730000}"/>
    <cellStyle name="Normal 5 5 3 3" xfId="31899" xr:uid="{00000000-0005-0000-0000-000086730000}"/>
    <cellStyle name="Normal 5 5 4" xfId="7632" xr:uid="{00000000-0005-0000-0000-000087730000}"/>
    <cellStyle name="Normal 5 5 4 2" xfId="15722" xr:uid="{00000000-0005-0000-0000-000088730000}"/>
    <cellStyle name="Normal 5 5 4 2 2" xfId="29208" xr:uid="{00000000-0005-0000-0000-000089730000}"/>
    <cellStyle name="Normal 5 5 4 3" xfId="31900" xr:uid="{00000000-0005-0000-0000-00008A730000}"/>
    <cellStyle name="Normal 5 5 5" xfId="7633" xr:uid="{00000000-0005-0000-0000-00008B730000}"/>
    <cellStyle name="Normal 5 5 5 2" xfId="15827" xr:uid="{00000000-0005-0000-0000-00008C730000}"/>
    <cellStyle name="Normal 5 5 5 2 2" xfId="29234" xr:uid="{00000000-0005-0000-0000-00008D730000}"/>
    <cellStyle name="Normal 5 5 5 3" xfId="31901" xr:uid="{00000000-0005-0000-0000-00008E730000}"/>
    <cellStyle name="Normal 5 5 6" xfId="8695" xr:uid="{00000000-0005-0000-0000-00008F730000}"/>
    <cellStyle name="Normal 5 5 6 2" xfId="17318" xr:uid="{00000000-0005-0000-0000-000090730000}"/>
    <cellStyle name="Normal 5 5 6 2 2" xfId="30671" xr:uid="{00000000-0005-0000-0000-000091730000}"/>
    <cellStyle name="Normal 5 5 6 3" xfId="23223" xr:uid="{00000000-0005-0000-0000-000092730000}"/>
    <cellStyle name="Normal 5 5 7" xfId="8802" xr:uid="{00000000-0005-0000-0000-000093730000}"/>
    <cellStyle name="Normal 5 5 7 2" xfId="23280" xr:uid="{00000000-0005-0000-0000-000094730000}"/>
    <cellStyle name="Normal 5 5 8" xfId="31897" xr:uid="{00000000-0005-0000-0000-000095730000}"/>
    <cellStyle name="Normal 5 5 9" xfId="32931" xr:uid="{00000000-0005-0000-0000-000096730000}"/>
    <cellStyle name="Normal 5 6" xfId="7634" xr:uid="{00000000-0005-0000-0000-000097730000}"/>
    <cellStyle name="Normal 5 6 2" xfId="7635" xr:uid="{00000000-0005-0000-0000-000098730000}"/>
    <cellStyle name="Normal 5 6 2 2" xfId="11691" xr:uid="{00000000-0005-0000-0000-000099730000}"/>
    <cellStyle name="Normal 5 6 2 2 2" xfId="25428" xr:uid="{00000000-0005-0000-0000-00009A730000}"/>
    <cellStyle name="Normal 5 6 2 3" xfId="31903" xr:uid="{00000000-0005-0000-0000-00009B730000}"/>
    <cellStyle name="Normal 5 6 2 4" xfId="32973" xr:uid="{00000000-0005-0000-0000-00009C730000}"/>
    <cellStyle name="Normal 5 6 3" xfId="7636" xr:uid="{00000000-0005-0000-0000-00009D730000}"/>
    <cellStyle name="Normal 5 6 3 2" xfId="17347" xr:uid="{00000000-0005-0000-0000-00009E730000}"/>
    <cellStyle name="Normal 5 6 3 3" xfId="31904" xr:uid="{00000000-0005-0000-0000-00009F730000}"/>
    <cellStyle name="Normal 5 6 4" xfId="8743" xr:uid="{00000000-0005-0000-0000-0000A0730000}"/>
    <cellStyle name="Normal 5 6 5" xfId="10226" xr:uid="{00000000-0005-0000-0000-0000A1730000}"/>
    <cellStyle name="Normal 5 6 6" xfId="31902" xr:uid="{00000000-0005-0000-0000-0000A2730000}"/>
    <cellStyle name="Normal 5 6 7" xfId="32920" xr:uid="{00000000-0005-0000-0000-0000A3730000}"/>
    <cellStyle name="Normal 5 6 8" xfId="32980" xr:uid="{00000000-0005-0000-0000-0000A4730000}"/>
    <cellStyle name="Normal 5 7" xfId="7637" xr:uid="{00000000-0005-0000-0000-0000A5730000}"/>
    <cellStyle name="Normal 5 7 2" xfId="7638" xr:uid="{00000000-0005-0000-0000-0000A6730000}"/>
    <cellStyle name="Normal 5 7 2 2" xfId="13287" xr:uid="{00000000-0005-0000-0000-0000A7730000}"/>
    <cellStyle name="Normal 5 7 2 2 2" xfId="26917" xr:uid="{00000000-0005-0000-0000-0000A8730000}"/>
    <cellStyle name="Normal 5 7 2 3" xfId="31906" xr:uid="{00000000-0005-0000-0000-0000A9730000}"/>
    <cellStyle name="Normal 5 7 3" xfId="7639" xr:uid="{00000000-0005-0000-0000-0000AA730000}"/>
    <cellStyle name="Normal 5 7 3 2" xfId="15723" xr:uid="{00000000-0005-0000-0000-0000AB730000}"/>
    <cellStyle name="Normal 5 7 3 2 2" xfId="29209" xr:uid="{00000000-0005-0000-0000-0000AC730000}"/>
    <cellStyle name="Normal 5 7 3 3" xfId="31907" xr:uid="{00000000-0005-0000-0000-0000AD730000}"/>
    <cellStyle name="Normal 5 7 4" xfId="11590" xr:uid="{00000000-0005-0000-0000-0000AE730000}"/>
    <cellStyle name="Normal 5 7 4 2" xfId="25421" xr:uid="{00000000-0005-0000-0000-0000AF730000}"/>
    <cellStyle name="Normal 5 7 5" xfId="31905" xr:uid="{00000000-0005-0000-0000-0000B0730000}"/>
    <cellStyle name="Normal 5 7 6" xfId="32968" xr:uid="{00000000-0005-0000-0000-0000B1730000}"/>
    <cellStyle name="Normal 5 7 7" xfId="33025" xr:uid="{00000000-0005-0000-0000-0000B2730000}"/>
    <cellStyle name="Normal 5 8" xfId="7640" xr:uid="{00000000-0005-0000-0000-0000B3730000}"/>
    <cellStyle name="Normal 5 8 2" xfId="13282" xr:uid="{00000000-0005-0000-0000-0000B4730000}"/>
    <cellStyle name="Normal 5 8 2 2" xfId="26912" xr:uid="{00000000-0005-0000-0000-0000B5730000}"/>
    <cellStyle name="Normal 5 8 3" xfId="31908" xr:uid="{00000000-0005-0000-0000-0000B6730000}"/>
    <cellStyle name="Normal 5 9" xfId="7641" xr:uid="{00000000-0005-0000-0000-0000B7730000}"/>
    <cellStyle name="Normal 5 9 2" xfId="15718" xr:uid="{00000000-0005-0000-0000-0000B8730000}"/>
    <cellStyle name="Normal 5 9 2 2" xfId="29204" xr:uid="{00000000-0005-0000-0000-0000B9730000}"/>
    <cellStyle name="Normal 5 9 3" xfId="31909" xr:uid="{00000000-0005-0000-0000-0000BA730000}"/>
    <cellStyle name="Normal 55" xfId="7642" xr:uid="{00000000-0005-0000-0000-0000BB730000}"/>
    <cellStyle name="Normal 55 2" xfId="7643" xr:uid="{00000000-0005-0000-0000-0000BC730000}"/>
    <cellStyle name="Normal 55 2 2" xfId="7644" xr:uid="{00000000-0005-0000-0000-0000BD730000}"/>
    <cellStyle name="Normal 55 2 2 2" xfId="17050" xr:uid="{00000000-0005-0000-0000-0000BE730000}"/>
    <cellStyle name="Normal 55 2 2 2 2" xfId="30449" xr:uid="{00000000-0005-0000-0000-0000BF730000}"/>
    <cellStyle name="Normal 55 2 2 3" xfId="31912" xr:uid="{00000000-0005-0000-0000-0000C0730000}"/>
    <cellStyle name="Normal 55 2 3" xfId="11595" xr:uid="{00000000-0005-0000-0000-0000C1730000}"/>
    <cellStyle name="Normal 55 2 3 2" xfId="25426" xr:uid="{00000000-0005-0000-0000-0000C2730000}"/>
    <cellStyle name="Normal 55 2 4" xfId="31911" xr:uid="{00000000-0005-0000-0000-0000C3730000}"/>
    <cellStyle name="Normal 55 3" xfId="7645" xr:uid="{00000000-0005-0000-0000-0000C4730000}"/>
    <cellStyle name="Normal 55 3 2" xfId="7646" xr:uid="{00000000-0005-0000-0000-0000C5730000}"/>
    <cellStyle name="Normal 55 3 2 2" xfId="17005" xr:uid="{00000000-0005-0000-0000-0000C6730000}"/>
    <cellStyle name="Normal 55 3 2 2 2" xfId="30412" xr:uid="{00000000-0005-0000-0000-0000C7730000}"/>
    <cellStyle name="Normal 55 3 2 3" xfId="31914" xr:uid="{00000000-0005-0000-0000-0000C8730000}"/>
    <cellStyle name="Normal 55 3 3" xfId="12394" xr:uid="{00000000-0005-0000-0000-0000C9730000}"/>
    <cellStyle name="Normal 55 3 3 2" xfId="26106" xr:uid="{00000000-0005-0000-0000-0000CA730000}"/>
    <cellStyle name="Normal 55 3 4" xfId="31913" xr:uid="{00000000-0005-0000-0000-0000CB730000}"/>
    <cellStyle name="Normal 55 4" xfId="7647" xr:uid="{00000000-0005-0000-0000-0000CC730000}"/>
    <cellStyle name="Normal 55 4 2" xfId="13957" xr:uid="{00000000-0005-0000-0000-0000CD730000}"/>
    <cellStyle name="Normal 55 4 2 2" xfId="27506" xr:uid="{00000000-0005-0000-0000-0000CE730000}"/>
    <cellStyle name="Normal 55 4 3" xfId="31915" xr:uid="{00000000-0005-0000-0000-0000CF730000}"/>
    <cellStyle name="Normal 55 5" xfId="7648" xr:uid="{00000000-0005-0000-0000-0000D0730000}"/>
    <cellStyle name="Normal 55 5 2" xfId="14538" xr:uid="{00000000-0005-0000-0000-0000D1730000}"/>
    <cellStyle name="Normal 55 5 2 2" xfId="28087" xr:uid="{00000000-0005-0000-0000-0000D2730000}"/>
    <cellStyle name="Normal 55 5 3" xfId="31916" xr:uid="{00000000-0005-0000-0000-0000D3730000}"/>
    <cellStyle name="Normal 55 6" xfId="7649" xr:uid="{00000000-0005-0000-0000-0000D4730000}"/>
    <cellStyle name="Normal 55 6 2" xfId="16424" xr:uid="{00000000-0005-0000-0000-0000D5730000}"/>
    <cellStyle name="Normal 55 6 2 2" xfId="29831" xr:uid="{00000000-0005-0000-0000-0000D6730000}"/>
    <cellStyle name="Normal 55 6 3" xfId="31917" xr:uid="{00000000-0005-0000-0000-0000D7730000}"/>
    <cellStyle name="Normal 55 7" xfId="10227" xr:uid="{00000000-0005-0000-0000-0000D8730000}"/>
    <cellStyle name="Normal 55 7 2" xfId="24419" xr:uid="{00000000-0005-0000-0000-0000D9730000}"/>
    <cellStyle name="Normal 55 8" xfId="31910" xr:uid="{00000000-0005-0000-0000-0000DA730000}"/>
    <cellStyle name="Normal 6" xfId="7650" xr:uid="{00000000-0005-0000-0000-0000DB730000}"/>
    <cellStyle name="Normal 6 2" xfId="7651" xr:uid="{00000000-0005-0000-0000-0000DC730000}"/>
    <cellStyle name="Normal 6 2 2" xfId="7652" xr:uid="{00000000-0005-0000-0000-0000DD730000}"/>
    <cellStyle name="Normal 6 2 2 2" xfId="10229" xr:uid="{00000000-0005-0000-0000-0000DE730000}"/>
    <cellStyle name="Normal 6 2 2 3" xfId="31918" xr:uid="{00000000-0005-0000-0000-0000DF730000}"/>
    <cellStyle name="Normal 6 2 2 4" xfId="33094" xr:uid="{00000000-0005-0000-0000-0000E0730000}"/>
    <cellStyle name="Normal 6 2 3" xfId="7653" xr:uid="{00000000-0005-0000-0000-0000E1730000}"/>
    <cellStyle name="Normal 6 2 3 2" xfId="17348" xr:uid="{00000000-0005-0000-0000-0000E2730000}"/>
    <cellStyle name="Normal 6 2 3 3" xfId="31919" xr:uid="{00000000-0005-0000-0000-0000E3730000}"/>
    <cellStyle name="Normal 6 2 4" xfId="8744" xr:uid="{00000000-0005-0000-0000-0000E4730000}"/>
    <cellStyle name="Normal 6 2 5" xfId="10228" xr:uid="{00000000-0005-0000-0000-0000E5730000}"/>
    <cellStyle name="Normal 6 2 6" xfId="33042" xr:uid="{00000000-0005-0000-0000-0000E6730000}"/>
    <cellStyle name="Normal 6 3" xfId="7654" xr:uid="{00000000-0005-0000-0000-0000E7730000}"/>
    <cellStyle name="Normal 6 3 2" xfId="7655" xr:uid="{00000000-0005-0000-0000-0000E8730000}"/>
    <cellStyle name="Normal 6 3 2 2" xfId="17371" xr:uid="{00000000-0005-0000-0000-0000E9730000}"/>
    <cellStyle name="Normal 6 3 2 3" xfId="31920" xr:uid="{00000000-0005-0000-0000-0000EA730000}"/>
    <cellStyle name="Normal 6 3 3" xfId="8745" xr:uid="{00000000-0005-0000-0000-0000EB730000}"/>
    <cellStyle name="Normal 6 3 4" xfId="11596" xr:uid="{00000000-0005-0000-0000-0000EC730000}"/>
    <cellStyle name="Normal 6 3 5" xfId="33087" xr:uid="{00000000-0005-0000-0000-0000ED730000}"/>
    <cellStyle name="Normal 6 4" xfId="8707" xr:uid="{00000000-0005-0000-0000-0000EE730000}"/>
    <cellStyle name="Normal 7" xfId="7656" xr:uid="{00000000-0005-0000-0000-0000EF730000}"/>
    <cellStyle name="Normal 7 2" xfId="7657" xr:uid="{00000000-0005-0000-0000-0000F0730000}"/>
    <cellStyle name="Normal 7 2 2" xfId="7658" xr:uid="{00000000-0005-0000-0000-0000F1730000}"/>
    <cellStyle name="Normal 7 2 2 2" xfId="11732" xr:uid="{00000000-0005-0000-0000-0000F2730000}"/>
    <cellStyle name="Normal 7 2 2 3" xfId="31923" xr:uid="{00000000-0005-0000-0000-0000F3730000}"/>
    <cellStyle name="Normal 7 2 3" xfId="7659" xr:uid="{00000000-0005-0000-0000-0000F4730000}"/>
    <cellStyle name="Normal 7 2 3 2" xfId="17349" xr:uid="{00000000-0005-0000-0000-0000F5730000}"/>
    <cellStyle name="Normal 7 2 3 3" xfId="31924" xr:uid="{00000000-0005-0000-0000-0000F6730000}"/>
    <cellStyle name="Normal 7 2 4" xfId="8746" xr:uid="{00000000-0005-0000-0000-0000F7730000}"/>
    <cellStyle name="Normal 7 2 5" xfId="10230" xr:uid="{00000000-0005-0000-0000-0000F8730000}"/>
    <cellStyle name="Normal 7 2 6" xfId="31922" xr:uid="{00000000-0005-0000-0000-0000F9730000}"/>
    <cellStyle name="Normal 7 3" xfId="7660" xr:uid="{00000000-0005-0000-0000-0000FA730000}"/>
    <cellStyle name="Normal 7 3 2" xfId="11597" xr:uid="{00000000-0005-0000-0000-0000FB730000}"/>
    <cellStyle name="Normal 7 3 3" xfId="31925" xr:uid="{00000000-0005-0000-0000-0000FC730000}"/>
    <cellStyle name="Normal 7 4" xfId="8698" xr:uid="{00000000-0005-0000-0000-0000FD730000}"/>
    <cellStyle name="Normal 7 5" xfId="31921" xr:uid="{00000000-0005-0000-0000-0000FE730000}"/>
    <cellStyle name="Normal 8" xfId="7661" xr:uid="{00000000-0005-0000-0000-0000FF730000}"/>
    <cellStyle name="Normal 8 2" xfId="7662" xr:uid="{00000000-0005-0000-0000-000000740000}"/>
    <cellStyle name="Normal 8 2 2" xfId="7663" xr:uid="{00000000-0005-0000-0000-000001740000}"/>
    <cellStyle name="Normal 8 2 2 2" xfId="17350" xr:uid="{00000000-0005-0000-0000-000002740000}"/>
    <cellStyle name="Normal 8 2 3" xfId="8747" xr:uid="{00000000-0005-0000-0000-000003740000}"/>
    <cellStyle name="Normal 8 2 4" xfId="10231" xr:uid="{00000000-0005-0000-0000-000004740000}"/>
    <cellStyle name="Normal 8 3" xfId="7664" xr:uid="{00000000-0005-0000-0000-000005740000}"/>
    <cellStyle name="Normal 8 3 2" xfId="7665" xr:uid="{00000000-0005-0000-0000-000006740000}"/>
    <cellStyle name="Normal 8 3 2 2" xfId="11737" xr:uid="{00000000-0005-0000-0000-000007740000}"/>
    <cellStyle name="Normal 8 3 2 3" xfId="31927" xr:uid="{00000000-0005-0000-0000-000008740000}"/>
    <cellStyle name="Normal 8 3 3" xfId="10232" xr:uid="{00000000-0005-0000-0000-000009740000}"/>
    <cellStyle name="Normal 8 3 4" xfId="31926" xr:uid="{00000000-0005-0000-0000-00000A740000}"/>
    <cellStyle name="Normal 8 4" xfId="7666" xr:uid="{00000000-0005-0000-0000-00000B740000}"/>
    <cellStyle name="Normal 8 4 2" xfId="11598" xr:uid="{00000000-0005-0000-0000-00000C740000}"/>
    <cellStyle name="Normal 8 4 3" xfId="31928" xr:uid="{00000000-0005-0000-0000-00000D740000}"/>
    <cellStyle name="Normal 8 5" xfId="8708" xr:uid="{00000000-0005-0000-0000-00000E740000}"/>
    <cellStyle name="Normal 9" xfId="7667" xr:uid="{00000000-0005-0000-0000-00000F740000}"/>
    <cellStyle name="Normal 9 2" xfId="7668" xr:uid="{00000000-0005-0000-0000-000010740000}"/>
    <cellStyle name="Normal 9 2 2" xfId="7669" xr:uid="{00000000-0005-0000-0000-000011740000}"/>
    <cellStyle name="Normal 9 2 2 2" xfId="7670" xr:uid="{00000000-0005-0000-0000-000012740000}"/>
    <cellStyle name="Normal 9 2 2 2 2" xfId="17051" xr:uid="{00000000-0005-0000-0000-000013740000}"/>
    <cellStyle name="Normal 9 2 2 2 2 2" xfId="30450" xr:uid="{00000000-0005-0000-0000-000014740000}"/>
    <cellStyle name="Normal 9 2 2 2 3" xfId="31931" xr:uid="{00000000-0005-0000-0000-000015740000}"/>
    <cellStyle name="Normal 9 2 2 3" xfId="11599" xr:uid="{00000000-0005-0000-0000-000016740000}"/>
    <cellStyle name="Normal 9 2 2 3 2" xfId="25427" xr:uid="{00000000-0005-0000-0000-000017740000}"/>
    <cellStyle name="Normal 9 2 2 4" xfId="31930" xr:uid="{00000000-0005-0000-0000-000018740000}"/>
    <cellStyle name="Normal 9 2 3" xfId="7671" xr:uid="{00000000-0005-0000-0000-000019740000}"/>
    <cellStyle name="Normal 9 2 3 2" xfId="7672" xr:uid="{00000000-0005-0000-0000-00001A740000}"/>
    <cellStyle name="Normal 9 2 3 2 2" xfId="17003" xr:uid="{00000000-0005-0000-0000-00001B740000}"/>
    <cellStyle name="Normal 9 2 3 2 2 2" xfId="30410" xr:uid="{00000000-0005-0000-0000-00001C740000}"/>
    <cellStyle name="Normal 9 2 3 2 3" xfId="31933" xr:uid="{00000000-0005-0000-0000-00001D740000}"/>
    <cellStyle name="Normal 9 2 3 3" xfId="12392" xr:uid="{00000000-0005-0000-0000-00001E740000}"/>
    <cellStyle name="Normal 9 2 3 3 2" xfId="26104" xr:uid="{00000000-0005-0000-0000-00001F740000}"/>
    <cellStyle name="Normal 9 2 3 4" xfId="31932" xr:uid="{00000000-0005-0000-0000-000020740000}"/>
    <cellStyle name="Normal 9 2 4" xfId="7673" xr:uid="{00000000-0005-0000-0000-000021740000}"/>
    <cellStyle name="Normal 9 2 4 2" xfId="13955" xr:uid="{00000000-0005-0000-0000-000022740000}"/>
    <cellStyle name="Normal 9 2 4 2 2" xfId="27504" xr:uid="{00000000-0005-0000-0000-000023740000}"/>
    <cellStyle name="Normal 9 2 4 3" xfId="31934" xr:uid="{00000000-0005-0000-0000-000024740000}"/>
    <cellStyle name="Normal 9 2 5" xfId="7674" xr:uid="{00000000-0005-0000-0000-000025740000}"/>
    <cellStyle name="Normal 9 2 5 2" xfId="14536" xr:uid="{00000000-0005-0000-0000-000026740000}"/>
    <cellStyle name="Normal 9 2 5 2 2" xfId="28085" xr:uid="{00000000-0005-0000-0000-000027740000}"/>
    <cellStyle name="Normal 9 2 5 3" xfId="31935" xr:uid="{00000000-0005-0000-0000-000028740000}"/>
    <cellStyle name="Normal 9 2 6" xfId="7675" xr:uid="{00000000-0005-0000-0000-000029740000}"/>
    <cellStyle name="Normal 9 2 6 2" xfId="16422" xr:uid="{00000000-0005-0000-0000-00002A740000}"/>
    <cellStyle name="Normal 9 2 6 2 2" xfId="29829" xr:uid="{00000000-0005-0000-0000-00002B740000}"/>
    <cellStyle name="Normal 9 2 6 3" xfId="31936" xr:uid="{00000000-0005-0000-0000-00002C740000}"/>
    <cellStyle name="Normal 9 2 7" xfId="10234" xr:uid="{00000000-0005-0000-0000-00002D740000}"/>
    <cellStyle name="Normal 9 2 7 2" xfId="24420" xr:uid="{00000000-0005-0000-0000-00002E740000}"/>
    <cellStyle name="Normal 9 2 8" xfId="31929" xr:uid="{00000000-0005-0000-0000-00002F740000}"/>
    <cellStyle name="Normal 9 3" xfId="7676" xr:uid="{00000000-0005-0000-0000-000030740000}"/>
    <cellStyle name="Normal 9 3 2" xfId="10233" xr:uid="{00000000-0005-0000-0000-000031740000}"/>
    <cellStyle name="Normal 9 3 3" xfId="31937" xr:uid="{00000000-0005-0000-0000-000032740000}"/>
    <cellStyle name="Normal 9 4" xfId="8666" xr:uid="{00000000-0005-0000-0000-000033740000}"/>
    <cellStyle name="Note" xfId="33035" builtinId="10" customBuiltin="1"/>
    <cellStyle name="Note 2" xfId="7677" xr:uid="{00000000-0005-0000-0000-000035740000}"/>
    <cellStyle name="Note 2 10" xfId="7678" xr:uid="{00000000-0005-0000-0000-000036740000}"/>
    <cellStyle name="Note 2 10 2" xfId="7679" xr:uid="{00000000-0005-0000-0000-000037740000}"/>
    <cellStyle name="Note 2 10 2 2" xfId="13289" xr:uid="{00000000-0005-0000-0000-000038740000}"/>
    <cellStyle name="Note 2 10 2 3" xfId="31940" xr:uid="{00000000-0005-0000-0000-000039740000}"/>
    <cellStyle name="Note 2 10 3" xfId="7680" xr:uid="{00000000-0005-0000-0000-00003A740000}"/>
    <cellStyle name="Note 2 10 3 2" xfId="13288" xr:uid="{00000000-0005-0000-0000-00003B740000}"/>
    <cellStyle name="Note 2 10 3 2 2" xfId="26918" xr:uid="{00000000-0005-0000-0000-00003C740000}"/>
    <cellStyle name="Note 2 10 3 3" xfId="31941" xr:uid="{00000000-0005-0000-0000-00003D740000}"/>
    <cellStyle name="Note 2 10 4" xfId="7681" xr:uid="{00000000-0005-0000-0000-00003E740000}"/>
    <cellStyle name="Note 2 10 4 2" xfId="17111" xr:uid="{00000000-0005-0000-0000-00003F740000}"/>
    <cellStyle name="Note 2 10 4 2 2" xfId="30470" xr:uid="{00000000-0005-0000-0000-000040740000}"/>
    <cellStyle name="Note 2 10 4 3" xfId="31942" xr:uid="{00000000-0005-0000-0000-000041740000}"/>
    <cellStyle name="Note 2 10 5" xfId="10236" xr:uid="{00000000-0005-0000-0000-000042740000}"/>
    <cellStyle name="Note 2 10 6" xfId="31939" xr:uid="{00000000-0005-0000-0000-000043740000}"/>
    <cellStyle name="Note 2 11" xfId="7682" xr:uid="{00000000-0005-0000-0000-000044740000}"/>
    <cellStyle name="Note 2 11 2" xfId="7683" xr:uid="{00000000-0005-0000-0000-000045740000}"/>
    <cellStyle name="Note 2 11 2 2" xfId="17200" xr:uid="{00000000-0005-0000-0000-000046740000}"/>
    <cellStyle name="Note 2 11 2 2 2" xfId="30559" xr:uid="{00000000-0005-0000-0000-000047740000}"/>
    <cellStyle name="Note 2 11 2 3" xfId="31944" xr:uid="{00000000-0005-0000-0000-000048740000}"/>
    <cellStyle name="Note 2 11 3" xfId="10237" xr:uid="{00000000-0005-0000-0000-000049740000}"/>
    <cellStyle name="Note 2 11 4" xfId="31943" xr:uid="{00000000-0005-0000-0000-00004A740000}"/>
    <cellStyle name="Note 2 12" xfId="7684" xr:uid="{00000000-0005-0000-0000-00004B740000}"/>
    <cellStyle name="Note 2 12 2" xfId="7685" xr:uid="{00000000-0005-0000-0000-00004C740000}"/>
    <cellStyle name="Note 2 12 2 2" xfId="7686" xr:uid="{00000000-0005-0000-0000-00004D740000}"/>
    <cellStyle name="Note 2 12 2 2 2" xfId="11602" xr:uid="{00000000-0005-0000-0000-00004E740000}"/>
    <cellStyle name="Note 2 12 2 2 3" xfId="31947" xr:uid="{00000000-0005-0000-0000-00004F740000}"/>
    <cellStyle name="Note 2 12 2 3" xfId="10239" xr:uid="{00000000-0005-0000-0000-000050740000}"/>
    <cellStyle name="Note 2 12 2 4" xfId="31946" xr:uid="{00000000-0005-0000-0000-000051740000}"/>
    <cellStyle name="Note 2 12 3" xfId="7687" xr:uid="{00000000-0005-0000-0000-000052740000}"/>
    <cellStyle name="Note 2 12 3 2" xfId="11601" xr:uid="{00000000-0005-0000-0000-000053740000}"/>
    <cellStyle name="Note 2 12 3 3" xfId="31948" xr:uid="{00000000-0005-0000-0000-000054740000}"/>
    <cellStyle name="Note 2 12 4" xfId="7688" xr:uid="{00000000-0005-0000-0000-000055740000}"/>
    <cellStyle name="Note 2 12 4 2" xfId="17289" xr:uid="{00000000-0005-0000-0000-000056740000}"/>
    <cellStyle name="Note 2 12 4 2 2" xfId="30648" xr:uid="{00000000-0005-0000-0000-000057740000}"/>
    <cellStyle name="Note 2 12 4 3" xfId="31949" xr:uid="{00000000-0005-0000-0000-000058740000}"/>
    <cellStyle name="Note 2 12 5" xfId="10238" xr:uid="{00000000-0005-0000-0000-000059740000}"/>
    <cellStyle name="Note 2 12 6" xfId="31945" xr:uid="{00000000-0005-0000-0000-00005A740000}"/>
    <cellStyle name="Note 2 13" xfId="7689" xr:uid="{00000000-0005-0000-0000-00005B740000}"/>
    <cellStyle name="Note 2 13 2" xfId="7690" xr:uid="{00000000-0005-0000-0000-00005C740000}"/>
    <cellStyle name="Note 2 13 2 2" xfId="16441" xr:uid="{00000000-0005-0000-0000-00005D740000}"/>
    <cellStyle name="Note 2 13 2 2 2" xfId="29848" xr:uid="{00000000-0005-0000-0000-00005E740000}"/>
    <cellStyle name="Note 2 13 2 3" xfId="31951" xr:uid="{00000000-0005-0000-0000-00005F740000}"/>
    <cellStyle name="Note 2 13 3" xfId="10240" xr:uid="{00000000-0005-0000-0000-000060740000}"/>
    <cellStyle name="Note 2 13 4" xfId="31950" xr:uid="{00000000-0005-0000-0000-000061740000}"/>
    <cellStyle name="Note 2 14" xfId="7691" xr:uid="{00000000-0005-0000-0000-000062740000}"/>
    <cellStyle name="Note 2 14 2" xfId="7692" xr:uid="{00000000-0005-0000-0000-000063740000}"/>
    <cellStyle name="Note 2 14 2 2" xfId="11603" xr:uid="{00000000-0005-0000-0000-000064740000}"/>
    <cellStyle name="Note 2 14 2 3" xfId="31953" xr:uid="{00000000-0005-0000-0000-000065740000}"/>
    <cellStyle name="Note 2 14 3" xfId="10241" xr:uid="{00000000-0005-0000-0000-000066740000}"/>
    <cellStyle name="Note 2 14 4" xfId="31952" xr:uid="{00000000-0005-0000-0000-000067740000}"/>
    <cellStyle name="Note 2 15" xfId="7693" xr:uid="{00000000-0005-0000-0000-000068740000}"/>
    <cellStyle name="Note 2 15 2" xfId="7694" xr:uid="{00000000-0005-0000-0000-000069740000}"/>
    <cellStyle name="Note 2 15 2 2" xfId="11604" xr:uid="{00000000-0005-0000-0000-00006A740000}"/>
    <cellStyle name="Note 2 15 2 3" xfId="31955" xr:uid="{00000000-0005-0000-0000-00006B740000}"/>
    <cellStyle name="Note 2 15 3" xfId="10242" xr:uid="{00000000-0005-0000-0000-00006C740000}"/>
    <cellStyle name="Note 2 15 4" xfId="31954" xr:uid="{00000000-0005-0000-0000-00006D740000}"/>
    <cellStyle name="Note 2 16" xfId="7695" xr:uid="{00000000-0005-0000-0000-00006E740000}"/>
    <cellStyle name="Note 2 16 2" xfId="7696" xr:uid="{00000000-0005-0000-0000-00006F740000}"/>
    <cellStyle name="Note 2 16 2 2" xfId="11605" xr:uid="{00000000-0005-0000-0000-000070740000}"/>
    <cellStyle name="Note 2 16 2 3" xfId="31957" xr:uid="{00000000-0005-0000-0000-000071740000}"/>
    <cellStyle name="Note 2 16 3" xfId="10243" xr:uid="{00000000-0005-0000-0000-000072740000}"/>
    <cellStyle name="Note 2 16 4" xfId="31956" xr:uid="{00000000-0005-0000-0000-000073740000}"/>
    <cellStyle name="Note 2 17" xfId="7697" xr:uid="{00000000-0005-0000-0000-000074740000}"/>
    <cellStyle name="Note 2 17 2" xfId="7698" xr:uid="{00000000-0005-0000-0000-000075740000}"/>
    <cellStyle name="Note 2 17 2 2" xfId="11606" xr:uid="{00000000-0005-0000-0000-000076740000}"/>
    <cellStyle name="Note 2 17 2 3" xfId="31959" xr:uid="{00000000-0005-0000-0000-000077740000}"/>
    <cellStyle name="Note 2 17 3" xfId="10244" xr:uid="{00000000-0005-0000-0000-000078740000}"/>
    <cellStyle name="Note 2 17 4" xfId="31958" xr:uid="{00000000-0005-0000-0000-000079740000}"/>
    <cellStyle name="Note 2 18" xfId="7699" xr:uid="{00000000-0005-0000-0000-00007A740000}"/>
    <cellStyle name="Note 2 18 2" xfId="7700" xr:uid="{00000000-0005-0000-0000-00007B740000}"/>
    <cellStyle name="Note 2 18 2 2" xfId="11607" xr:uid="{00000000-0005-0000-0000-00007C740000}"/>
    <cellStyle name="Note 2 18 2 3" xfId="31961" xr:uid="{00000000-0005-0000-0000-00007D740000}"/>
    <cellStyle name="Note 2 18 3" xfId="10245" xr:uid="{00000000-0005-0000-0000-00007E740000}"/>
    <cellStyle name="Note 2 18 4" xfId="31960" xr:uid="{00000000-0005-0000-0000-00007F740000}"/>
    <cellStyle name="Note 2 19" xfId="7701" xr:uid="{00000000-0005-0000-0000-000080740000}"/>
    <cellStyle name="Note 2 19 2" xfId="7702" xr:uid="{00000000-0005-0000-0000-000081740000}"/>
    <cellStyle name="Note 2 19 2 2" xfId="11608" xr:uid="{00000000-0005-0000-0000-000082740000}"/>
    <cellStyle name="Note 2 19 2 3" xfId="31963" xr:uid="{00000000-0005-0000-0000-000083740000}"/>
    <cellStyle name="Note 2 19 3" xfId="10246" xr:uid="{00000000-0005-0000-0000-000084740000}"/>
    <cellStyle name="Note 2 19 4" xfId="31962" xr:uid="{00000000-0005-0000-0000-000085740000}"/>
    <cellStyle name="Note 2 2" xfId="7703" xr:uid="{00000000-0005-0000-0000-000086740000}"/>
    <cellStyle name="Note 2 2 10" xfId="7704" xr:uid="{00000000-0005-0000-0000-000087740000}"/>
    <cellStyle name="Note 2 2 10 2" xfId="11609" xr:uid="{00000000-0005-0000-0000-000088740000}"/>
    <cellStyle name="Note 2 2 10 3" xfId="31965" xr:uid="{00000000-0005-0000-0000-000089740000}"/>
    <cellStyle name="Note 2 2 11" xfId="7705" xr:uid="{00000000-0005-0000-0000-00008A740000}"/>
    <cellStyle name="Note 2 2 11 2" xfId="7706" xr:uid="{00000000-0005-0000-0000-00008B740000}"/>
    <cellStyle name="Note 2 2 11 2 2" xfId="15724" xr:uid="{00000000-0005-0000-0000-00008C740000}"/>
    <cellStyle name="Note 2 2 11 2 3" xfId="31967" xr:uid="{00000000-0005-0000-0000-00008D740000}"/>
    <cellStyle name="Note 2 2 11 3" xfId="11861" xr:uid="{00000000-0005-0000-0000-00008E740000}"/>
    <cellStyle name="Note 2 2 11 3 2" xfId="25576" xr:uid="{00000000-0005-0000-0000-00008F740000}"/>
    <cellStyle name="Note 2 2 11 4" xfId="31966" xr:uid="{00000000-0005-0000-0000-000090740000}"/>
    <cellStyle name="Note 2 2 12" xfId="7707" xr:uid="{00000000-0005-0000-0000-000091740000}"/>
    <cellStyle name="Note 2 2 12 2" xfId="13450" xr:uid="{00000000-0005-0000-0000-000092740000}"/>
    <cellStyle name="Note 2 2 12 2 2" xfId="26999" xr:uid="{00000000-0005-0000-0000-000093740000}"/>
    <cellStyle name="Note 2 2 12 3" xfId="31968" xr:uid="{00000000-0005-0000-0000-000094740000}"/>
    <cellStyle name="Note 2 2 13" xfId="7708" xr:uid="{00000000-0005-0000-0000-000095740000}"/>
    <cellStyle name="Note 2 2 13 2" xfId="14031" xr:uid="{00000000-0005-0000-0000-000096740000}"/>
    <cellStyle name="Note 2 2 13 2 2" xfId="27580" xr:uid="{00000000-0005-0000-0000-000097740000}"/>
    <cellStyle name="Note 2 2 13 3" xfId="31969" xr:uid="{00000000-0005-0000-0000-000098740000}"/>
    <cellStyle name="Note 2 2 14" xfId="7709" xr:uid="{00000000-0005-0000-0000-000099740000}"/>
    <cellStyle name="Note 2 2 14 2" xfId="15917" xr:uid="{00000000-0005-0000-0000-00009A740000}"/>
    <cellStyle name="Note 2 2 14 2 2" xfId="29324" xr:uid="{00000000-0005-0000-0000-00009B740000}"/>
    <cellStyle name="Note 2 2 14 3" xfId="31970" xr:uid="{00000000-0005-0000-0000-00009C740000}"/>
    <cellStyle name="Note 2 2 15" xfId="10247" xr:uid="{00000000-0005-0000-0000-00009D740000}"/>
    <cellStyle name="Note 2 2 16" xfId="31964" xr:uid="{00000000-0005-0000-0000-00009E740000}"/>
    <cellStyle name="Note 2 2 2" xfId="7710" xr:uid="{00000000-0005-0000-0000-00009F740000}"/>
    <cellStyle name="Note 2 2 2 10" xfId="31971" xr:uid="{00000000-0005-0000-0000-0000A0740000}"/>
    <cellStyle name="Note 2 2 2 2" xfId="7711" xr:uid="{00000000-0005-0000-0000-0000A1740000}"/>
    <cellStyle name="Note 2 2 2 2 2" xfId="7712" xr:uid="{00000000-0005-0000-0000-0000A2740000}"/>
    <cellStyle name="Note 2 2 2 2 2 2" xfId="7713" xr:uid="{00000000-0005-0000-0000-0000A3740000}"/>
    <cellStyle name="Note 2 2 2 2 2 2 2" xfId="7714" xr:uid="{00000000-0005-0000-0000-0000A4740000}"/>
    <cellStyle name="Note 2 2 2 2 2 2 2 2" xfId="11610" xr:uid="{00000000-0005-0000-0000-0000A5740000}"/>
    <cellStyle name="Note 2 2 2 2 2 2 2 3" xfId="31975" xr:uid="{00000000-0005-0000-0000-0000A6740000}"/>
    <cellStyle name="Note 2 2 2 2 2 2 3" xfId="7715" xr:uid="{00000000-0005-0000-0000-0000A7740000}"/>
    <cellStyle name="Note 2 2 2 2 2 2 3 2" xfId="16976" xr:uid="{00000000-0005-0000-0000-0000A8740000}"/>
    <cellStyle name="Note 2 2 2 2 2 2 3 2 2" xfId="30383" xr:uid="{00000000-0005-0000-0000-0000A9740000}"/>
    <cellStyle name="Note 2 2 2 2 2 2 3 3" xfId="31976" xr:uid="{00000000-0005-0000-0000-0000AA740000}"/>
    <cellStyle name="Note 2 2 2 2 2 2 4" xfId="10251" xr:uid="{00000000-0005-0000-0000-0000AB740000}"/>
    <cellStyle name="Note 2 2 2 2 2 2 5" xfId="31974" xr:uid="{00000000-0005-0000-0000-0000AC740000}"/>
    <cellStyle name="Note 2 2 2 2 2 3" xfId="7716" xr:uid="{00000000-0005-0000-0000-0000AD740000}"/>
    <cellStyle name="Note 2 2 2 2 2 3 2" xfId="7717" xr:uid="{00000000-0005-0000-0000-0000AE740000}"/>
    <cellStyle name="Note 2 2 2 2 2 3 2 2" xfId="13290" xr:uid="{00000000-0005-0000-0000-0000AF740000}"/>
    <cellStyle name="Note 2 2 2 2 2 3 2 3" xfId="31978" xr:uid="{00000000-0005-0000-0000-0000B0740000}"/>
    <cellStyle name="Note 2 2 2 2 2 3 3" xfId="12364" xr:uid="{00000000-0005-0000-0000-0000B1740000}"/>
    <cellStyle name="Note 2 2 2 2 2 3 3 2" xfId="26076" xr:uid="{00000000-0005-0000-0000-0000B2740000}"/>
    <cellStyle name="Note 2 2 2 2 2 3 4" xfId="31977" xr:uid="{00000000-0005-0000-0000-0000B3740000}"/>
    <cellStyle name="Note 2 2 2 2 2 4" xfId="7718" xr:uid="{00000000-0005-0000-0000-0000B4740000}"/>
    <cellStyle name="Note 2 2 2 2 2 4 2" xfId="7719" xr:uid="{00000000-0005-0000-0000-0000B5740000}"/>
    <cellStyle name="Note 2 2 2 2 2 4 2 2" xfId="15725" xr:uid="{00000000-0005-0000-0000-0000B6740000}"/>
    <cellStyle name="Note 2 2 2 2 2 4 2 3" xfId="31980" xr:uid="{00000000-0005-0000-0000-0000B7740000}"/>
    <cellStyle name="Note 2 2 2 2 2 4 3" xfId="13928" xr:uid="{00000000-0005-0000-0000-0000B8740000}"/>
    <cellStyle name="Note 2 2 2 2 2 4 3 2" xfId="27477" xr:uid="{00000000-0005-0000-0000-0000B9740000}"/>
    <cellStyle name="Note 2 2 2 2 2 4 4" xfId="31979" xr:uid="{00000000-0005-0000-0000-0000BA740000}"/>
    <cellStyle name="Note 2 2 2 2 2 5" xfId="7720" xr:uid="{00000000-0005-0000-0000-0000BB740000}"/>
    <cellStyle name="Note 2 2 2 2 2 5 2" xfId="14509" xr:uid="{00000000-0005-0000-0000-0000BC740000}"/>
    <cellStyle name="Note 2 2 2 2 2 5 2 2" xfId="28058" xr:uid="{00000000-0005-0000-0000-0000BD740000}"/>
    <cellStyle name="Note 2 2 2 2 2 5 3" xfId="31981" xr:uid="{00000000-0005-0000-0000-0000BE740000}"/>
    <cellStyle name="Note 2 2 2 2 2 6" xfId="7721" xr:uid="{00000000-0005-0000-0000-0000BF740000}"/>
    <cellStyle name="Note 2 2 2 2 2 6 2" xfId="16395" xr:uid="{00000000-0005-0000-0000-0000C0740000}"/>
    <cellStyle name="Note 2 2 2 2 2 6 2 2" xfId="29802" xr:uid="{00000000-0005-0000-0000-0000C1740000}"/>
    <cellStyle name="Note 2 2 2 2 2 6 3" xfId="31982" xr:uid="{00000000-0005-0000-0000-0000C2740000}"/>
    <cellStyle name="Note 2 2 2 2 2 7" xfId="10250" xr:uid="{00000000-0005-0000-0000-0000C3740000}"/>
    <cellStyle name="Note 2 2 2 2 2 8" xfId="31973" xr:uid="{00000000-0005-0000-0000-0000C4740000}"/>
    <cellStyle name="Note 2 2 2 2 3" xfId="7722" xr:uid="{00000000-0005-0000-0000-0000C5740000}"/>
    <cellStyle name="Note 2 2 2 2 3 2" xfId="7723" xr:uid="{00000000-0005-0000-0000-0000C6740000}"/>
    <cellStyle name="Note 2 2 2 2 3 2 2" xfId="11611" xr:uid="{00000000-0005-0000-0000-0000C7740000}"/>
    <cellStyle name="Note 2 2 2 2 3 2 3" xfId="31984" xr:uid="{00000000-0005-0000-0000-0000C8740000}"/>
    <cellStyle name="Note 2 2 2 2 3 3" xfId="7724" xr:uid="{00000000-0005-0000-0000-0000C9740000}"/>
    <cellStyle name="Note 2 2 2 2 3 3 2" xfId="16687" xr:uid="{00000000-0005-0000-0000-0000CA740000}"/>
    <cellStyle name="Note 2 2 2 2 3 3 2 2" xfId="30094" xr:uid="{00000000-0005-0000-0000-0000CB740000}"/>
    <cellStyle name="Note 2 2 2 2 3 3 3" xfId="31985" xr:uid="{00000000-0005-0000-0000-0000CC740000}"/>
    <cellStyle name="Note 2 2 2 2 3 4" xfId="10252" xr:uid="{00000000-0005-0000-0000-0000CD740000}"/>
    <cellStyle name="Note 2 2 2 2 3 5" xfId="31983" xr:uid="{00000000-0005-0000-0000-0000CE740000}"/>
    <cellStyle name="Note 2 2 2 2 4" xfId="7725" xr:uid="{00000000-0005-0000-0000-0000CF740000}"/>
    <cellStyle name="Note 2 2 2 2 4 2" xfId="7726" xr:uid="{00000000-0005-0000-0000-0000D0740000}"/>
    <cellStyle name="Note 2 2 2 2 4 2 2" xfId="13291" xr:uid="{00000000-0005-0000-0000-0000D1740000}"/>
    <cellStyle name="Note 2 2 2 2 4 2 3" xfId="31987" xr:uid="{00000000-0005-0000-0000-0000D2740000}"/>
    <cellStyle name="Note 2 2 2 2 4 3" xfId="12064" xr:uid="{00000000-0005-0000-0000-0000D3740000}"/>
    <cellStyle name="Note 2 2 2 2 4 3 2" xfId="25779" xr:uid="{00000000-0005-0000-0000-0000D4740000}"/>
    <cellStyle name="Note 2 2 2 2 4 4" xfId="31986" xr:uid="{00000000-0005-0000-0000-0000D5740000}"/>
    <cellStyle name="Note 2 2 2 2 5" xfId="7727" xr:uid="{00000000-0005-0000-0000-0000D6740000}"/>
    <cellStyle name="Note 2 2 2 2 5 2" xfId="7728" xr:uid="{00000000-0005-0000-0000-0000D7740000}"/>
    <cellStyle name="Note 2 2 2 2 5 2 2" xfId="15726" xr:uid="{00000000-0005-0000-0000-0000D8740000}"/>
    <cellStyle name="Note 2 2 2 2 5 2 3" xfId="31989" xr:uid="{00000000-0005-0000-0000-0000D9740000}"/>
    <cellStyle name="Note 2 2 2 2 5 3" xfId="13639" xr:uid="{00000000-0005-0000-0000-0000DA740000}"/>
    <cellStyle name="Note 2 2 2 2 5 3 2" xfId="27188" xr:uid="{00000000-0005-0000-0000-0000DB740000}"/>
    <cellStyle name="Note 2 2 2 2 5 4" xfId="31988" xr:uid="{00000000-0005-0000-0000-0000DC740000}"/>
    <cellStyle name="Note 2 2 2 2 6" xfId="7729" xr:uid="{00000000-0005-0000-0000-0000DD740000}"/>
    <cellStyle name="Note 2 2 2 2 6 2" xfId="14220" xr:uid="{00000000-0005-0000-0000-0000DE740000}"/>
    <cellStyle name="Note 2 2 2 2 6 2 2" xfId="27769" xr:uid="{00000000-0005-0000-0000-0000DF740000}"/>
    <cellStyle name="Note 2 2 2 2 6 3" xfId="31990" xr:uid="{00000000-0005-0000-0000-0000E0740000}"/>
    <cellStyle name="Note 2 2 2 2 7" xfId="7730" xr:uid="{00000000-0005-0000-0000-0000E1740000}"/>
    <cellStyle name="Note 2 2 2 2 7 2" xfId="16106" xr:uid="{00000000-0005-0000-0000-0000E2740000}"/>
    <cellStyle name="Note 2 2 2 2 7 2 2" xfId="29513" xr:uid="{00000000-0005-0000-0000-0000E3740000}"/>
    <cellStyle name="Note 2 2 2 2 7 3" xfId="31991" xr:uid="{00000000-0005-0000-0000-0000E4740000}"/>
    <cellStyle name="Note 2 2 2 2 8" xfId="10249" xr:uid="{00000000-0005-0000-0000-0000E5740000}"/>
    <cellStyle name="Note 2 2 2 2 9" xfId="31972" xr:uid="{00000000-0005-0000-0000-0000E6740000}"/>
    <cellStyle name="Note 2 2 2 3" xfId="7731" xr:uid="{00000000-0005-0000-0000-0000E7740000}"/>
    <cellStyle name="Note 2 2 2 3 2" xfId="7732" xr:uid="{00000000-0005-0000-0000-0000E8740000}"/>
    <cellStyle name="Note 2 2 2 3 2 2" xfId="7733" xr:uid="{00000000-0005-0000-0000-0000E9740000}"/>
    <cellStyle name="Note 2 2 2 3 2 2 2" xfId="11612" xr:uid="{00000000-0005-0000-0000-0000EA740000}"/>
    <cellStyle name="Note 2 2 2 3 2 2 3" xfId="31994" xr:uid="{00000000-0005-0000-0000-0000EB740000}"/>
    <cellStyle name="Note 2 2 2 3 2 3" xfId="7734" xr:uid="{00000000-0005-0000-0000-0000EC740000}"/>
    <cellStyle name="Note 2 2 2 3 2 3 2" xfId="16833" xr:uid="{00000000-0005-0000-0000-0000ED740000}"/>
    <cellStyle name="Note 2 2 2 3 2 3 2 2" xfId="30240" xr:uid="{00000000-0005-0000-0000-0000EE740000}"/>
    <cellStyle name="Note 2 2 2 3 2 3 3" xfId="31995" xr:uid="{00000000-0005-0000-0000-0000EF740000}"/>
    <cellStyle name="Note 2 2 2 3 2 4" xfId="10254" xr:uid="{00000000-0005-0000-0000-0000F0740000}"/>
    <cellStyle name="Note 2 2 2 3 2 5" xfId="31993" xr:uid="{00000000-0005-0000-0000-0000F1740000}"/>
    <cellStyle name="Note 2 2 2 3 3" xfId="7735" xr:uid="{00000000-0005-0000-0000-0000F2740000}"/>
    <cellStyle name="Note 2 2 2 3 3 2" xfId="7736" xr:uid="{00000000-0005-0000-0000-0000F3740000}"/>
    <cellStyle name="Note 2 2 2 3 3 2 2" xfId="13292" xr:uid="{00000000-0005-0000-0000-0000F4740000}"/>
    <cellStyle name="Note 2 2 2 3 3 2 3" xfId="31997" xr:uid="{00000000-0005-0000-0000-0000F5740000}"/>
    <cellStyle name="Note 2 2 2 3 3 3" xfId="12221" xr:uid="{00000000-0005-0000-0000-0000F6740000}"/>
    <cellStyle name="Note 2 2 2 3 3 3 2" xfId="25933" xr:uid="{00000000-0005-0000-0000-0000F7740000}"/>
    <cellStyle name="Note 2 2 2 3 3 4" xfId="31996" xr:uid="{00000000-0005-0000-0000-0000F8740000}"/>
    <cellStyle name="Note 2 2 2 3 4" xfId="7737" xr:uid="{00000000-0005-0000-0000-0000F9740000}"/>
    <cellStyle name="Note 2 2 2 3 4 2" xfId="7738" xr:uid="{00000000-0005-0000-0000-0000FA740000}"/>
    <cellStyle name="Note 2 2 2 3 4 2 2" xfId="15727" xr:uid="{00000000-0005-0000-0000-0000FB740000}"/>
    <cellStyle name="Note 2 2 2 3 4 2 3" xfId="31999" xr:uid="{00000000-0005-0000-0000-0000FC740000}"/>
    <cellStyle name="Note 2 2 2 3 4 3" xfId="13785" xr:uid="{00000000-0005-0000-0000-0000FD740000}"/>
    <cellStyle name="Note 2 2 2 3 4 3 2" xfId="27334" xr:uid="{00000000-0005-0000-0000-0000FE740000}"/>
    <cellStyle name="Note 2 2 2 3 4 4" xfId="31998" xr:uid="{00000000-0005-0000-0000-0000FF740000}"/>
    <cellStyle name="Note 2 2 2 3 5" xfId="7739" xr:uid="{00000000-0005-0000-0000-000000750000}"/>
    <cellStyle name="Note 2 2 2 3 5 2" xfId="14366" xr:uid="{00000000-0005-0000-0000-000001750000}"/>
    <cellStyle name="Note 2 2 2 3 5 2 2" xfId="27915" xr:uid="{00000000-0005-0000-0000-000002750000}"/>
    <cellStyle name="Note 2 2 2 3 5 3" xfId="32000" xr:uid="{00000000-0005-0000-0000-000003750000}"/>
    <cellStyle name="Note 2 2 2 3 6" xfId="7740" xr:uid="{00000000-0005-0000-0000-000004750000}"/>
    <cellStyle name="Note 2 2 2 3 6 2" xfId="16252" xr:uid="{00000000-0005-0000-0000-000005750000}"/>
    <cellStyle name="Note 2 2 2 3 6 2 2" xfId="29659" xr:uid="{00000000-0005-0000-0000-000006750000}"/>
    <cellStyle name="Note 2 2 2 3 6 3" xfId="32001" xr:uid="{00000000-0005-0000-0000-000007750000}"/>
    <cellStyle name="Note 2 2 2 3 7" xfId="10253" xr:uid="{00000000-0005-0000-0000-000008750000}"/>
    <cellStyle name="Note 2 2 2 3 8" xfId="31992" xr:uid="{00000000-0005-0000-0000-000009750000}"/>
    <cellStyle name="Note 2 2 2 4" xfId="7741" xr:uid="{00000000-0005-0000-0000-00000A750000}"/>
    <cellStyle name="Note 2 2 2 4 2" xfId="7742" xr:uid="{00000000-0005-0000-0000-00000B750000}"/>
    <cellStyle name="Note 2 2 2 4 2 2" xfId="11613" xr:uid="{00000000-0005-0000-0000-00000C750000}"/>
    <cellStyle name="Note 2 2 2 4 2 3" xfId="32003" xr:uid="{00000000-0005-0000-0000-00000D750000}"/>
    <cellStyle name="Note 2 2 2 4 3" xfId="7743" xr:uid="{00000000-0005-0000-0000-00000E750000}"/>
    <cellStyle name="Note 2 2 2 4 3 2" xfId="17180" xr:uid="{00000000-0005-0000-0000-00000F750000}"/>
    <cellStyle name="Note 2 2 2 4 3 2 2" xfId="30539" xr:uid="{00000000-0005-0000-0000-000010750000}"/>
    <cellStyle name="Note 2 2 2 4 3 3" xfId="32004" xr:uid="{00000000-0005-0000-0000-000011750000}"/>
    <cellStyle name="Note 2 2 2 4 4" xfId="10255" xr:uid="{00000000-0005-0000-0000-000012750000}"/>
    <cellStyle name="Note 2 2 2 4 5" xfId="32002" xr:uid="{00000000-0005-0000-0000-000013750000}"/>
    <cellStyle name="Note 2 2 2 5" xfId="7744" xr:uid="{00000000-0005-0000-0000-000014750000}"/>
    <cellStyle name="Note 2 2 2 5 2" xfId="7745" xr:uid="{00000000-0005-0000-0000-000015750000}"/>
    <cellStyle name="Note 2 2 2 5 2 2" xfId="13293" xr:uid="{00000000-0005-0000-0000-000016750000}"/>
    <cellStyle name="Note 2 2 2 5 2 3" xfId="32006" xr:uid="{00000000-0005-0000-0000-000017750000}"/>
    <cellStyle name="Note 2 2 2 5 3" xfId="7746" xr:uid="{00000000-0005-0000-0000-000018750000}"/>
    <cellStyle name="Note 2 2 2 5 3 2" xfId="17269" xr:uid="{00000000-0005-0000-0000-000019750000}"/>
    <cellStyle name="Note 2 2 2 5 3 2 2" xfId="30628" xr:uid="{00000000-0005-0000-0000-00001A750000}"/>
    <cellStyle name="Note 2 2 2 5 3 3" xfId="32007" xr:uid="{00000000-0005-0000-0000-00001B750000}"/>
    <cellStyle name="Note 2 2 2 5 4" xfId="11919" xr:uid="{00000000-0005-0000-0000-00001C750000}"/>
    <cellStyle name="Note 2 2 2 5 4 2" xfId="25634" xr:uid="{00000000-0005-0000-0000-00001D750000}"/>
    <cellStyle name="Note 2 2 2 5 5" xfId="32005" xr:uid="{00000000-0005-0000-0000-00001E750000}"/>
    <cellStyle name="Note 2 2 2 6" xfId="7747" xr:uid="{00000000-0005-0000-0000-00001F750000}"/>
    <cellStyle name="Note 2 2 2 6 2" xfId="7748" xr:uid="{00000000-0005-0000-0000-000020750000}"/>
    <cellStyle name="Note 2 2 2 6 2 2" xfId="15728" xr:uid="{00000000-0005-0000-0000-000021750000}"/>
    <cellStyle name="Note 2 2 2 6 2 3" xfId="32009" xr:uid="{00000000-0005-0000-0000-000022750000}"/>
    <cellStyle name="Note 2 2 2 6 3" xfId="7749" xr:uid="{00000000-0005-0000-0000-000023750000}"/>
    <cellStyle name="Note 2 2 2 6 3 2" xfId="16544" xr:uid="{00000000-0005-0000-0000-000024750000}"/>
    <cellStyle name="Note 2 2 2 6 3 2 2" xfId="29951" xr:uid="{00000000-0005-0000-0000-000025750000}"/>
    <cellStyle name="Note 2 2 2 6 3 3" xfId="32010" xr:uid="{00000000-0005-0000-0000-000026750000}"/>
    <cellStyle name="Note 2 2 2 6 4" xfId="13496" xr:uid="{00000000-0005-0000-0000-000027750000}"/>
    <cellStyle name="Note 2 2 2 6 4 2" xfId="27045" xr:uid="{00000000-0005-0000-0000-000028750000}"/>
    <cellStyle name="Note 2 2 2 6 5" xfId="32008" xr:uid="{00000000-0005-0000-0000-000029750000}"/>
    <cellStyle name="Note 2 2 2 7" xfId="7750" xr:uid="{00000000-0005-0000-0000-00002A750000}"/>
    <cellStyle name="Note 2 2 2 7 2" xfId="14077" xr:uid="{00000000-0005-0000-0000-00002B750000}"/>
    <cellStyle name="Note 2 2 2 7 2 2" xfId="27626" xr:uid="{00000000-0005-0000-0000-00002C750000}"/>
    <cellStyle name="Note 2 2 2 7 3" xfId="32011" xr:uid="{00000000-0005-0000-0000-00002D750000}"/>
    <cellStyle name="Note 2 2 2 8" xfId="7751" xr:uid="{00000000-0005-0000-0000-00002E750000}"/>
    <cellStyle name="Note 2 2 2 8 2" xfId="15963" xr:uid="{00000000-0005-0000-0000-00002F750000}"/>
    <cellStyle name="Note 2 2 2 8 2 2" xfId="29370" xr:uid="{00000000-0005-0000-0000-000030750000}"/>
    <cellStyle name="Note 2 2 2 8 3" xfId="32012" xr:uid="{00000000-0005-0000-0000-000031750000}"/>
    <cellStyle name="Note 2 2 2 9" xfId="10248" xr:uid="{00000000-0005-0000-0000-000032750000}"/>
    <cellStyle name="Note 2 2 3" xfId="7752" xr:uid="{00000000-0005-0000-0000-000033750000}"/>
    <cellStyle name="Note 2 2 3 2" xfId="7753" xr:uid="{00000000-0005-0000-0000-000034750000}"/>
    <cellStyle name="Note 2 2 3 2 2" xfId="7754" xr:uid="{00000000-0005-0000-0000-000035750000}"/>
    <cellStyle name="Note 2 2 3 2 2 2" xfId="7755" xr:uid="{00000000-0005-0000-0000-000036750000}"/>
    <cellStyle name="Note 2 2 3 2 2 2 2" xfId="11614" xr:uid="{00000000-0005-0000-0000-000037750000}"/>
    <cellStyle name="Note 2 2 3 2 2 2 3" xfId="32016" xr:uid="{00000000-0005-0000-0000-000038750000}"/>
    <cellStyle name="Note 2 2 3 2 2 3" xfId="7756" xr:uid="{00000000-0005-0000-0000-000039750000}"/>
    <cellStyle name="Note 2 2 3 2 2 3 2" xfId="16930" xr:uid="{00000000-0005-0000-0000-00003A750000}"/>
    <cellStyle name="Note 2 2 3 2 2 3 2 2" xfId="30337" xr:uid="{00000000-0005-0000-0000-00003B750000}"/>
    <cellStyle name="Note 2 2 3 2 2 3 3" xfId="32017" xr:uid="{00000000-0005-0000-0000-00003C750000}"/>
    <cellStyle name="Note 2 2 3 2 2 4" xfId="10258" xr:uid="{00000000-0005-0000-0000-00003D750000}"/>
    <cellStyle name="Note 2 2 3 2 2 5" xfId="32015" xr:uid="{00000000-0005-0000-0000-00003E750000}"/>
    <cellStyle name="Note 2 2 3 2 3" xfId="7757" xr:uid="{00000000-0005-0000-0000-00003F750000}"/>
    <cellStyle name="Note 2 2 3 2 3 2" xfId="7758" xr:uid="{00000000-0005-0000-0000-000040750000}"/>
    <cellStyle name="Note 2 2 3 2 3 2 2" xfId="13294" xr:uid="{00000000-0005-0000-0000-000041750000}"/>
    <cellStyle name="Note 2 2 3 2 3 2 3" xfId="32019" xr:uid="{00000000-0005-0000-0000-000042750000}"/>
    <cellStyle name="Note 2 2 3 2 3 3" xfId="12318" xr:uid="{00000000-0005-0000-0000-000043750000}"/>
    <cellStyle name="Note 2 2 3 2 3 3 2" xfId="26030" xr:uid="{00000000-0005-0000-0000-000044750000}"/>
    <cellStyle name="Note 2 2 3 2 3 4" xfId="32018" xr:uid="{00000000-0005-0000-0000-000045750000}"/>
    <cellStyle name="Note 2 2 3 2 4" xfId="7759" xr:uid="{00000000-0005-0000-0000-000046750000}"/>
    <cellStyle name="Note 2 2 3 2 4 2" xfId="7760" xr:uid="{00000000-0005-0000-0000-000047750000}"/>
    <cellStyle name="Note 2 2 3 2 4 2 2" xfId="15729" xr:uid="{00000000-0005-0000-0000-000048750000}"/>
    <cellStyle name="Note 2 2 3 2 4 2 3" xfId="32021" xr:uid="{00000000-0005-0000-0000-000049750000}"/>
    <cellStyle name="Note 2 2 3 2 4 3" xfId="13882" xr:uid="{00000000-0005-0000-0000-00004A750000}"/>
    <cellStyle name="Note 2 2 3 2 4 3 2" xfId="27431" xr:uid="{00000000-0005-0000-0000-00004B750000}"/>
    <cellStyle name="Note 2 2 3 2 4 4" xfId="32020" xr:uid="{00000000-0005-0000-0000-00004C750000}"/>
    <cellStyle name="Note 2 2 3 2 5" xfId="7761" xr:uid="{00000000-0005-0000-0000-00004D750000}"/>
    <cellStyle name="Note 2 2 3 2 5 2" xfId="14463" xr:uid="{00000000-0005-0000-0000-00004E750000}"/>
    <cellStyle name="Note 2 2 3 2 5 2 2" xfId="28012" xr:uid="{00000000-0005-0000-0000-00004F750000}"/>
    <cellStyle name="Note 2 2 3 2 5 3" xfId="32022" xr:uid="{00000000-0005-0000-0000-000050750000}"/>
    <cellStyle name="Note 2 2 3 2 6" xfId="7762" xr:uid="{00000000-0005-0000-0000-000051750000}"/>
    <cellStyle name="Note 2 2 3 2 6 2" xfId="16349" xr:uid="{00000000-0005-0000-0000-000052750000}"/>
    <cellStyle name="Note 2 2 3 2 6 2 2" xfId="29756" xr:uid="{00000000-0005-0000-0000-000053750000}"/>
    <cellStyle name="Note 2 2 3 2 6 3" xfId="32023" xr:uid="{00000000-0005-0000-0000-000054750000}"/>
    <cellStyle name="Note 2 2 3 2 7" xfId="10257" xr:uid="{00000000-0005-0000-0000-000055750000}"/>
    <cellStyle name="Note 2 2 3 2 8" xfId="32014" xr:uid="{00000000-0005-0000-0000-000056750000}"/>
    <cellStyle name="Note 2 2 3 3" xfId="7763" xr:uid="{00000000-0005-0000-0000-000057750000}"/>
    <cellStyle name="Note 2 2 3 3 2" xfId="7764" xr:uid="{00000000-0005-0000-0000-000058750000}"/>
    <cellStyle name="Note 2 2 3 3 2 2" xfId="11615" xr:uid="{00000000-0005-0000-0000-000059750000}"/>
    <cellStyle name="Note 2 2 3 3 2 3" xfId="32025" xr:uid="{00000000-0005-0000-0000-00005A750000}"/>
    <cellStyle name="Note 2 2 3 3 3" xfId="7765" xr:uid="{00000000-0005-0000-0000-00005B750000}"/>
    <cellStyle name="Note 2 2 3 3 3 2" xfId="16641" xr:uid="{00000000-0005-0000-0000-00005C750000}"/>
    <cellStyle name="Note 2 2 3 3 3 2 2" xfId="30048" xr:uid="{00000000-0005-0000-0000-00005D750000}"/>
    <cellStyle name="Note 2 2 3 3 3 3" xfId="32026" xr:uid="{00000000-0005-0000-0000-00005E750000}"/>
    <cellStyle name="Note 2 2 3 3 4" xfId="10259" xr:uid="{00000000-0005-0000-0000-00005F750000}"/>
    <cellStyle name="Note 2 2 3 3 5" xfId="32024" xr:uid="{00000000-0005-0000-0000-000060750000}"/>
    <cellStyle name="Note 2 2 3 4" xfId="7766" xr:uid="{00000000-0005-0000-0000-000061750000}"/>
    <cellStyle name="Note 2 2 3 4 2" xfId="7767" xr:uid="{00000000-0005-0000-0000-000062750000}"/>
    <cellStyle name="Note 2 2 3 4 2 2" xfId="13295" xr:uid="{00000000-0005-0000-0000-000063750000}"/>
    <cellStyle name="Note 2 2 3 4 2 3" xfId="32028" xr:uid="{00000000-0005-0000-0000-000064750000}"/>
    <cellStyle name="Note 2 2 3 4 3" xfId="12018" xr:uid="{00000000-0005-0000-0000-000065750000}"/>
    <cellStyle name="Note 2 2 3 4 3 2" xfId="25733" xr:uid="{00000000-0005-0000-0000-000066750000}"/>
    <cellStyle name="Note 2 2 3 4 4" xfId="32027" xr:uid="{00000000-0005-0000-0000-000067750000}"/>
    <cellStyle name="Note 2 2 3 5" xfId="7768" xr:uid="{00000000-0005-0000-0000-000068750000}"/>
    <cellStyle name="Note 2 2 3 5 2" xfId="7769" xr:uid="{00000000-0005-0000-0000-000069750000}"/>
    <cellStyle name="Note 2 2 3 5 2 2" xfId="15730" xr:uid="{00000000-0005-0000-0000-00006A750000}"/>
    <cellStyle name="Note 2 2 3 5 2 3" xfId="32030" xr:uid="{00000000-0005-0000-0000-00006B750000}"/>
    <cellStyle name="Note 2 2 3 5 3" xfId="13593" xr:uid="{00000000-0005-0000-0000-00006C750000}"/>
    <cellStyle name="Note 2 2 3 5 3 2" xfId="27142" xr:uid="{00000000-0005-0000-0000-00006D750000}"/>
    <cellStyle name="Note 2 2 3 5 4" xfId="32029" xr:uid="{00000000-0005-0000-0000-00006E750000}"/>
    <cellStyle name="Note 2 2 3 6" xfId="7770" xr:uid="{00000000-0005-0000-0000-00006F750000}"/>
    <cellStyle name="Note 2 2 3 6 2" xfId="14174" xr:uid="{00000000-0005-0000-0000-000070750000}"/>
    <cellStyle name="Note 2 2 3 6 2 2" xfId="27723" xr:uid="{00000000-0005-0000-0000-000071750000}"/>
    <cellStyle name="Note 2 2 3 6 3" xfId="32031" xr:uid="{00000000-0005-0000-0000-000072750000}"/>
    <cellStyle name="Note 2 2 3 7" xfId="7771" xr:uid="{00000000-0005-0000-0000-000073750000}"/>
    <cellStyle name="Note 2 2 3 7 2" xfId="16060" xr:uid="{00000000-0005-0000-0000-000074750000}"/>
    <cellStyle name="Note 2 2 3 7 2 2" xfId="29467" xr:uid="{00000000-0005-0000-0000-000075750000}"/>
    <cellStyle name="Note 2 2 3 7 3" xfId="32032" xr:uid="{00000000-0005-0000-0000-000076750000}"/>
    <cellStyle name="Note 2 2 3 8" xfId="10256" xr:uid="{00000000-0005-0000-0000-000077750000}"/>
    <cellStyle name="Note 2 2 3 9" xfId="32013" xr:uid="{00000000-0005-0000-0000-000078750000}"/>
    <cellStyle name="Note 2 2 4" xfId="7772" xr:uid="{00000000-0005-0000-0000-000079750000}"/>
    <cellStyle name="Note 2 2 4 2" xfId="7773" xr:uid="{00000000-0005-0000-0000-00007A750000}"/>
    <cellStyle name="Note 2 2 4 2 2" xfId="7774" xr:uid="{00000000-0005-0000-0000-00007B750000}"/>
    <cellStyle name="Note 2 2 4 2 2 2" xfId="11616" xr:uid="{00000000-0005-0000-0000-00007C750000}"/>
    <cellStyle name="Note 2 2 4 2 2 3" xfId="32035" xr:uid="{00000000-0005-0000-0000-00007D750000}"/>
    <cellStyle name="Note 2 2 4 2 3" xfId="7775" xr:uid="{00000000-0005-0000-0000-00007E750000}"/>
    <cellStyle name="Note 2 2 4 2 3 2" xfId="16787" xr:uid="{00000000-0005-0000-0000-00007F750000}"/>
    <cellStyle name="Note 2 2 4 2 3 2 2" xfId="30194" xr:uid="{00000000-0005-0000-0000-000080750000}"/>
    <cellStyle name="Note 2 2 4 2 3 3" xfId="32036" xr:uid="{00000000-0005-0000-0000-000081750000}"/>
    <cellStyle name="Note 2 2 4 2 4" xfId="10261" xr:uid="{00000000-0005-0000-0000-000082750000}"/>
    <cellStyle name="Note 2 2 4 2 5" xfId="32034" xr:uid="{00000000-0005-0000-0000-000083750000}"/>
    <cellStyle name="Note 2 2 4 3" xfId="7776" xr:uid="{00000000-0005-0000-0000-000084750000}"/>
    <cellStyle name="Note 2 2 4 3 2" xfId="7777" xr:uid="{00000000-0005-0000-0000-000085750000}"/>
    <cellStyle name="Note 2 2 4 3 2 2" xfId="13296" xr:uid="{00000000-0005-0000-0000-000086750000}"/>
    <cellStyle name="Note 2 2 4 3 2 3" xfId="32038" xr:uid="{00000000-0005-0000-0000-000087750000}"/>
    <cellStyle name="Note 2 2 4 3 3" xfId="12175" xr:uid="{00000000-0005-0000-0000-000088750000}"/>
    <cellStyle name="Note 2 2 4 3 3 2" xfId="25887" xr:uid="{00000000-0005-0000-0000-000089750000}"/>
    <cellStyle name="Note 2 2 4 3 4" xfId="32037" xr:uid="{00000000-0005-0000-0000-00008A750000}"/>
    <cellStyle name="Note 2 2 4 4" xfId="7778" xr:uid="{00000000-0005-0000-0000-00008B750000}"/>
    <cellStyle name="Note 2 2 4 4 2" xfId="7779" xr:uid="{00000000-0005-0000-0000-00008C750000}"/>
    <cellStyle name="Note 2 2 4 4 2 2" xfId="15731" xr:uid="{00000000-0005-0000-0000-00008D750000}"/>
    <cellStyle name="Note 2 2 4 4 2 3" xfId="32040" xr:uid="{00000000-0005-0000-0000-00008E750000}"/>
    <cellStyle name="Note 2 2 4 4 3" xfId="13739" xr:uid="{00000000-0005-0000-0000-00008F750000}"/>
    <cellStyle name="Note 2 2 4 4 3 2" xfId="27288" xr:uid="{00000000-0005-0000-0000-000090750000}"/>
    <cellStyle name="Note 2 2 4 4 4" xfId="32039" xr:uid="{00000000-0005-0000-0000-000091750000}"/>
    <cellStyle name="Note 2 2 4 5" xfId="7780" xr:uid="{00000000-0005-0000-0000-000092750000}"/>
    <cellStyle name="Note 2 2 4 5 2" xfId="14320" xr:uid="{00000000-0005-0000-0000-000093750000}"/>
    <cellStyle name="Note 2 2 4 5 2 2" xfId="27869" xr:uid="{00000000-0005-0000-0000-000094750000}"/>
    <cellStyle name="Note 2 2 4 5 3" xfId="32041" xr:uid="{00000000-0005-0000-0000-000095750000}"/>
    <cellStyle name="Note 2 2 4 6" xfId="7781" xr:uid="{00000000-0005-0000-0000-000096750000}"/>
    <cellStyle name="Note 2 2 4 6 2" xfId="16206" xr:uid="{00000000-0005-0000-0000-000097750000}"/>
    <cellStyle name="Note 2 2 4 6 2 2" xfId="29613" xr:uid="{00000000-0005-0000-0000-000098750000}"/>
    <cellStyle name="Note 2 2 4 6 3" xfId="32042" xr:uid="{00000000-0005-0000-0000-000099750000}"/>
    <cellStyle name="Note 2 2 4 7" xfId="10260" xr:uid="{00000000-0005-0000-0000-00009A750000}"/>
    <cellStyle name="Note 2 2 4 8" xfId="32033" xr:uid="{00000000-0005-0000-0000-00009B750000}"/>
    <cellStyle name="Note 2 2 5" xfId="7782" xr:uid="{00000000-0005-0000-0000-00009C750000}"/>
    <cellStyle name="Note 2 2 5 2" xfId="7783" xr:uid="{00000000-0005-0000-0000-00009D750000}"/>
    <cellStyle name="Note 2 2 5 2 2" xfId="7784" xr:uid="{00000000-0005-0000-0000-00009E750000}"/>
    <cellStyle name="Note 2 2 5 2 2 2" xfId="11618" xr:uid="{00000000-0005-0000-0000-00009F750000}"/>
    <cellStyle name="Note 2 2 5 2 2 3" xfId="32045" xr:uid="{00000000-0005-0000-0000-0000A0750000}"/>
    <cellStyle name="Note 2 2 5 2 3" xfId="10263" xr:uid="{00000000-0005-0000-0000-0000A1750000}"/>
    <cellStyle name="Note 2 2 5 2 4" xfId="32044" xr:uid="{00000000-0005-0000-0000-0000A2750000}"/>
    <cellStyle name="Note 2 2 5 3" xfId="7785" xr:uid="{00000000-0005-0000-0000-0000A3750000}"/>
    <cellStyle name="Note 2 2 5 3 2" xfId="11617" xr:uid="{00000000-0005-0000-0000-0000A4750000}"/>
    <cellStyle name="Note 2 2 5 3 3" xfId="32046" xr:uid="{00000000-0005-0000-0000-0000A5750000}"/>
    <cellStyle name="Note 2 2 5 4" xfId="7786" xr:uid="{00000000-0005-0000-0000-0000A6750000}"/>
    <cellStyle name="Note 2 2 5 4 2" xfId="17053" xr:uid="{00000000-0005-0000-0000-0000A7750000}"/>
    <cellStyle name="Note 2 2 5 4 2 2" xfId="30452" xr:uid="{00000000-0005-0000-0000-0000A8750000}"/>
    <cellStyle name="Note 2 2 5 4 3" xfId="32047" xr:uid="{00000000-0005-0000-0000-0000A9750000}"/>
    <cellStyle name="Note 2 2 5 5" xfId="10262" xr:uid="{00000000-0005-0000-0000-0000AA750000}"/>
    <cellStyle name="Note 2 2 5 6" xfId="32043" xr:uid="{00000000-0005-0000-0000-0000AB750000}"/>
    <cellStyle name="Note 2 2 6" xfId="7787" xr:uid="{00000000-0005-0000-0000-0000AC750000}"/>
    <cellStyle name="Note 2 2 6 2" xfId="7788" xr:uid="{00000000-0005-0000-0000-0000AD750000}"/>
    <cellStyle name="Note 2 2 6 2 2" xfId="17134" xr:uid="{00000000-0005-0000-0000-0000AE750000}"/>
    <cellStyle name="Note 2 2 6 2 2 2" xfId="30493" xr:uid="{00000000-0005-0000-0000-0000AF750000}"/>
    <cellStyle name="Note 2 2 6 2 3" xfId="32049" xr:uid="{00000000-0005-0000-0000-0000B0750000}"/>
    <cellStyle name="Note 2 2 6 3" xfId="10264" xr:uid="{00000000-0005-0000-0000-0000B1750000}"/>
    <cellStyle name="Note 2 2 6 4" xfId="32048" xr:uid="{00000000-0005-0000-0000-0000B2750000}"/>
    <cellStyle name="Note 2 2 7" xfId="7789" xr:uid="{00000000-0005-0000-0000-0000B3750000}"/>
    <cellStyle name="Note 2 2 7 2" xfId="7790" xr:uid="{00000000-0005-0000-0000-0000B4750000}"/>
    <cellStyle name="Note 2 2 7 2 2" xfId="11619" xr:uid="{00000000-0005-0000-0000-0000B5750000}"/>
    <cellStyle name="Note 2 2 7 2 3" xfId="32051" xr:uid="{00000000-0005-0000-0000-0000B6750000}"/>
    <cellStyle name="Note 2 2 7 3" xfId="7791" xr:uid="{00000000-0005-0000-0000-0000B7750000}"/>
    <cellStyle name="Note 2 2 7 3 2" xfId="17223" xr:uid="{00000000-0005-0000-0000-0000B8750000}"/>
    <cellStyle name="Note 2 2 7 3 2 2" xfId="30582" xr:uid="{00000000-0005-0000-0000-0000B9750000}"/>
    <cellStyle name="Note 2 2 7 3 3" xfId="32052" xr:uid="{00000000-0005-0000-0000-0000BA750000}"/>
    <cellStyle name="Note 2 2 7 4" xfId="10265" xr:uid="{00000000-0005-0000-0000-0000BB750000}"/>
    <cellStyle name="Note 2 2 7 5" xfId="32050" xr:uid="{00000000-0005-0000-0000-0000BC750000}"/>
    <cellStyle name="Note 2 2 8" xfId="7792" xr:uid="{00000000-0005-0000-0000-0000BD750000}"/>
    <cellStyle name="Note 2 2 8 2" xfId="7793" xr:uid="{00000000-0005-0000-0000-0000BE750000}"/>
    <cellStyle name="Note 2 2 8 2 2" xfId="11620" xr:uid="{00000000-0005-0000-0000-0000BF750000}"/>
    <cellStyle name="Note 2 2 8 2 3" xfId="32054" xr:uid="{00000000-0005-0000-0000-0000C0750000}"/>
    <cellStyle name="Note 2 2 8 3" xfId="7794" xr:uid="{00000000-0005-0000-0000-0000C1750000}"/>
    <cellStyle name="Note 2 2 8 3 2" xfId="16498" xr:uid="{00000000-0005-0000-0000-0000C2750000}"/>
    <cellStyle name="Note 2 2 8 3 2 2" xfId="29905" xr:uid="{00000000-0005-0000-0000-0000C3750000}"/>
    <cellStyle name="Note 2 2 8 3 3" xfId="32055" xr:uid="{00000000-0005-0000-0000-0000C4750000}"/>
    <cellStyle name="Note 2 2 8 4" xfId="10266" xr:uid="{00000000-0005-0000-0000-0000C5750000}"/>
    <cellStyle name="Note 2 2 8 5" xfId="32053" xr:uid="{00000000-0005-0000-0000-0000C6750000}"/>
    <cellStyle name="Note 2 2 9" xfId="7795" xr:uid="{00000000-0005-0000-0000-0000C7750000}"/>
    <cellStyle name="Note 2 2 9 2" xfId="7796" xr:uid="{00000000-0005-0000-0000-0000C8750000}"/>
    <cellStyle name="Note 2 2 9 2 2" xfId="13297" xr:uid="{00000000-0005-0000-0000-0000C9750000}"/>
    <cellStyle name="Note 2 2 9 2 2 2" xfId="26919" xr:uid="{00000000-0005-0000-0000-0000CA750000}"/>
    <cellStyle name="Note 2 2 9 2 3" xfId="32057" xr:uid="{00000000-0005-0000-0000-0000CB750000}"/>
    <cellStyle name="Note 2 2 9 3" xfId="7797" xr:uid="{00000000-0005-0000-0000-0000CC750000}"/>
    <cellStyle name="Note 2 2 9 3 2" xfId="15732" xr:uid="{00000000-0005-0000-0000-0000CD750000}"/>
    <cellStyle name="Note 2 2 9 3 3" xfId="32058" xr:uid="{00000000-0005-0000-0000-0000CE750000}"/>
    <cellStyle name="Note 2 2 9 4" xfId="10543" xr:uid="{00000000-0005-0000-0000-0000CF750000}"/>
    <cellStyle name="Note 2 2 9 4 2" xfId="24485" xr:uid="{00000000-0005-0000-0000-0000D0750000}"/>
    <cellStyle name="Note 2 2 9 5" xfId="32056" xr:uid="{00000000-0005-0000-0000-0000D1750000}"/>
    <cellStyle name="Note 2 20" xfId="7798" xr:uid="{00000000-0005-0000-0000-0000D2750000}"/>
    <cellStyle name="Note 2 20 2" xfId="7799" xr:uid="{00000000-0005-0000-0000-0000D3750000}"/>
    <cellStyle name="Note 2 20 2 2" xfId="11725" xr:uid="{00000000-0005-0000-0000-0000D4750000}"/>
    <cellStyle name="Note 2 20 2 2 2" xfId="25445" xr:uid="{00000000-0005-0000-0000-0000D5750000}"/>
    <cellStyle name="Note 2 20 2 3" xfId="32060" xr:uid="{00000000-0005-0000-0000-0000D6750000}"/>
    <cellStyle name="Note 2 20 3" xfId="7800" xr:uid="{00000000-0005-0000-0000-0000D7750000}"/>
    <cellStyle name="Note 2 20 3 2" xfId="13298" xr:uid="{00000000-0005-0000-0000-0000D8750000}"/>
    <cellStyle name="Note 2 20 3 2 2" xfId="26920" xr:uid="{00000000-0005-0000-0000-0000D9750000}"/>
    <cellStyle name="Note 2 20 3 3" xfId="32061" xr:uid="{00000000-0005-0000-0000-0000DA750000}"/>
    <cellStyle name="Note 2 20 4" xfId="7801" xr:uid="{00000000-0005-0000-0000-0000DB750000}"/>
    <cellStyle name="Note 2 20 4 2" xfId="15733" xr:uid="{00000000-0005-0000-0000-0000DC750000}"/>
    <cellStyle name="Note 2 20 4 3" xfId="32062" xr:uid="{00000000-0005-0000-0000-0000DD750000}"/>
    <cellStyle name="Note 2 20 5" xfId="10498" xr:uid="{00000000-0005-0000-0000-0000DE750000}"/>
    <cellStyle name="Note 2 20 5 2" xfId="24449" xr:uid="{00000000-0005-0000-0000-0000DF750000}"/>
    <cellStyle name="Note 2 20 6" xfId="32059" xr:uid="{00000000-0005-0000-0000-0000E0750000}"/>
    <cellStyle name="Note 2 21" xfId="7802" xr:uid="{00000000-0005-0000-0000-0000E1750000}"/>
    <cellStyle name="Note 2 21 2" xfId="7803" xr:uid="{00000000-0005-0000-0000-0000E2750000}"/>
    <cellStyle name="Note 2 21 2 2" xfId="13299" xr:uid="{00000000-0005-0000-0000-0000E3750000}"/>
    <cellStyle name="Note 2 21 2 2 2" xfId="26921" xr:uid="{00000000-0005-0000-0000-0000E4750000}"/>
    <cellStyle name="Note 2 21 2 3" xfId="32064" xr:uid="{00000000-0005-0000-0000-0000E5750000}"/>
    <cellStyle name="Note 2 21 3" xfId="7804" xr:uid="{00000000-0005-0000-0000-0000E6750000}"/>
    <cellStyle name="Note 2 21 3 2" xfId="15734" xr:uid="{00000000-0005-0000-0000-0000E7750000}"/>
    <cellStyle name="Note 2 21 3 3" xfId="32065" xr:uid="{00000000-0005-0000-0000-0000E8750000}"/>
    <cellStyle name="Note 2 21 4" xfId="10526" xr:uid="{00000000-0005-0000-0000-0000E9750000}"/>
    <cellStyle name="Note 2 21 4 2" xfId="24468" xr:uid="{00000000-0005-0000-0000-0000EA750000}"/>
    <cellStyle name="Note 2 21 5" xfId="32063" xr:uid="{00000000-0005-0000-0000-0000EB750000}"/>
    <cellStyle name="Note 2 22" xfId="7805" xr:uid="{00000000-0005-0000-0000-0000EC750000}"/>
    <cellStyle name="Note 2 22 2" xfId="11600" xr:uid="{00000000-0005-0000-0000-0000ED750000}"/>
    <cellStyle name="Note 2 22 3" xfId="32066" xr:uid="{00000000-0005-0000-0000-0000EE750000}"/>
    <cellStyle name="Note 2 23" xfId="7806" xr:uid="{00000000-0005-0000-0000-0000EF750000}"/>
    <cellStyle name="Note 2 23 2" xfId="11789" xr:uid="{00000000-0005-0000-0000-0000F0750000}"/>
    <cellStyle name="Note 2 23 2 2" xfId="25504" xr:uid="{00000000-0005-0000-0000-0000F1750000}"/>
    <cellStyle name="Note 2 23 3" xfId="32067" xr:uid="{00000000-0005-0000-0000-0000F2750000}"/>
    <cellStyle name="Note 2 24" xfId="7807" xr:uid="{00000000-0005-0000-0000-0000F3750000}"/>
    <cellStyle name="Note 2 24 2" xfId="13393" xr:uid="{00000000-0005-0000-0000-0000F4750000}"/>
    <cellStyle name="Note 2 24 2 2" xfId="26942" xr:uid="{00000000-0005-0000-0000-0000F5750000}"/>
    <cellStyle name="Note 2 24 3" xfId="32068" xr:uid="{00000000-0005-0000-0000-0000F6750000}"/>
    <cellStyle name="Note 2 25" xfId="7808" xr:uid="{00000000-0005-0000-0000-0000F7750000}"/>
    <cellStyle name="Note 2 25 2" xfId="13974" xr:uid="{00000000-0005-0000-0000-0000F8750000}"/>
    <cellStyle name="Note 2 25 2 2" xfId="27523" xr:uid="{00000000-0005-0000-0000-0000F9750000}"/>
    <cellStyle name="Note 2 25 3" xfId="32069" xr:uid="{00000000-0005-0000-0000-0000FA750000}"/>
    <cellStyle name="Note 2 26" xfId="7809" xr:uid="{00000000-0005-0000-0000-0000FB750000}"/>
    <cellStyle name="Note 2 26 2" xfId="15843" xr:uid="{00000000-0005-0000-0000-0000FC750000}"/>
    <cellStyle name="Note 2 26 2 2" xfId="29250" xr:uid="{00000000-0005-0000-0000-0000FD750000}"/>
    <cellStyle name="Note 2 26 3" xfId="32070" xr:uid="{00000000-0005-0000-0000-0000FE750000}"/>
    <cellStyle name="Note 2 27" xfId="7810" xr:uid="{00000000-0005-0000-0000-0000FF750000}"/>
    <cellStyle name="Note 2 27 2" xfId="15860" xr:uid="{00000000-0005-0000-0000-000000760000}"/>
    <cellStyle name="Note 2 27 2 2" xfId="29267" xr:uid="{00000000-0005-0000-0000-000001760000}"/>
    <cellStyle name="Note 2 27 3" xfId="32071" xr:uid="{00000000-0005-0000-0000-000002760000}"/>
    <cellStyle name="Note 2 28" xfId="10235" xr:uid="{00000000-0005-0000-0000-000003760000}"/>
    <cellStyle name="Note 2 29" xfId="31938" xr:uid="{00000000-0005-0000-0000-000004760000}"/>
    <cellStyle name="Note 2 3" xfId="7811" xr:uid="{00000000-0005-0000-0000-000005760000}"/>
    <cellStyle name="Note 2 3 10" xfId="10267" xr:uid="{00000000-0005-0000-0000-000006760000}"/>
    <cellStyle name="Note 2 3 11" xfId="32072" xr:uid="{00000000-0005-0000-0000-000007760000}"/>
    <cellStyle name="Note 2 3 2" xfId="7812" xr:uid="{00000000-0005-0000-0000-000008760000}"/>
    <cellStyle name="Note 2 3 2 2" xfId="7813" xr:uid="{00000000-0005-0000-0000-000009760000}"/>
    <cellStyle name="Note 2 3 2 2 2" xfId="7814" xr:uid="{00000000-0005-0000-0000-00000A760000}"/>
    <cellStyle name="Note 2 3 2 2 2 2" xfId="7815" xr:uid="{00000000-0005-0000-0000-00000B760000}"/>
    <cellStyle name="Note 2 3 2 2 2 2 2" xfId="11621" xr:uid="{00000000-0005-0000-0000-00000C760000}"/>
    <cellStyle name="Note 2 3 2 2 2 2 3" xfId="32076" xr:uid="{00000000-0005-0000-0000-00000D760000}"/>
    <cellStyle name="Note 2 3 2 2 2 3" xfId="7816" xr:uid="{00000000-0005-0000-0000-00000E760000}"/>
    <cellStyle name="Note 2 3 2 2 2 3 2" xfId="16953" xr:uid="{00000000-0005-0000-0000-00000F760000}"/>
    <cellStyle name="Note 2 3 2 2 2 3 2 2" xfId="30360" xr:uid="{00000000-0005-0000-0000-000010760000}"/>
    <cellStyle name="Note 2 3 2 2 2 3 3" xfId="32077" xr:uid="{00000000-0005-0000-0000-000011760000}"/>
    <cellStyle name="Note 2 3 2 2 2 4" xfId="10270" xr:uid="{00000000-0005-0000-0000-000012760000}"/>
    <cellStyle name="Note 2 3 2 2 2 5" xfId="32075" xr:uid="{00000000-0005-0000-0000-000013760000}"/>
    <cellStyle name="Note 2 3 2 2 3" xfId="7817" xr:uid="{00000000-0005-0000-0000-000014760000}"/>
    <cellStyle name="Note 2 3 2 2 3 2" xfId="7818" xr:uid="{00000000-0005-0000-0000-000015760000}"/>
    <cellStyle name="Note 2 3 2 2 3 2 2" xfId="13300" xr:uid="{00000000-0005-0000-0000-000016760000}"/>
    <cellStyle name="Note 2 3 2 2 3 2 3" xfId="32079" xr:uid="{00000000-0005-0000-0000-000017760000}"/>
    <cellStyle name="Note 2 3 2 2 3 3" xfId="12341" xr:uid="{00000000-0005-0000-0000-000018760000}"/>
    <cellStyle name="Note 2 3 2 2 3 3 2" xfId="26053" xr:uid="{00000000-0005-0000-0000-000019760000}"/>
    <cellStyle name="Note 2 3 2 2 3 4" xfId="32078" xr:uid="{00000000-0005-0000-0000-00001A760000}"/>
    <cellStyle name="Note 2 3 2 2 4" xfId="7819" xr:uid="{00000000-0005-0000-0000-00001B760000}"/>
    <cellStyle name="Note 2 3 2 2 4 2" xfId="7820" xr:uid="{00000000-0005-0000-0000-00001C760000}"/>
    <cellStyle name="Note 2 3 2 2 4 2 2" xfId="15735" xr:uid="{00000000-0005-0000-0000-00001D760000}"/>
    <cellStyle name="Note 2 3 2 2 4 2 3" xfId="32081" xr:uid="{00000000-0005-0000-0000-00001E760000}"/>
    <cellStyle name="Note 2 3 2 2 4 3" xfId="13905" xr:uid="{00000000-0005-0000-0000-00001F760000}"/>
    <cellStyle name="Note 2 3 2 2 4 3 2" xfId="27454" xr:uid="{00000000-0005-0000-0000-000020760000}"/>
    <cellStyle name="Note 2 3 2 2 4 4" xfId="32080" xr:uid="{00000000-0005-0000-0000-000021760000}"/>
    <cellStyle name="Note 2 3 2 2 5" xfId="7821" xr:uid="{00000000-0005-0000-0000-000022760000}"/>
    <cellStyle name="Note 2 3 2 2 5 2" xfId="14486" xr:uid="{00000000-0005-0000-0000-000023760000}"/>
    <cellStyle name="Note 2 3 2 2 5 2 2" xfId="28035" xr:uid="{00000000-0005-0000-0000-000024760000}"/>
    <cellStyle name="Note 2 3 2 2 5 3" xfId="32082" xr:uid="{00000000-0005-0000-0000-000025760000}"/>
    <cellStyle name="Note 2 3 2 2 6" xfId="7822" xr:uid="{00000000-0005-0000-0000-000026760000}"/>
    <cellStyle name="Note 2 3 2 2 6 2" xfId="16372" xr:uid="{00000000-0005-0000-0000-000027760000}"/>
    <cellStyle name="Note 2 3 2 2 6 2 2" xfId="29779" xr:uid="{00000000-0005-0000-0000-000028760000}"/>
    <cellStyle name="Note 2 3 2 2 6 3" xfId="32083" xr:uid="{00000000-0005-0000-0000-000029760000}"/>
    <cellStyle name="Note 2 3 2 2 7" xfId="10269" xr:uid="{00000000-0005-0000-0000-00002A760000}"/>
    <cellStyle name="Note 2 3 2 2 8" xfId="32074" xr:uid="{00000000-0005-0000-0000-00002B760000}"/>
    <cellStyle name="Note 2 3 2 3" xfId="7823" xr:uid="{00000000-0005-0000-0000-00002C760000}"/>
    <cellStyle name="Note 2 3 2 3 2" xfId="7824" xr:uid="{00000000-0005-0000-0000-00002D760000}"/>
    <cellStyle name="Note 2 3 2 3 2 2" xfId="11622" xr:uid="{00000000-0005-0000-0000-00002E760000}"/>
    <cellStyle name="Note 2 3 2 3 2 3" xfId="32085" xr:uid="{00000000-0005-0000-0000-00002F760000}"/>
    <cellStyle name="Note 2 3 2 3 3" xfId="7825" xr:uid="{00000000-0005-0000-0000-000030760000}"/>
    <cellStyle name="Note 2 3 2 3 3 2" xfId="16664" xr:uid="{00000000-0005-0000-0000-000031760000}"/>
    <cellStyle name="Note 2 3 2 3 3 2 2" xfId="30071" xr:uid="{00000000-0005-0000-0000-000032760000}"/>
    <cellStyle name="Note 2 3 2 3 3 3" xfId="32086" xr:uid="{00000000-0005-0000-0000-000033760000}"/>
    <cellStyle name="Note 2 3 2 3 4" xfId="10271" xr:uid="{00000000-0005-0000-0000-000034760000}"/>
    <cellStyle name="Note 2 3 2 3 5" xfId="32084" xr:uid="{00000000-0005-0000-0000-000035760000}"/>
    <cellStyle name="Note 2 3 2 4" xfId="7826" xr:uid="{00000000-0005-0000-0000-000036760000}"/>
    <cellStyle name="Note 2 3 2 4 2" xfId="7827" xr:uid="{00000000-0005-0000-0000-000037760000}"/>
    <cellStyle name="Note 2 3 2 4 2 2" xfId="13301" xr:uid="{00000000-0005-0000-0000-000038760000}"/>
    <cellStyle name="Note 2 3 2 4 2 3" xfId="32088" xr:uid="{00000000-0005-0000-0000-000039760000}"/>
    <cellStyle name="Note 2 3 2 4 3" xfId="12041" xr:uid="{00000000-0005-0000-0000-00003A760000}"/>
    <cellStyle name="Note 2 3 2 4 3 2" xfId="25756" xr:uid="{00000000-0005-0000-0000-00003B760000}"/>
    <cellStyle name="Note 2 3 2 4 4" xfId="32087" xr:uid="{00000000-0005-0000-0000-00003C760000}"/>
    <cellStyle name="Note 2 3 2 5" xfId="7828" xr:uid="{00000000-0005-0000-0000-00003D760000}"/>
    <cellStyle name="Note 2 3 2 5 2" xfId="7829" xr:uid="{00000000-0005-0000-0000-00003E760000}"/>
    <cellStyle name="Note 2 3 2 5 2 2" xfId="15736" xr:uid="{00000000-0005-0000-0000-00003F760000}"/>
    <cellStyle name="Note 2 3 2 5 2 3" xfId="32090" xr:uid="{00000000-0005-0000-0000-000040760000}"/>
    <cellStyle name="Note 2 3 2 5 3" xfId="13616" xr:uid="{00000000-0005-0000-0000-000041760000}"/>
    <cellStyle name="Note 2 3 2 5 3 2" xfId="27165" xr:uid="{00000000-0005-0000-0000-000042760000}"/>
    <cellStyle name="Note 2 3 2 5 4" xfId="32089" xr:uid="{00000000-0005-0000-0000-000043760000}"/>
    <cellStyle name="Note 2 3 2 6" xfId="7830" xr:uid="{00000000-0005-0000-0000-000044760000}"/>
    <cellStyle name="Note 2 3 2 6 2" xfId="14197" xr:uid="{00000000-0005-0000-0000-000045760000}"/>
    <cellStyle name="Note 2 3 2 6 2 2" xfId="27746" xr:uid="{00000000-0005-0000-0000-000046760000}"/>
    <cellStyle name="Note 2 3 2 6 3" xfId="32091" xr:uid="{00000000-0005-0000-0000-000047760000}"/>
    <cellStyle name="Note 2 3 2 7" xfId="7831" xr:uid="{00000000-0005-0000-0000-000048760000}"/>
    <cellStyle name="Note 2 3 2 7 2" xfId="16083" xr:uid="{00000000-0005-0000-0000-000049760000}"/>
    <cellStyle name="Note 2 3 2 7 2 2" xfId="29490" xr:uid="{00000000-0005-0000-0000-00004A760000}"/>
    <cellStyle name="Note 2 3 2 7 3" xfId="32092" xr:uid="{00000000-0005-0000-0000-00004B760000}"/>
    <cellStyle name="Note 2 3 2 8" xfId="10268" xr:uid="{00000000-0005-0000-0000-00004C760000}"/>
    <cellStyle name="Note 2 3 2 9" xfId="32073" xr:uid="{00000000-0005-0000-0000-00004D760000}"/>
    <cellStyle name="Note 2 3 3" xfId="7832" xr:uid="{00000000-0005-0000-0000-00004E760000}"/>
    <cellStyle name="Note 2 3 3 2" xfId="7833" xr:uid="{00000000-0005-0000-0000-00004F760000}"/>
    <cellStyle name="Note 2 3 3 2 2" xfId="7834" xr:uid="{00000000-0005-0000-0000-000050760000}"/>
    <cellStyle name="Note 2 3 3 2 2 2" xfId="11623" xr:uid="{00000000-0005-0000-0000-000051760000}"/>
    <cellStyle name="Note 2 3 3 2 2 3" xfId="32095" xr:uid="{00000000-0005-0000-0000-000052760000}"/>
    <cellStyle name="Note 2 3 3 2 3" xfId="7835" xr:uid="{00000000-0005-0000-0000-000053760000}"/>
    <cellStyle name="Note 2 3 3 2 3 2" xfId="16810" xr:uid="{00000000-0005-0000-0000-000054760000}"/>
    <cellStyle name="Note 2 3 3 2 3 2 2" xfId="30217" xr:uid="{00000000-0005-0000-0000-000055760000}"/>
    <cellStyle name="Note 2 3 3 2 3 3" xfId="32096" xr:uid="{00000000-0005-0000-0000-000056760000}"/>
    <cellStyle name="Note 2 3 3 2 4" xfId="10273" xr:uid="{00000000-0005-0000-0000-000057760000}"/>
    <cellStyle name="Note 2 3 3 2 5" xfId="32094" xr:uid="{00000000-0005-0000-0000-000058760000}"/>
    <cellStyle name="Note 2 3 3 3" xfId="7836" xr:uid="{00000000-0005-0000-0000-000059760000}"/>
    <cellStyle name="Note 2 3 3 3 2" xfId="7837" xr:uid="{00000000-0005-0000-0000-00005A760000}"/>
    <cellStyle name="Note 2 3 3 3 2 2" xfId="13302" xr:uid="{00000000-0005-0000-0000-00005B760000}"/>
    <cellStyle name="Note 2 3 3 3 2 3" xfId="32098" xr:uid="{00000000-0005-0000-0000-00005C760000}"/>
    <cellStyle name="Note 2 3 3 3 3" xfId="12198" xr:uid="{00000000-0005-0000-0000-00005D760000}"/>
    <cellStyle name="Note 2 3 3 3 3 2" xfId="25910" xr:uid="{00000000-0005-0000-0000-00005E760000}"/>
    <cellStyle name="Note 2 3 3 3 4" xfId="32097" xr:uid="{00000000-0005-0000-0000-00005F760000}"/>
    <cellStyle name="Note 2 3 3 4" xfId="7838" xr:uid="{00000000-0005-0000-0000-000060760000}"/>
    <cellStyle name="Note 2 3 3 4 2" xfId="7839" xr:uid="{00000000-0005-0000-0000-000061760000}"/>
    <cellStyle name="Note 2 3 3 4 2 2" xfId="15737" xr:uid="{00000000-0005-0000-0000-000062760000}"/>
    <cellStyle name="Note 2 3 3 4 2 3" xfId="32100" xr:uid="{00000000-0005-0000-0000-000063760000}"/>
    <cellStyle name="Note 2 3 3 4 3" xfId="13762" xr:uid="{00000000-0005-0000-0000-000064760000}"/>
    <cellStyle name="Note 2 3 3 4 3 2" xfId="27311" xr:uid="{00000000-0005-0000-0000-000065760000}"/>
    <cellStyle name="Note 2 3 3 4 4" xfId="32099" xr:uid="{00000000-0005-0000-0000-000066760000}"/>
    <cellStyle name="Note 2 3 3 5" xfId="7840" xr:uid="{00000000-0005-0000-0000-000067760000}"/>
    <cellStyle name="Note 2 3 3 5 2" xfId="14343" xr:uid="{00000000-0005-0000-0000-000068760000}"/>
    <cellStyle name="Note 2 3 3 5 2 2" xfId="27892" xr:uid="{00000000-0005-0000-0000-000069760000}"/>
    <cellStyle name="Note 2 3 3 5 3" xfId="32101" xr:uid="{00000000-0005-0000-0000-00006A760000}"/>
    <cellStyle name="Note 2 3 3 6" xfId="7841" xr:uid="{00000000-0005-0000-0000-00006B760000}"/>
    <cellStyle name="Note 2 3 3 6 2" xfId="16229" xr:uid="{00000000-0005-0000-0000-00006C760000}"/>
    <cellStyle name="Note 2 3 3 6 2 2" xfId="29636" xr:uid="{00000000-0005-0000-0000-00006D760000}"/>
    <cellStyle name="Note 2 3 3 6 3" xfId="32102" xr:uid="{00000000-0005-0000-0000-00006E760000}"/>
    <cellStyle name="Note 2 3 3 7" xfId="10272" xr:uid="{00000000-0005-0000-0000-00006F760000}"/>
    <cellStyle name="Note 2 3 3 8" xfId="32093" xr:uid="{00000000-0005-0000-0000-000070760000}"/>
    <cellStyle name="Note 2 3 4" xfId="7842" xr:uid="{00000000-0005-0000-0000-000071760000}"/>
    <cellStyle name="Note 2 3 4 2" xfId="7843" xr:uid="{00000000-0005-0000-0000-000072760000}"/>
    <cellStyle name="Note 2 3 4 2 2" xfId="17157" xr:uid="{00000000-0005-0000-0000-000073760000}"/>
    <cellStyle name="Note 2 3 4 2 2 2" xfId="30516" xr:uid="{00000000-0005-0000-0000-000074760000}"/>
    <cellStyle name="Note 2 3 4 2 3" xfId="32104" xr:uid="{00000000-0005-0000-0000-000075760000}"/>
    <cellStyle name="Note 2 3 4 3" xfId="10274" xr:uid="{00000000-0005-0000-0000-000076760000}"/>
    <cellStyle name="Note 2 3 4 4" xfId="32103" xr:uid="{00000000-0005-0000-0000-000077760000}"/>
    <cellStyle name="Note 2 3 5" xfId="7844" xr:uid="{00000000-0005-0000-0000-000078760000}"/>
    <cellStyle name="Note 2 3 5 2" xfId="7845" xr:uid="{00000000-0005-0000-0000-000079760000}"/>
    <cellStyle name="Note 2 3 5 2 2" xfId="11624" xr:uid="{00000000-0005-0000-0000-00007A760000}"/>
    <cellStyle name="Note 2 3 5 2 3" xfId="32106" xr:uid="{00000000-0005-0000-0000-00007B760000}"/>
    <cellStyle name="Note 2 3 5 3" xfId="7846" xr:uid="{00000000-0005-0000-0000-00007C760000}"/>
    <cellStyle name="Note 2 3 5 3 2" xfId="17246" xr:uid="{00000000-0005-0000-0000-00007D760000}"/>
    <cellStyle name="Note 2 3 5 3 2 2" xfId="30605" xr:uid="{00000000-0005-0000-0000-00007E760000}"/>
    <cellStyle name="Note 2 3 5 3 3" xfId="32107" xr:uid="{00000000-0005-0000-0000-00007F760000}"/>
    <cellStyle name="Note 2 3 5 4" xfId="10275" xr:uid="{00000000-0005-0000-0000-000080760000}"/>
    <cellStyle name="Note 2 3 5 5" xfId="32105" xr:uid="{00000000-0005-0000-0000-000081760000}"/>
    <cellStyle name="Note 2 3 6" xfId="7847" xr:uid="{00000000-0005-0000-0000-000082760000}"/>
    <cellStyle name="Note 2 3 6 2" xfId="7848" xr:uid="{00000000-0005-0000-0000-000083760000}"/>
    <cellStyle name="Note 2 3 6 2 2" xfId="13303" xr:uid="{00000000-0005-0000-0000-000084760000}"/>
    <cellStyle name="Note 2 3 6 2 3" xfId="32109" xr:uid="{00000000-0005-0000-0000-000085760000}"/>
    <cellStyle name="Note 2 3 6 3" xfId="7849" xr:uid="{00000000-0005-0000-0000-000086760000}"/>
    <cellStyle name="Note 2 3 6 3 2" xfId="16521" xr:uid="{00000000-0005-0000-0000-000087760000}"/>
    <cellStyle name="Note 2 3 6 3 2 2" xfId="29928" xr:uid="{00000000-0005-0000-0000-000088760000}"/>
    <cellStyle name="Note 2 3 6 3 3" xfId="32110" xr:uid="{00000000-0005-0000-0000-000089760000}"/>
    <cellStyle name="Note 2 3 6 4" xfId="11896" xr:uid="{00000000-0005-0000-0000-00008A760000}"/>
    <cellStyle name="Note 2 3 6 4 2" xfId="25611" xr:uid="{00000000-0005-0000-0000-00008B760000}"/>
    <cellStyle name="Note 2 3 6 5" xfId="32108" xr:uid="{00000000-0005-0000-0000-00008C760000}"/>
    <cellStyle name="Note 2 3 7" xfId="7850" xr:uid="{00000000-0005-0000-0000-00008D760000}"/>
    <cellStyle name="Note 2 3 7 2" xfId="7851" xr:uid="{00000000-0005-0000-0000-00008E760000}"/>
    <cellStyle name="Note 2 3 7 2 2" xfId="15738" xr:uid="{00000000-0005-0000-0000-00008F760000}"/>
    <cellStyle name="Note 2 3 7 2 3" xfId="32112" xr:uid="{00000000-0005-0000-0000-000090760000}"/>
    <cellStyle name="Note 2 3 7 3" xfId="13473" xr:uid="{00000000-0005-0000-0000-000091760000}"/>
    <cellStyle name="Note 2 3 7 3 2" xfId="27022" xr:uid="{00000000-0005-0000-0000-000092760000}"/>
    <cellStyle name="Note 2 3 7 4" xfId="32111" xr:uid="{00000000-0005-0000-0000-000093760000}"/>
    <cellStyle name="Note 2 3 8" xfId="7852" xr:uid="{00000000-0005-0000-0000-000094760000}"/>
    <cellStyle name="Note 2 3 8 2" xfId="14054" xr:uid="{00000000-0005-0000-0000-000095760000}"/>
    <cellStyle name="Note 2 3 8 2 2" xfId="27603" xr:uid="{00000000-0005-0000-0000-000096760000}"/>
    <cellStyle name="Note 2 3 8 3" xfId="32113" xr:uid="{00000000-0005-0000-0000-000097760000}"/>
    <cellStyle name="Note 2 3 9" xfId="7853" xr:uid="{00000000-0005-0000-0000-000098760000}"/>
    <cellStyle name="Note 2 3 9 2" xfId="15940" xr:uid="{00000000-0005-0000-0000-000099760000}"/>
    <cellStyle name="Note 2 3 9 2 2" xfId="29347" xr:uid="{00000000-0005-0000-0000-00009A760000}"/>
    <cellStyle name="Note 2 3 9 3" xfId="32114" xr:uid="{00000000-0005-0000-0000-00009B760000}"/>
    <cellStyle name="Note 2 30" xfId="33058" xr:uid="{00000000-0005-0000-0000-00009C760000}"/>
    <cellStyle name="Note 2 4" xfId="7854" xr:uid="{00000000-0005-0000-0000-00009D760000}"/>
    <cellStyle name="Note 2 4 10" xfId="32115" xr:uid="{00000000-0005-0000-0000-00009E760000}"/>
    <cellStyle name="Note 2 4 2" xfId="7855" xr:uid="{00000000-0005-0000-0000-00009F760000}"/>
    <cellStyle name="Note 2 4 2 2" xfId="7856" xr:uid="{00000000-0005-0000-0000-0000A0760000}"/>
    <cellStyle name="Note 2 4 2 2 2" xfId="7857" xr:uid="{00000000-0005-0000-0000-0000A1760000}"/>
    <cellStyle name="Note 2 4 2 2 2 2" xfId="7858" xr:uid="{00000000-0005-0000-0000-0000A2760000}"/>
    <cellStyle name="Note 2 4 2 2 2 2 2" xfId="11625" xr:uid="{00000000-0005-0000-0000-0000A3760000}"/>
    <cellStyle name="Note 2 4 2 2 2 2 3" xfId="32119" xr:uid="{00000000-0005-0000-0000-0000A4760000}"/>
    <cellStyle name="Note 2 4 2 2 2 3" xfId="7859" xr:uid="{00000000-0005-0000-0000-0000A5760000}"/>
    <cellStyle name="Note 2 4 2 2 2 3 2" xfId="16907" xr:uid="{00000000-0005-0000-0000-0000A6760000}"/>
    <cellStyle name="Note 2 4 2 2 2 3 2 2" xfId="30314" xr:uid="{00000000-0005-0000-0000-0000A7760000}"/>
    <cellStyle name="Note 2 4 2 2 2 3 3" xfId="32120" xr:uid="{00000000-0005-0000-0000-0000A8760000}"/>
    <cellStyle name="Note 2 4 2 2 2 4" xfId="10279" xr:uid="{00000000-0005-0000-0000-0000A9760000}"/>
    <cellStyle name="Note 2 4 2 2 2 5" xfId="32118" xr:uid="{00000000-0005-0000-0000-0000AA760000}"/>
    <cellStyle name="Note 2 4 2 2 3" xfId="7860" xr:uid="{00000000-0005-0000-0000-0000AB760000}"/>
    <cellStyle name="Note 2 4 2 2 3 2" xfId="7861" xr:uid="{00000000-0005-0000-0000-0000AC760000}"/>
    <cellStyle name="Note 2 4 2 2 3 2 2" xfId="13304" xr:uid="{00000000-0005-0000-0000-0000AD760000}"/>
    <cellStyle name="Note 2 4 2 2 3 2 3" xfId="32122" xr:uid="{00000000-0005-0000-0000-0000AE760000}"/>
    <cellStyle name="Note 2 4 2 2 3 3" xfId="12295" xr:uid="{00000000-0005-0000-0000-0000AF760000}"/>
    <cellStyle name="Note 2 4 2 2 3 3 2" xfId="26007" xr:uid="{00000000-0005-0000-0000-0000B0760000}"/>
    <cellStyle name="Note 2 4 2 2 3 4" xfId="32121" xr:uid="{00000000-0005-0000-0000-0000B1760000}"/>
    <cellStyle name="Note 2 4 2 2 4" xfId="7862" xr:uid="{00000000-0005-0000-0000-0000B2760000}"/>
    <cellStyle name="Note 2 4 2 2 4 2" xfId="7863" xr:uid="{00000000-0005-0000-0000-0000B3760000}"/>
    <cellStyle name="Note 2 4 2 2 4 2 2" xfId="15739" xr:uid="{00000000-0005-0000-0000-0000B4760000}"/>
    <cellStyle name="Note 2 4 2 2 4 2 3" xfId="32124" xr:uid="{00000000-0005-0000-0000-0000B5760000}"/>
    <cellStyle name="Note 2 4 2 2 4 3" xfId="13859" xr:uid="{00000000-0005-0000-0000-0000B6760000}"/>
    <cellStyle name="Note 2 4 2 2 4 3 2" xfId="27408" xr:uid="{00000000-0005-0000-0000-0000B7760000}"/>
    <cellStyle name="Note 2 4 2 2 4 4" xfId="32123" xr:uid="{00000000-0005-0000-0000-0000B8760000}"/>
    <cellStyle name="Note 2 4 2 2 5" xfId="7864" xr:uid="{00000000-0005-0000-0000-0000B9760000}"/>
    <cellStyle name="Note 2 4 2 2 5 2" xfId="14440" xr:uid="{00000000-0005-0000-0000-0000BA760000}"/>
    <cellStyle name="Note 2 4 2 2 5 2 2" xfId="27989" xr:uid="{00000000-0005-0000-0000-0000BB760000}"/>
    <cellStyle name="Note 2 4 2 2 5 3" xfId="32125" xr:uid="{00000000-0005-0000-0000-0000BC760000}"/>
    <cellStyle name="Note 2 4 2 2 6" xfId="7865" xr:uid="{00000000-0005-0000-0000-0000BD760000}"/>
    <cellStyle name="Note 2 4 2 2 6 2" xfId="16326" xr:uid="{00000000-0005-0000-0000-0000BE760000}"/>
    <cellStyle name="Note 2 4 2 2 6 2 2" xfId="29733" xr:uid="{00000000-0005-0000-0000-0000BF760000}"/>
    <cellStyle name="Note 2 4 2 2 6 3" xfId="32126" xr:uid="{00000000-0005-0000-0000-0000C0760000}"/>
    <cellStyle name="Note 2 4 2 2 7" xfId="10278" xr:uid="{00000000-0005-0000-0000-0000C1760000}"/>
    <cellStyle name="Note 2 4 2 2 8" xfId="32117" xr:uid="{00000000-0005-0000-0000-0000C2760000}"/>
    <cellStyle name="Note 2 4 2 3" xfId="7866" xr:uid="{00000000-0005-0000-0000-0000C3760000}"/>
    <cellStyle name="Note 2 4 2 3 2" xfId="7867" xr:uid="{00000000-0005-0000-0000-0000C4760000}"/>
    <cellStyle name="Note 2 4 2 3 2 2" xfId="11626" xr:uid="{00000000-0005-0000-0000-0000C5760000}"/>
    <cellStyle name="Note 2 4 2 3 2 3" xfId="32128" xr:uid="{00000000-0005-0000-0000-0000C6760000}"/>
    <cellStyle name="Note 2 4 2 3 3" xfId="7868" xr:uid="{00000000-0005-0000-0000-0000C7760000}"/>
    <cellStyle name="Note 2 4 2 3 3 2" xfId="16618" xr:uid="{00000000-0005-0000-0000-0000C8760000}"/>
    <cellStyle name="Note 2 4 2 3 3 2 2" xfId="30025" xr:uid="{00000000-0005-0000-0000-0000C9760000}"/>
    <cellStyle name="Note 2 4 2 3 3 3" xfId="32129" xr:uid="{00000000-0005-0000-0000-0000CA760000}"/>
    <cellStyle name="Note 2 4 2 3 4" xfId="10280" xr:uid="{00000000-0005-0000-0000-0000CB760000}"/>
    <cellStyle name="Note 2 4 2 3 5" xfId="32127" xr:uid="{00000000-0005-0000-0000-0000CC760000}"/>
    <cellStyle name="Note 2 4 2 4" xfId="7869" xr:uid="{00000000-0005-0000-0000-0000CD760000}"/>
    <cellStyle name="Note 2 4 2 4 2" xfId="7870" xr:uid="{00000000-0005-0000-0000-0000CE760000}"/>
    <cellStyle name="Note 2 4 2 4 2 2" xfId="13305" xr:uid="{00000000-0005-0000-0000-0000CF760000}"/>
    <cellStyle name="Note 2 4 2 4 2 3" xfId="32131" xr:uid="{00000000-0005-0000-0000-0000D0760000}"/>
    <cellStyle name="Note 2 4 2 4 3" xfId="11995" xr:uid="{00000000-0005-0000-0000-0000D1760000}"/>
    <cellStyle name="Note 2 4 2 4 3 2" xfId="25710" xr:uid="{00000000-0005-0000-0000-0000D2760000}"/>
    <cellStyle name="Note 2 4 2 4 4" xfId="32130" xr:uid="{00000000-0005-0000-0000-0000D3760000}"/>
    <cellStyle name="Note 2 4 2 5" xfId="7871" xr:uid="{00000000-0005-0000-0000-0000D4760000}"/>
    <cellStyle name="Note 2 4 2 5 2" xfId="7872" xr:uid="{00000000-0005-0000-0000-0000D5760000}"/>
    <cellStyle name="Note 2 4 2 5 2 2" xfId="15740" xr:uid="{00000000-0005-0000-0000-0000D6760000}"/>
    <cellStyle name="Note 2 4 2 5 2 3" xfId="32133" xr:uid="{00000000-0005-0000-0000-0000D7760000}"/>
    <cellStyle name="Note 2 4 2 5 3" xfId="13570" xr:uid="{00000000-0005-0000-0000-0000D8760000}"/>
    <cellStyle name="Note 2 4 2 5 3 2" xfId="27119" xr:uid="{00000000-0005-0000-0000-0000D9760000}"/>
    <cellStyle name="Note 2 4 2 5 4" xfId="32132" xr:uid="{00000000-0005-0000-0000-0000DA760000}"/>
    <cellStyle name="Note 2 4 2 6" xfId="7873" xr:uid="{00000000-0005-0000-0000-0000DB760000}"/>
    <cellStyle name="Note 2 4 2 6 2" xfId="14151" xr:uid="{00000000-0005-0000-0000-0000DC760000}"/>
    <cellStyle name="Note 2 4 2 6 2 2" xfId="27700" xr:uid="{00000000-0005-0000-0000-0000DD760000}"/>
    <cellStyle name="Note 2 4 2 6 3" xfId="32134" xr:uid="{00000000-0005-0000-0000-0000DE760000}"/>
    <cellStyle name="Note 2 4 2 7" xfId="7874" xr:uid="{00000000-0005-0000-0000-0000DF760000}"/>
    <cellStyle name="Note 2 4 2 7 2" xfId="16037" xr:uid="{00000000-0005-0000-0000-0000E0760000}"/>
    <cellStyle name="Note 2 4 2 7 2 2" xfId="29444" xr:uid="{00000000-0005-0000-0000-0000E1760000}"/>
    <cellStyle name="Note 2 4 2 7 3" xfId="32135" xr:uid="{00000000-0005-0000-0000-0000E2760000}"/>
    <cellStyle name="Note 2 4 2 8" xfId="10277" xr:uid="{00000000-0005-0000-0000-0000E3760000}"/>
    <cellStyle name="Note 2 4 2 9" xfId="32116" xr:uid="{00000000-0005-0000-0000-0000E4760000}"/>
    <cellStyle name="Note 2 4 3" xfId="7875" xr:uid="{00000000-0005-0000-0000-0000E5760000}"/>
    <cellStyle name="Note 2 4 3 2" xfId="7876" xr:uid="{00000000-0005-0000-0000-0000E6760000}"/>
    <cellStyle name="Note 2 4 3 2 2" xfId="7877" xr:uid="{00000000-0005-0000-0000-0000E7760000}"/>
    <cellStyle name="Note 2 4 3 2 2 2" xfId="11627" xr:uid="{00000000-0005-0000-0000-0000E8760000}"/>
    <cellStyle name="Note 2 4 3 2 2 3" xfId="32138" xr:uid="{00000000-0005-0000-0000-0000E9760000}"/>
    <cellStyle name="Note 2 4 3 2 3" xfId="7878" xr:uid="{00000000-0005-0000-0000-0000EA760000}"/>
    <cellStyle name="Note 2 4 3 2 3 2" xfId="16767" xr:uid="{00000000-0005-0000-0000-0000EB760000}"/>
    <cellStyle name="Note 2 4 3 2 3 2 2" xfId="30174" xr:uid="{00000000-0005-0000-0000-0000EC760000}"/>
    <cellStyle name="Note 2 4 3 2 3 3" xfId="32139" xr:uid="{00000000-0005-0000-0000-0000ED760000}"/>
    <cellStyle name="Note 2 4 3 2 4" xfId="10282" xr:uid="{00000000-0005-0000-0000-0000EE760000}"/>
    <cellStyle name="Note 2 4 3 2 5" xfId="32137" xr:uid="{00000000-0005-0000-0000-0000EF760000}"/>
    <cellStyle name="Note 2 4 3 3" xfId="7879" xr:uid="{00000000-0005-0000-0000-0000F0760000}"/>
    <cellStyle name="Note 2 4 3 3 2" xfId="7880" xr:uid="{00000000-0005-0000-0000-0000F1760000}"/>
    <cellStyle name="Note 2 4 3 3 2 2" xfId="13306" xr:uid="{00000000-0005-0000-0000-0000F2760000}"/>
    <cellStyle name="Note 2 4 3 3 2 3" xfId="32141" xr:uid="{00000000-0005-0000-0000-0000F3760000}"/>
    <cellStyle name="Note 2 4 3 3 3" xfId="12155" xr:uid="{00000000-0005-0000-0000-0000F4760000}"/>
    <cellStyle name="Note 2 4 3 3 3 2" xfId="25867" xr:uid="{00000000-0005-0000-0000-0000F5760000}"/>
    <cellStyle name="Note 2 4 3 3 4" xfId="32140" xr:uid="{00000000-0005-0000-0000-0000F6760000}"/>
    <cellStyle name="Note 2 4 3 4" xfId="7881" xr:uid="{00000000-0005-0000-0000-0000F7760000}"/>
    <cellStyle name="Note 2 4 3 4 2" xfId="7882" xr:uid="{00000000-0005-0000-0000-0000F8760000}"/>
    <cellStyle name="Note 2 4 3 4 2 2" xfId="15741" xr:uid="{00000000-0005-0000-0000-0000F9760000}"/>
    <cellStyle name="Note 2 4 3 4 2 3" xfId="32143" xr:uid="{00000000-0005-0000-0000-0000FA760000}"/>
    <cellStyle name="Note 2 4 3 4 3" xfId="13719" xr:uid="{00000000-0005-0000-0000-0000FB760000}"/>
    <cellStyle name="Note 2 4 3 4 3 2" xfId="27268" xr:uid="{00000000-0005-0000-0000-0000FC760000}"/>
    <cellStyle name="Note 2 4 3 4 4" xfId="32142" xr:uid="{00000000-0005-0000-0000-0000FD760000}"/>
    <cellStyle name="Note 2 4 3 5" xfId="7883" xr:uid="{00000000-0005-0000-0000-0000FE760000}"/>
    <cellStyle name="Note 2 4 3 5 2" xfId="14300" xr:uid="{00000000-0005-0000-0000-0000FF760000}"/>
    <cellStyle name="Note 2 4 3 5 2 2" xfId="27849" xr:uid="{00000000-0005-0000-0000-000000770000}"/>
    <cellStyle name="Note 2 4 3 5 3" xfId="32144" xr:uid="{00000000-0005-0000-0000-000001770000}"/>
    <cellStyle name="Note 2 4 3 6" xfId="7884" xr:uid="{00000000-0005-0000-0000-000002770000}"/>
    <cellStyle name="Note 2 4 3 6 2" xfId="16186" xr:uid="{00000000-0005-0000-0000-000003770000}"/>
    <cellStyle name="Note 2 4 3 6 2 2" xfId="29593" xr:uid="{00000000-0005-0000-0000-000004770000}"/>
    <cellStyle name="Note 2 4 3 6 3" xfId="32145" xr:uid="{00000000-0005-0000-0000-000005770000}"/>
    <cellStyle name="Note 2 4 3 7" xfId="10281" xr:uid="{00000000-0005-0000-0000-000006770000}"/>
    <cellStyle name="Note 2 4 3 8" xfId="32136" xr:uid="{00000000-0005-0000-0000-000007770000}"/>
    <cellStyle name="Note 2 4 4" xfId="7885" xr:uid="{00000000-0005-0000-0000-000008770000}"/>
    <cellStyle name="Note 2 4 4 2" xfId="7886" xr:uid="{00000000-0005-0000-0000-000009770000}"/>
    <cellStyle name="Note 2 4 4 2 2" xfId="11628" xr:uid="{00000000-0005-0000-0000-00000A770000}"/>
    <cellStyle name="Note 2 4 4 2 3" xfId="32147" xr:uid="{00000000-0005-0000-0000-00000B770000}"/>
    <cellStyle name="Note 2 4 4 3" xfId="7887" xr:uid="{00000000-0005-0000-0000-00000C770000}"/>
    <cellStyle name="Note 2 4 4 3 2" xfId="16475" xr:uid="{00000000-0005-0000-0000-00000D770000}"/>
    <cellStyle name="Note 2 4 4 3 2 2" xfId="29882" xr:uid="{00000000-0005-0000-0000-00000E770000}"/>
    <cellStyle name="Note 2 4 4 3 3" xfId="32148" xr:uid="{00000000-0005-0000-0000-00000F770000}"/>
    <cellStyle name="Note 2 4 4 4" xfId="10283" xr:uid="{00000000-0005-0000-0000-000010770000}"/>
    <cellStyle name="Note 2 4 4 5" xfId="32146" xr:uid="{00000000-0005-0000-0000-000011770000}"/>
    <cellStyle name="Note 2 4 5" xfId="7888" xr:uid="{00000000-0005-0000-0000-000012770000}"/>
    <cellStyle name="Note 2 4 5 2" xfId="7889" xr:uid="{00000000-0005-0000-0000-000013770000}"/>
    <cellStyle name="Note 2 4 5 2 2" xfId="13307" xr:uid="{00000000-0005-0000-0000-000014770000}"/>
    <cellStyle name="Note 2 4 5 2 3" xfId="32150" xr:uid="{00000000-0005-0000-0000-000015770000}"/>
    <cellStyle name="Note 2 4 5 3" xfId="11826" xr:uid="{00000000-0005-0000-0000-000016770000}"/>
    <cellStyle name="Note 2 4 5 3 2" xfId="25541" xr:uid="{00000000-0005-0000-0000-000017770000}"/>
    <cellStyle name="Note 2 4 5 4" xfId="32149" xr:uid="{00000000-0005-0000-0000-000018770000}"/>
    <cellStyle name="Note 2 4 6" xfId="7890" xr:uid="{00000000-0005-0000-0000-000019770000}"/>
    <cellStyle name="Note 2 4 6 2" xfId="7891" xr:uid="{00000000-0005-0000-0000-00001A770000}"/>
    <cellStyle name="Note 2 4 6 2 2" xfId="15742" xr:uid="{00000000-0005-0000-0000-00001B770000}"/>
    <cellStyle name="Note 2 4 6 2 3" xfId="32152" xr:uid="{00000000-0005-0000-0000-00001C770000}"/>
    <cellStyle name="Note 2 4 6 3" xfId="13427" xr:uid="{00000000-0005-0000-0000-00001D770000}"/>
    <cellStyle name="Note 2 4 6 3 2" xfId="26976" xr:uid="{00000000-0005-0000-0000-00001E770000}"/>
    <cellStyle name="Note 2 4 6 4" xfId="32151" xr:uid="{00000000-0005-0000-0000-00001F770000}"/>
    <cellStyle name="Note 2 4 7" xfId="7892" xr:uid="{00000000-0005-0000-0000-000020770000}"/>
    <cellStyle name="Note 2 4 7 2" xfId="14008" xr:uid="{00000000-0005-0000-0000-000021770000}"/>
    <cellStyle name="Note 2 4 7 2 2" xfId="27557" xr:uid="{00000000-0005-0000-0000-000022770000}"/>
    <cellStyle name="Note 2 4 7 3" xfId="32153" xr:uid="{00000000-0005-0000-0000-000023770000}"/>
    <cellStyle name="Note 2 4 8" xfId="7893" xr:uid="{00000000-0005-0000-0000-000024770000}"/>
    <cellStyle name="Note 2 4 8 2" xfId="15894" xr:uid="{00000000-0005-0000-0000-000025770000}"/>
    <cellStyle name="Note 2 4 8 2 2" xfId="29301" xr:uid="{00000000-0005-0000-0000-000026770000}"/>
    <cellStyle name="Note 2 4 8 3" xfId="32154" xr:uid="{00000000-0005-0000-0000-000027770000}"/>
    <cellStyle name="Note 2 4 9" xfId="10276" xr:uid="{00000000-0005-0000-0000-000028770000}"/>
    <cellStyle name="Note 2 5" xfId="7894" xr:uid="{00000000-0005-0000-0000-000029770000}"/>
    <cellStyle name="Note 2 5 10" xfId="32155" xr:uid="{00000000-0005-0000-0000-00002A770000}"/>
    <cellStyle name="Note 2 5 2" xfId="7895" xr:uid="{00000000-0005-0000-0000-00002B770000}"/>
    <cellStyle name="Note 2 5 2 2" xfId="7896" xr:uid="{00000000-0005-0000-0000-00002C770000}"/>
    <cellStyle name="Note 2 5 2 2 2" xfId="7897" xr:uid="{00000000-0005-0000-0000-00002D770000}"/>
    <cellStyle name="Note 2 5 2 2 2 2" xfId="7898" xr:uid="{00000000-0005-0000-0000-00002E770000}"/>
    <cellStyle name="Note 2 5 2 2 2 2 2" xfId="11629" xr:uid="{00000000-0005-0000-0000-00002F770000}"/>
    <cellStyle name="Note 2 5 2 2 2 2 3" xfId="32159" xr:uid="{00000000-0005-0000-0000-000030770000}"/>
    <cellStyle name="Note 2 5 2 2 2 3" xfId="7899" xr:uid="{00000000-0005-0000-0000-000031770000}"/>
    <cellStyle name="Note 2 5 2 2 2 3 2" xfId="16890" xr:uid="{00000000-0005-0000-0000-000032770000}"/>
    <cellStyle name="Note 2 5 2 2 2 3 2 2" xfId="30297" xr:uid="{00000000-0005-0000-0000-000033770000}"/>
    <cellStyle name="Note 2 5 2 2 2 3 3" xfId="32160" xr:uid="{00000000-0005-0000-0000-000034770000}"/>
    <cellStyle name="Note 2 5 2 2 2 4" xfId="10287" xr:uid="{00000000-0005-0000-0000-000035770000}"/>
    <cellStyle name="Note 2 5 2 2 2 5" xfId="32158" xr:uid="{00000000-0005-0000-0000-000036770000}"/>
    <cellStyle name="Note 2 5 2 2 3" xfId="7900" xr:uid="{00000000-0005-0000-0000-000037770000}"/>
    <cellStyle name="Note 2 5 2 2 3 2" xfId="7901" xr:uid="{00000000-0005-0000-0000-000038770000}"/>
    <cellStyle name="Note 2 5 2 2 3 2 2" xfId="13308" xr:uid="{00000000-0005-0000-0000-000039770000}"/>
    <cellStyle name="Note 2 5 2 2 3 2 3" xfId="32162" xr:uid="{00000000-0005-0000-0000-00003A770000}"/>
    <cellStyle name="Note 2 5 2 2 3 3" xfId="12278" xr:uid="{00000000-0005-0000-0000-00003B770000}"/>
    <cellStyle name="Note 2 5 2 2 3 3 2" xfId="25990" xr:uid="{00000000-0005-0000-0000-00003C770000}"/>
    <cellStyle name="Note 2 5 2 2 3 4" xfId="32161" xr:uid="{00000000-0005-0000-0000-00003D770000}"/>
    <cellStyle name="Note 2 5 2 2 4" xfId="7902" xr:uid="{00000000-0005-0000-0000-00003E770000}"/>
    <cellStyle name="Note 2 5 2 2 4 2" xfId="7903" xr:uid="{00000000-0005-0000-0000-00003F770000}"/>
    <cellStyle name="Note 2 5 2 2 4 2 2" xfId="15743" xr:uid="{00000000-0005-0000-0000-000040770000}"/>
    <cellStyle name="Note 2 5 2 2 4 2 3" xfId="32164" xr:uid="{00000000-0005-0000-0000-000041770000}"/>
    <cellStyle name="Note 2 5 2 2 4 3" xfId="13842" xr:uid="{00000000-0005-0000-0000-000042770000}"/>
    <cellStyle name="Note 2 5 2 2 4 3 2" xfId="27391" xr:uid="{00000000-0005-0000-0000-000043770000}"/>
    <cellStyle name="Note 2 5 2 2 4 4" xfId="32163" xr:uid="{00000000-0005-0000-0000-000044770000}"/>
    <cellStyle name="Note 2 5 2 2 5" xfId="7904" xr:uid="{00000000-0005-0000-0000-000045770000}"/>
    <cellStyle name="Note 2 5 2 2 5 2" xfId="14423" xr:uid="{00000000-0005-0000-0000-000046770000}"/>
    <cellStyle name="Note 2 5 2 2 5 2 2" xfId="27972" xr:uid="{00000000-0005-0000-0000-000047770000}"/>
    <cellStyle name="Note 2 5 2 2 5 3" xfId="32165" xr:uid="{00000000-0005-0000-0000-000048770000}"/>
    <cellStyle name="Note 2 5 2 2 6" xfId="7905" xr:uid="{00000000-0005-0000-0000-000049770000}"/>
    <cellStyle name="Note 2 5 2 2 6 2" xfId="16309" xr:uid="{00000000-0005-0000-0000-00004A770000}"/>
    <cellStyle name="Note 2 5 2 2 6 2 2" xfId="29716" xr:uid="{00000000-0005-0000-0000-00004B770000}"/>
    <cellStyle name="Note 2 5 2 2 6 3" xfId="32166" xr:uid="{00000000-0005-0000-0000-00004C770000}"/>
    <cellStyle name="Note 2 5 2 2 7" xfId="10286" xr:uid="{00000000-0005-0000-0000-00004D770000}"/>
    <cellStyle name="Note 2 5 2 2 8" xfId="32157" xr:uid="{00000000-0005-0000-0000-00004E770000}"/>
    <cellStyle name="Note 2 5 2 3" xfId="7906" xr:uid="{00000000-0005-0000-0000-00004F770000}"/>
    <cellStyle name="Note 2 5 2 3 2" xfId="7907" xr:uid="{00000000-0005-0000-0000-000050770000}"/>
    <cellStyle name="Note 2 5 2 3 2 2" xfId="11630" xr:uid="{00000000-0005-0000-0000-000051770000}"/>
    <cellStyle name="Note 2 5 2 3 2 3" xfId="32168" xr:uid="{00000000-0005-0000-0000-000052770000}"/>
    <cellStyle name="Note 2 5 2 3 3" xfId="7908" xr:uid="{00000000-0005-0000-0000-000053770000}"/>
    <cellStyle name="Note 2 5 2 3 3 2" xfId="16601" xr:uid="{00000000-0005-0000-0000-000054770000}"/>
    <cellStyle name="Note 2 5 2 3 3 2 2" xfId="30008" xr:uid="{00000000-0005-0000-0000-000055770000}"/>
    <cellStyle name="Note 2 5 2 3 3 3" xfId="32169" xr:uid="{00000000-0005-0000-0000-000056770000}"/>
    <cellStyle name="Note 2 5 2 3 4" xfId="10288" xr:uid="{00000000-0005-0000-0000-000057770000}"/>
    <cellStyle name="Note 2 5 2 3 5" xfId="32167" xr:uid="{00000000-0005-0000-0000-000058770000}"/>
    <cellStyle name="Note 2 5 2 4" xfId="7909" xr:uid="{00000000-0005-0000-0000-000059770000}"/>
    <cellStyle name="Note 2 5 2 4 2" xfId="7910" xr:uid="{00000000-0005-0000-0000-00005A770000}"/>
    <cellStyle name="Note 2 5 2 4 2 2" xfId="13309" xr:uid="{00000000-0005-0000-0000-00005B770000}"/>
    <cellStyle name="Note 2 5 2 4 2 3" xfId="32171" xr:uid="{00000000-0005-0000-0000-00005C770000}"/>
    <cellStyle name="Note 2 5 2 4 3" xfId="11978" xr:uid="{00000000-0005-0000-0000-00005D770000}"/>
    <cellStyle name="Note 2 5 2 4 3 2" xfId="25693" xr:uid="{00000000-0005-0000-0000-00005E770000}"/>
    <cellStyle name="Note 2 5 2 4 4" xfId="32170" xr:uid="{00000000-0005-0000-0000-00005F770000}"/>
    <cellStyle name="Note 2 5 2 5" xfId="7911" xr:uid="{00000000-0005-0000-0000-000060770000}"/>
    <cellStyle name="Note 2 5 2 5 2" xfId="7912" xr:uid="{00000000-0005-0000-0000-000061770000}"/>
    <cellStyle name="Note 2 5 2 5 2 2" xfId="15744" xr:uid="{00000000-0005-0000-0000-000062770000}"/>
    <cellStyle name="Note 2 5 2 5 2 3" xfId="32173" xr:uid="{00000000-0005-0000-0000-000063770000}"/>
    <cellStyle name="Note 2 5 2 5 3" xfId="13553" xr:uid="{00000000-0005-0000-0000-000064770000}"/>
    <cellStyle name="Note 2 5 2 5 3 2" xfId="27102" xr:uid="{00000000-0005-0000-0000-000065770000}"/>
    <cellStyle name="Note 2 5 2 5 4" xfId="32172" xr:uid="{00000000-0005-0000-0000-000066770000}"/>
    <cellStyle name="Note 2 5 2 6" xfId="7913" xr:uid="{00000000-0005-0000-0000-000067770000}"/>
    <cellStyle name="Note 2 5 2 6 2" xfId="14134" xr:uid="{00000000-0005-0000-0000-000068770000}"/>
    <cellStyle name="Note 2 5 2 6 2 2" xfId="27683" xr:uid="{00000000-0005-0000-0000-000069770000}"/>
    <cellStyle name="Note 2 5 2 6 3" xfId="32174" xr:uid="{00000000-0005-0000-0000-00006A770000}"/>
    <cellStyle name="Note 2 5 2 7" xfId="7914" xr:uid="{00000000-0005-0000-0000-00006B770000}"/>
    <cellStyle name="Note 2 5 2 7 2" xfId="16020" xr:uid="{00000000-0005-0000-0000-00006C770000}"/>
    <cellStyle name="Note 2 5 2 7 2 2" xfId="29427" xr:uid="{00000000-0005-0000-0000-00006D770000}"/>
    <cellStyle name="Note 2 5 2 7 3" xfId="32175" xr:uid="{00000000-0005-0000-0000-00006E770000}"/>
    <cellStyle name="Note 2 5 2 8" xfId="10285" xr:uid="{00000000-0005-0000-0000-00006F770000}"/>
    <cellStyle name="Note 2 5 2 9" xfId="32156" xr:uid="{00000000-0005-0000-0000-000070770000}"/>
    <cellStyle name="Note 2 5 3" xfId="7915" xr:uid="{00000000-0005-0000-0000-000071770000}"/>
    <cellStyle name="Note 2 5 3 2" xfId="7916" xr:uid="{00000000-0005-0000-0000-000072770000}"/>
    <cellStyle name="Note 2 5 3 2 2" xfId="7917" xr:uid="{00000000-0005-0000-0000-000073770000}"/>
    <cellStyle name="Note 2 5 3 2 2 2" xfId="11631" xr:uid="{00000000-0005-0000-0000-000074770000}"/>
    <cellStyle name="Note 2 5 3 2 2 3" xfId="32178" xr:uid="{00000000-0005-0000-0000-000075770000}"/>
    <cellStyle name="Note 2 5 3 2 3" xfId="7918" xr:uid="{00000000-0005-0000-0000-000076770000}"/>
    <cellStyle name="Note 2 5 3 2 3 2" xfId="16750" xr:uid="{00000000-0005-0000-0000-000077770000}"/>
    <cellStyle name="Note 2 5 3 2 3 2 2" xfId="30157" xr:uid="{00000000-0005-0000-0000-000078770000}"/>
    <cellStyle name="Note 2 5 3 2 3 3" xfId="32179" xr:uid="{00000000-0005-0000-0000-000079770000}"/>
    <cellStyle name="Note 2 5 3 2 4" xfId="10290" xr:uid="{00000000-0005-0000-0000-00007A770000}"/>
    <cellStyle name="Note 2 5 3 2 5" xfId="32177" xr:uid="{00000000-0005-0000-0000-00007B770000}"/>
    <cellStyle name="Note 2 5 3 3" xfId="7919" xr:uid="{00000000-0005-0000-0000-00007C770000}"/>
    <cellStyle name="Note 2 5 3 3 2" xfId="7920" xr:uid="{00000000-0005-0000-0000-00007D770000}"/>
    <cellStyle name="Note 2 5 3 3 2 2" xfId="13310" xr:uid="{00000000-0005-0000-0000-00007E770000}"/>
    <cellStyle name="Note 2 5 3 3 2 3" xfId="32181" xr:uid="{00000000-0005-0000-0000-00007F770000}"/>
    <cellStyle name="Note 2 5 3 3 3" xfId="12138" xr:uid="{00000000-0005-0000-0000-000080770000}"/>
    <cellStyle name="Note 2 5 3 3 3 2" xfId="25850" xr:uid="{00000000-0005-0000-0000-000081770000}"/>
    <cellStyle name="Note 2 5 3 3 4" xfId="32180" xr:uid="{00000000-0005-0000-0000-000082770000}"/>
    <cellStyle name="Note 2 5 3 4" xfId="7921" xr:uid="{00000000-0005-0000-0000-000083770000}"/>
    <cellStyle name="Note 2 5 3 4 2" xfId="7922" xr:uid="{00000000-0005-0000-0000-000084770000}"/>
    <cellStyle name="Note 2 5 3 4 2 2" xfId="15745" xr:uid="{00000000-0005-0000-0000-000085770000}"/>
    <cellStyle name="Note 2 5 3 4 2 3" xfId="32183" xr:uid="{00000000-0005-0000-0000-000086770000}"/>
    <cellStyle name="Note 2 5 3 4 3" xfId="13702" xr:uid="{00000000-0005-0000-0000-000087770000}"/>
    <cellStyle name="Note 2 5 3 4 3 2" xfId="27251" xr:uid="{00000000-0005-0000-0000-000088770000}"/>
    <cellStyle name="Note 2 5 3 4 4" xfId="32182" xr:uid="{00000000-0005-0000-0000-000089770000}"/>
    <cellStyle name="Note 2 5 3 5" xfId="7923" xr:uid="{00000000-0005-0000-0000-00008A770000}"/>
    <cellStyle name="Note 2 5 3 5 2" xfId="14283" xr:uid="{00000000-0005-0000-0000-00008B770000}"/>
    <cellStyle name="Note 2 5 3 5 2 2" xfId="27832" xr:uid="{00000000-0005-0000-0000-00008C770000}"/>
    <cellStyle name="Note 2 5 3 5 3" xfId="32184" xr:uid="{00000000-0005-0000-0000-00008D770000}"/>
    <cellStyle name="Note 2 5 3 6" xfId="7924" xr:uid="{00000000-0005-0000-0000-00008E770000}"/>
    <cellStyle name="Note 2 5 3 6 2" xfId="16169" xr:uid="{00000000-0005-0000-0000-00008F770000}"/>
    <cellStyle name="Note 2 5 3 6 2 2" xfId="29576" xr:uid="{00000000-0005-0000-0000-000090770000}"/>
    <cellStyle name="Note 2 5 3 6 3" xfId="32185" xr:uid="{00000000-0005-0000-0000-000091770000}"/>
    <cellStyle name="Note 2 5 3 7" xfId="10289" xr:uid="{00000000-0005-0000-0000-000092770000}"/>
    <cellStyle name="Note 2 5 3 8" xfId="32176" xr:uid="{00000000-0005-0000-0000-000093770000}"/>
    <cellStyle name="Note 2 5 4" xfId="7925" xr:uid="{00000000-0005-0000-0000-000094770000}"/>
    <cellStyle name="Note 2 5 4 2" xfId="7926" xr:uid="{00000000-0005-0000-0000-000095770000}"/>
    <cellStyle name="Note 2 5 4 2 2" xfId="11632" xr:uid="{00000000-0005-0000-0000-000096770000}"/>
    <cellStyle name="Note 2 5 4 2 3" xfId="32187" xr:uid="{00000000-0005-0000-0000-000097770000}"/>
    <cellStyle name="Note 2 5 4 3" xfId="7927" xr:uid="{00000000-0005-0000-0000-000098770000}"/>
    <cellStyle name="Note 2 5 4 3 2" xfId="16458" xr:uid="{00000000-0005-0000-0000-000099770000}"/>
    <cellStyle name="Note 2 5 4 3 2 2" xfId="29865" xr:uid="{00000000-0005-0000-0000-00009A770000}"/>
    <cellStyle name="Note 2 5 4 3 3" xfId="32188" xr:uid="{00000000-0005-0000-0000-00009B770000}"/>
    <cellStyle name="Note 2 5 4 4" xfId="10291" xr:uid="{00000000-0005-0000-0000-00009C770000}"/>
    <cellStyle name="Note 2 5 4 5" xfId="32186" xr:uid="{00000000-0005-0000-0000-00009D770000}"/>
    <cellStyle name="Note 2 5 5" xfId="7928" xr:uid="{00000000-0005-0000-0000-00009E770000}"/>
    <cellStyle name="Note 2 5 5 2" xfId="7929" xr:uid="{00000000-0005-0000-0000-00009F770000}"/>
    <cellStyle name="Note 2 5 5 2 2" xfId="13311" xr:uid="{00000000-0005-0000-0000-0000A0770000}"/>
    <cellStyle name="Note 2 5 5 2 3" xfId="32190" xr:uid="{00000000-0005-0000-0000-0000A1770000}"/>
    <cellStyle name="Note 2 5 5 3" xfId="11809" xr:uid="{00000000-0005-0000-0000-0000A2770000}"/>
    <cellStyle name="Note 2 5 5 3 2" xfId="25524" xr:uid="{00000000-0005-0000-0000-0000A3770000}"/>
    <cellStyle name="Note 2 5 5 4" xfId="32189" xr:uid="{00000000-0005-0000-0000-0000A4770000}"/>
    <cellStyle name="Note 2 5 6" xfId="7930" xr:uid="{00000000-0005-0000-0000-0000A5770000}"/>
    <cellStyle name="Note 2 5 6 2" xfId="7931" xr:uid="{00000000-0005-0000-0000-0000A6770000}"/>
    <cellStyle name="Note 2 5 6 2 2" xfId="15746" xr:uid="{00000000-0005-0000-0000-0000A7770000}"/>
    <cellStyle name="Note 2 5 6 2 3" xfId="32192" xr:uid="{00000000-0005-0000-0000-0000A8770000}"/>
    <cellStyle name="Note 2 5 6 3" xfId="13410" xr:uid="{00000000-0005-0000-0000-0000A9770000}"/>
    <cellStyle name="Note 2 5 6 3 2" xfId="26959" xr:uid="{00000000-0005-0000-0000-0000AA770000}"/>
    <cellStyle name="Note 2 5 6 4" xfId="32191" xr:uid="{00000000-0005-0000-0000-0000AB770000}"/>
    <cellStyle name="Note 2 5 7" xfId="7932" xr:uid="{00000000-0005-0000-0000-0000AC770000}"/>
    <cellStyle name="Note 2 5 7 2" xfId="13991" xr:uid="{00000000-0005-0000-0000-0000AD770000}"/>
    <cellStyle name="Note 2 5 7 2 2" xfId="27540" xr:uid="{00000000-0005-0000-0000-0000AE770000}"/>
    <cellStyle name="Note 2 5 7 3" xfId="32193" xr:uid="{00000000-0005-0000-0000-0000AF770000}"/>
    <cellStyle name="Note 2 5 8" xfId="7933" xr:uid="{00000000-0005-0000-0000-0000B0770000}"/>
    <cellStyle name="Note 2 5 8 2" xfId="15877" xr:uid="{00000000-0005-0000-0000-0000B1770000}"/>
    <cellStyle name="Note 2 5 8 2 2" xfId="29284" xr:uid="{00000000-0005-0000-0000-0000B2770000}"/>
    <cellStyle name="Note 2 5 8 3" xfId="32194" xr:uid="{00000000-0005-0000-0000-0000B3770000}"/>
    <cellStyle name="Note 2 5 9" xfId="10284" xr:uid="{00000000-0005-0000-0000-0000B4770000}"/>
    <cellStyle name="Note 2 6" xfId="7934" xr:uid="{00000000-0005-0000-0000-0000B5770000}"/>
    <cellStyle name="Note 2 6 10" xfId="32195" xr:uid="{00000000-0005-0000-0000-0000B6770000}"/>
    <cellStyle name="Note 2 6 2" xfId="7935" xr:uid="{00000000-0005-0000-0000-0000B7770000}"/>
    <cellStyle name="Note 2 6 2 2" xfId="7936" xr:uid="{00000000-0005-0000-0000-0000B8770000}"/>
    <cellStyle name="Note 2 6 2 2 2" xfId="7937" xr:uid="{00000000-0005-0000-0000-0000B9770000}"/>
    <cellStyle name="Note 2 6 2 2 2 2" xfId="7938" xr:uid="{00000000-0005-0000-0000-0000BA770000}"/>
    <cellStyle name="Note 2 6 2 2 2 2 2" xfId="11633" xr:uid="{00000000-0005-0000-0000-0000BB770000}"/>
    <cellStyle name="Note 2 6 2 2 2 2 3" xfId="32199" xr:uid="{00000000-0005-0000-0000-0000BC770000}"/>
    <cellStyle name="Note 2 6 2 2 2 3" xfId="7939" xr:uid="{00000000-0005-0000-0000-0000BD770000}"/>
    <cellStyle name="Note 2 6 2 2 2 3 2" xfId="16996" xr:uid="{00000000-0005-0000-0000-0000BE770000}"/>
    <cellStyle name="Note 2 6 2 2 2 3 2 2" xfId="30403" xr:uid="{00000000-0005-0000-0000-0000BF770000}"/>
    <cellStyle name="Note 2 6 2 2 2 3 3" xfId="32200" xr:uid="{00000000-0005-0000-0000-0000C0770000}"/>
    <cellStyle name="Note 2 6 2 2 2 4" xfId="10295" xr:uid="{00000000-0005-0000-0000-0000C1770000}"/>
    <cellStyle name="Note 2 6 2 2 2 5" xfId="32198" xr:uid="{00000000-0005-0000-0000-0000C2770000}"/>
    <cellStyle name="Note 2 6 2 2 3" xfId="7940" xr:uid="{00000000-0005-0000-0000-0000C3770000}"/>
    <cellStyle name="Note 2 6 2 2 3 2" xfId="7941" xr:uid="{00000000-0005-0000-0000-0000C4770000}"/>
    <cellStyle name="Note 2 6 2 2 3 2 2" xfId="13312" xr:uid="{00000000-0005-0000-0000-0000C5770000}"/>
    <cellStyle name="Note 2 6 2 2 3 2 3" xfId="32202" xr:uid="{00000000-0005-0000-0000-0000C6770000}"/>
    <cellStyle name="Note 2 6 2 2 3 3" xfId="12384" xr:uid="{00000000-0005-0000-0000-0000C7770000}"/>
    <cellStyle name="Note 2 6 2 2 3 3 2" xfId="26096" xr:uid="{00000000-0005-0000-0000-0000C8770000}"/>
    <cellStyle name="Note 2 6 2 2 3 4" xfId="32201" xr:uid="{00000000-0005-0000-0000-0000C9770000}"/>
    <cellStyle name="Note 2 6 2 2 4" xfId="7942" xr:uid="{00000000-0005-0000-0000-0000CA770000}"/>
    <cellStyle name="Note 2 6 2 2 4 2" xfId="7943" xr:uid="{00000000-0005-0000-0000-0000CB770000}"/>
    <cellStyle name="Note 2 6 2 2 4 2 2" xfId="15747" xr:uid="{00000000-0005-0000-0000-0000CC770000}"/>
    <cellStyle name="Note 2 6 2 2 4 2 3" xfId="32204" xr:uid="{00000000-0005-0000-0000-0000CD770000}"/>
    <cellStyle name="Note 2 6 2 2 4 3" xfId="13948" xr:uid="{00000000-0005-0000-0000-0000CE770000}"/>
    <cellStyle name="Note 2 6 2 2 4 3 2" xfId="27497" xr:uid="{00000000-0005-0000-0000-0000CF770000}"/>
    <cellStyle name="Note 2 6 2 2 4 4" xfId="32203" xr:uid="{00000000-0005-0000-0000-0000D0770000}"/>
    <cellStyle name="Note 2 6 2 2 5" xfId="7944" xr:uid="{00000000-0005-0000-0000-0000D1770000}"/>
    <cellStyle name="Note 2 6 2 2 5 2" xfId="14529" xr:uid="{00000000-0005-0000-0000-0000D2770000}"/>
    <cellStyle name="Note 2 6 2 2 5 2 2" xfId="28078" xr:uid="{00000000-0005-0000-0000-0000D3770000}"/>
    <cellStyle name="Note 2 6 2 2 5 3" xfId="32205" xr:uid="{00000000-0005-0000-0000-0000D4770000}"/>
    <cellStyle name="Note 2 6 2 2 6" xfId="7945" xr:uid="{00000000-0005-0000-0000-0000D5770000}"/>
    <cellStyle name="Note 2 6 2 2 6 2" xfId="16415" xr:uid="{00000000-0005-0000-0000-0000D6770000}"/>
    <cellStyle name="Note 2 6 2 2 6 2 2" xfId="29822" xr:uid="{00000000-0005-0000-0000-0000D7770000}"/>
    <cellStyle name="Note 2 6 2 2 6 3" xfId="32206" xr:uid="{00000000-0005-0000-0000-0000D8770000}"/>
    <cellStyle name="Note 2 6 2 2 7" xfId="10294" xr:uid="{00000000-0005-0000-0000-0000D9770000}"/>
    <cellStyle name="Note 2 6 2 2 8" xfId="32197" xr:uid="{00000000-0005-0000-0000-0000DA770000}"/>
    <cellStyle name="Note 2 6 2 3" xfId="7946" xr:uid="{00000000-0005-0000-0000-0000DB770000}"/>
    <cellStyle name="Note 2 6 2 3 2" xfId="7947" xr:uid="{00000000-0005-0000-0000-0000DC770000}"/>
    <cellStyle name="Note 2 6 2 3 2 2" xfId="11634" xr:uid="{00000000-0005-0000-0000-0000DD770000}"/>
    <cellStyle name="Note 2 6 2 3 2 3" xfId="32208" xr:uid="{00000000-0005-0000-0000-0000DE770000}"/>
    <cellStyle name="Note 2 6 2 3 3" xfId="7948" xr:uid="{00000000-0005-0000-0000-0000DF770000}"/>
    <cellStyle name="Note 2 6 2 3 3 2" xfId="16707" xr:uid="{00000000-0005-0000-0000-0000E0770000}"/>
    <cellStyle name="Note 2 6 2 3 3 2 2" xfId="30114" xr:uid="{00000000-0005-0000-0000-0000E1770000}"/>
    <cellStyle name="Note 2 6 2 3 3 3" xfId="32209" xr:uid="{00000000-0005-0000-0000-0000E2770000}"/>
    <cellStyle name="Note 2 6 2 3 4" xfId="10296" xr:uid="{00000000-0005-0000-0000-0000E3770000}"/>
    <cellStyle name="Note 2 6 2 3 5" xfId="32207" xr:uid="{00000000-0005-0000-0000-0000E4770000}"/>
    <cellStyle name="Note 2 6 2 4" xfId="7949" xr:uid="{00000000-0005-0000-0000-0000E5770000}"/>
    <cellStyle name="Note 2 6 2 4 2" xfId="7950" xr:uid="{00000000-0005-0000-0000-0000E6770000}"/>
    <cellStyle name="Note 2 6 2 4 2 2" xfId="13313" xr:uid="{00000000-0005-0000-0000-0000E7770000}"/>
    <cellStyle name="Note 2 6 2 4 2 3" xfId="32211" xr:uid="{00000000-0005-0000-0000-0000E8770000}"/>
    <cellStyle name="Note 2 6 2 4 3" xfId="12084" xr:uid="{00000000-0005-0000-0000-0000E9770000}"/>
    <cellStyle name="Note 2 6 2 4 3 2" xfId="25799" xr:uid="{00000000-0005-0000-0000-0000EA770000}"/>
    <cellStyle name="Note 2 6 2 4 4" xfId="32210" xr:uid="{00000000-0005-0000-0000-0000EB770000}"/>
    <cellStyle name="Note 2 6 2 5" xfId="7951" xr:uid="{00000000-0005-0000-0000-0000EC770000}"/>
    <cellStyle name="Note 2 6 2 5 2" xfId="7952" xr:uid="{00000000-0005-0000-0000-0000ED770000}"/>
    <cellStyle name="Note 2 6 2 5 2 2" xfId="15748" xr:uid="{00000000-0005-0000-0000-0000EE770000}"/>
    <cellStyle name="Note 2 6 2 5 2 3" xfId="32213" xr:uid="{00000000-0005-0000-0000-0000EF770000}"/>
    <cellStyle name="Note 2 6 2 5 3" xfId="13659" xr:uid="{00000000-0005-0000-0000-0000F0770000}"/>
    <cellStyle name="Note 2 6 2 5 3 2" xfId="27208" xr:uid="{00000000-0005-0000-0000-0000F1770000}"/>
    <cellStyle name="Note 2 6 2 5 4" xfId="32212" xr:uid="{00000000-0005-0000-0000-0000F2770000}"/>
    <cellStyle name="Note 2 6 2 6" xfId="7953" xr:uid="{00000000-0005-0000-0000-0000F3770000}"/>
    <cellStyle name="Note 2 6 2 6 2" xfId="14240" xr:uid="{00000000-0005-0000-0000-0000F4770000}"/>
    <cellStyle name="Note 2 6 2 6 2 2" xfId="27789" xr:uid="{00000000-0005-0000-0000-0000F5770000}"/>
    <cellStyle name="Note 2 6 2 6 3" xfId="32214" xr:uid="{00000000-0005-0000-0000-0000F6770000}"/>
    <cellStyle name="Note 2 6 2 7" xfId="7954" xr:uid="{00000000-0005-0000-0000-0000F7770000}"/>
    <cellStyle name="Note 2 6 2 7 2" xfId="16126" xr:uid="{00000000-0005-0000-0000-0000F8770000}"/>
    <cellStyle name="Note 2 6 2 7 2 2" xfId="29533" xr:uid="{00000000-0005-0000-0000-0000F9770000}"/>
    <cellStyle name="Note 2 6 2 7 3" xfId="32215" xr:uid="{00000000-0005-0000-0000-0000FA770000}"/>
    <cellStyle name="Note 2 6 2 8" xfId="10293" xr:uid="{00000000-0005-0000-0000-0000FB770000}"/>
    <cellStyle name="Note 2 6 2 9" xfId="32196" xr:uid="{00000000-0005-0000-0000-0000FC770000}"/>
    <cellStyle name="Note 2 6 3" xfId="7955" xr:uid="{00000000-0005-0000-0000-0000FD770000}"/>
    <cellStyle name="Note 2 6 3 2" xfId="7956" xr:uid="{00000000-0005-0000-0000-0000FE770000}"/>
    <cellStyle name="Note 2 6 3 2 2" xfId="7957" xr:uid="{00000000-0005-0000-0000-0000FF770000}"/>
    <cellStyle name="Note 2 6 3 2 2 2" xfId="11635" xr:uid="{00000000-0005-0000-0000-000000780000}"/>
    <cellStyle name="Note 2 6 3 2 2 3" xfId="32218" xr:uid="{00000000-0005-0000-0000-000001780000}"/>
    <cellStyle name="Note 2 6 3 2 3" xfId="7958" xr:uid="{00000000-0005-0000-0000-000002780000}"/>
    <cellStyle name="Note 2 6 3 2 3 2" xfId="16853" xr:uid="{00000000-0005-0000-0000-000003780000}"/>
    <cellStyle name="Note 2 6 3 2 3 2 2" xfId="30260" xr:uid="{00000000-0005-0000-0000-000004780000}"/>
    <cellStyle name="Note 2 6 3 2 3 3" xfId="32219" xr:uid="{00000000-0005-0000-0000-000005780000}"/>
    <cellStyle name="Note 2 6 3 2 4" xfId="10298" xr:uid="{00000000-0005-0000-0000-000006780000}"/>
    <cellStyle name="Note 2 6 3 2 5" xfId="32217" xr:uid="{00000000-0005-0000-0000-000007780000}"/>
    <cellStyle name="Note 2 6 3 3" xfId="7959" xr:uid="{00000000-0005-0000-0000-000008780000}"/>
    <cellStyle name="Note 2 6 3 3 2" xfId="7960" xr:uid="{00000000-0005-0000-0000-000009780000}"/>
    <cellStyle name="Note 2 6 3 3 2 2" xfId="13314" xr:uid="{00000000-0005-0000-0000-00000A780000}"/>
    <cellStyle name="Note 2 6 3 3 2 3" xfId="32221" xr:uid="{00000000-0005-0000-0000-00000B780000}"/>
    <cellStyle name="Note 2 6 3 3 3" xfId="12241" xr:uid="{00000000-0005-0000-0000-00000C780000}"/>
    <cellStyle name="Note 2 6 3 3 3 2" xfId="25953" xr:uid="{00000000-0005-0000-0000-00000D780000}"/>
    <cellStyle name="Note 2 6 3 3 4" xfId="32220" xr:uid="{00000000-0005-0000-0000-00000E780000}"/>
    <cellStyle name="Note 2 6 3 4" xfId="7961" xr:uid="{00000000-0005-0000-0000-00000F780000}"/>
    <cellStyle name="Note 2 6 3 4 2" xfId="7962" xr:uid="{00000000-0005-0000-0000-000010780000}"/>
    <cellStyle name="Note 2 6 3 4 2 2" xfId="15749" xr:uid="{00000000-0005-0000-0000-000011780000}"/>
    <cellStyle name="Note 2 6 3 4 2 3" xfId="32223" xr:uid="{00000000-0005-0000-0000-000012780000}"/>
    <cellStyle name="Note 2 6 3 4 3" xfId="13805" xr:uid="{00000000-0005-0000-0000-000013780000}"/>
    <cellStyle name="Note 2 6 3 4 3 2" xfId="27354" xr:uid="{00000000-0005-0000-0000-000014780000}"/>
    <cellStyle name="Note 2 6 3 4 4" xfId="32222" xr:uid="{00000000-0005-0000-0000-000015780000}"/>
    <cellStyle name="Note 2 6 3 5" xfId="7963" xr:uid="{00000000-0005-0000-0000-000016780000}"/>
    <cellStyle name="Note 2 6 3 5 2" xfId="14386" xr:uid="{00000000-0005-0000-0000-000017780000}"/>
    <cellStyle name="Note 2 6 3 5 2 2" xfId="27935" xr:uid="{00000000-0005-0000-0000-000018780000}"/>
    <cellStyle name="Note 2 6 3 5 3" xfId="32224" xr:uid="{00000000-0005-0000-0000-000019780000}"/>
    <cellStyle name="Note 2 6 3 6" xfId="7964" xr:uid="{00000000-0005-0000-0000-00001A780000}"/>
    <cellStyle name="Note 2 6 3 6 2" xfId="16272" xr:uid="{00000000-0005-0000-0000-00001B780000}"/>
    <cellStyle name="Note 2 6 3 6 2 2" xfId="29679" xr:uid="{00000000-0005-0000-0000-00001C780000}"/>
    <cellStyle name="Note 2 6 3 6 3" xfId="32225" xr:uid="{00000000-0005-0000-0000-00001D780000}"/>
    <cellStyle name="Note 2 6 3 7" xfId="10297" xr:uid="{00000000-0005-0000-0000-00001E780000}"/>
    <cellStyle name="Note 2 6 3 8" xfId="32216" xr:uid="{00000000-0005-0000-0000-00001F780000}"/>
    <cellStyle name="Note 2 6 4" xfId="7965" xr:uid="{00000000-0005-0000-0000-000020780000}"/>
    <cellStyle name="Note 2 6 4 2" xfId="7966" xr:uid="{00000000-0005-0000-0000-000021780000}"/>
    <cellStyle name="Note 2 6 4 2 2" xfId="11636" xr:uid="{00000000-0005-0000-0000-000022780000}"/>
    <cellStyle name="Note 2 6 4 2 3" xfId="32227" xr:uid="{00000000-0005-0000-0000-000023780000}"/>
    <cellStyle name="Note 2 6 4 3" xfId="7967" xr:uid="{00000000-0005-0000-0000-000024780000}"/>
    <cellStyle name="Note 2 6 4 3 2" xfId="16564" xr:uid="{00000000-0005-0000-0000-000025780000}"/>
    <cellStyle name="Note 2 6 4 3 2 2" xfId="29971" xr:uid="{00000000-0005-0000-0000-000026780000}"/>
    <cellStyle name="Note 2 6 4 3 3" xfId="32228" xr:uid="{00000000-0005-0000-0000-000027780000}"/>
    <cellStyle name="Note 2 6 4 4" xfId="10299" xr:uid="{00000000-0005-0000-0000-000028780000}"/>
    <cellStyle name="Note 2 6 4 5" xfId="32226" xr:uid="{00000000-0005-0000-0000-000029780000}"/>
    <cellStyle name="Note 2 6 5" xfId="7968" xr:uid="{00000000-0005-0000-0000-00002A780000}"/>
    <cellStyle name="Note 2 6 5 2" xfId="7969" xr:uid="{00000000-0005-0000-0000-00002B780000}"/>
    <cellStyle name="Note 2 6 5 2 2" xfId="13315" xr:uid="{00000000-0005-0000-0000-00002C780000}"/>
    <cellStyle name="Note 2 6 5 2 3" xfId="32230" xr:uid="{00000000-0005-0000-0000-00002D780000}"/>
    <cellStyle name="Note 2 6 5 3" xfId="11939" xr:uid="{00000000-0005-0000-0000-00002E780000}"/>
    <cellStyle name="Note 2 6 5 3 2" xfId="25654" xr:uid="{00000000-0005-0000-0000-00002F780000}"/>
    <cellStyle name="Note 2 6 5 4" xfId="32229" xr:uid="{00000000-0005-0000-0000-000030780000}"/>
    <cellStyle name="Note 2 6 6" xfId="7970" xr:uid="{00000000-0005-0000-0000-000031780000}"/>
    <cellStyle name="Note 2 6 6 2" xfId="7971" xr:uid="{00000000-0005-0000-0000-000032780000}"/>
    <cellStyle name="Note 2 6 6 2 2" xfId="15750" xr:uid="{00000000-0005-0000-0000-000033780000}"/>
    <cellStyle name="Note 2 6 6 2 3" xfId="32232" xr:uid="{00000000-0005-0000-0000-000034780000}"/>
    <cellStyle name="Note 2 6 6 3" xfId="13516" xr:uid="{00000000-0005-0000-0000-000035780000}"/>
    <cellStyle name="Note 2 6 6 3 2" xfId="27065" xr:uid="{00000000-0005-0000-0000-000036780000}"/>
    <cellStyle name="Note 2 6 6 4" xfId="32231" xr:uid="{00000000-0005-0000-0000-000037780000}"/>
    <cellStyle name="Note 2 6 7" xfId="7972" xr:uid="{00000000-0005-0000-0000-000038780000}"/>
    <cellStyle name="Note 2 6 7 2" xfId="14097" xr:uid="{00000000-0005-0000-0000-000039780000}"/>
    <cellStyle name="Note 2 6 7 2 2" xfId="27646" xr:uid="{00000000-0005-0000-0000-00003A780000}"/>
    <cellStyle name="Note 2 6 7 3" xfId="32233" xr:uid="{00000000-0005-0000-0000-00003B780000}"/>
    <cellStyle name="Note 2 6 8" xfId="7973" xr:uid="{00000000-0005-0000-0000-00003C780000}"/>
    <cellStyle name="Note 2 6 8 2" xfId="15983" xr:uid="{00000000-0005-0000-0000-00003D780000}"/>
    <cellStyle name="Note 2 6 8 2 2" xfId="29390" xr:uid="{00000000-0005-0000-0000-00003E780000}"/>
    <cellStyle name="Note 2 6 8 3" xfId="32234" xr:uid="{00000000-0005-0000-0000-00003F780000}"/>
    <cellStyle name="Note 2 6 9" xfId="10292" xr:uid="{00000000-0005-0000-0000-000040780000}"/>
    <cellStyle name="Note 2 7" xfId="7974" xr:uid="{00000000-0005-0000-0000-000041780000}"/>
    <cellStyle name="Note 2 7 2" xfId="7975" xr:uid="{00000000-0005-0000-0000-000042780000}"/>
    <cellStyle name="Note 2 7 2 2" xfId="7976" xr:uid="{00000000-0005-0000-0000-000043780000}"/>
    <cellStyle name="Note 2 7 2 2 2" xfId="7977" xr:uid="{00000000-0005-0000-0000-000044780000}"/>
    <cellStyle name="Note 2 7 2 2 2 2" xfId="11637" xr:uid="{00000000-0005-0000-0000-000045780000}"/>
    <cellStyle name="Note 2 7 2 2 2 3" xfId="32238" xr:uid="{00000000-0005-0000-0000-000046780000}"/>
    <cellStyle name="Note 2 7 2 2 3" xfId="7978" xr:uid="{00000000-0005-0000-0000-000047780000}"/>
    <cellStyle name="Note 2 7 2 2 3 2" xfId="16873" xr:uid="{00000000-0005-0000-0000-000048780000}"/>
    <cellStyle name="Note 2 7 2 2 3 2 2" xfId="30280" xr:uid="{00000000-0005-0000-0000-000049780000}"/>
    <cellStyle name="Note 2 7 2 2 3 3" xfId="32239" xr:uid="{00000000-0005-0000-0000-00004A780000}"/>
    <cellStyle name="Note 2 7 2 2 4" xfId="10302" xr:uid="{00000000-0005-0000-0000-00004B780000}"/>
    <cellStyle name="Note 2 7 2 2 5" xfId="32237" xr:uid="{00000000-0005-0000-0000-00004C780000}"/>
    <cellStyle name="Note 2 7 2 3" xfId="7979" xr:uid="{00000000-0005-0000-0000-00004D780000}"/>
    <cellStyle name="Note 2 7 2 3 2" xfId="7980" xr:uid="{00000000-0005-0000-0000-00004E780000}"/>
    <cellStyle name="Note 2 7 2 3 2 2" xfId="13316" xr:uid="{00000000-0005-0000-0000-00004F780000}"/>
    <cellStyle name="Note 2 7 2 3 2 3" xfId="32241" xr:uid="{00000000-0005-0000-0000-000050780000}"/>
    <cellStyle name="Note 2 7 2 3 3" xfId="12261" xr:uid="{00000000-0005-0000-0000-000051780000}"/>
    <cellStyle name="Note 2 7 2 3 3 2" xfId="25973" xr:uid="{00000000-0005-0000-0000-000052780000}"/>
    <cellStyle name="Note 2 7 2 3 4" xfId="32240" xr:uid="{00000000-0005-0000-0000-000053780000}"/>
    <cellStyle name="Note 2 7 2 4" xfId="7981" xr:uid="{00000000-0005-0000-0000-000054780000}"/>
    <cellStyle name="Note 2 7 2 4 2" xfId="7982" xr:uid="{00000000-0005-0000-0000-000055780000}"/>
    <cellStyle name="Note 2 7 2 4 2 2" xfId="15751" xr:uid="{00000000-0005-0000-0000-000056780000}"/>
    <cellStyle name="Note 2 7 2 4 2 3" xfId="32243" xr:uid="{00000000-0005-0000-0000-000057780000}"/>
    <cellStyle name="Note 2 7 2 4 3" xfId="13825" xr:uid="{00000000-0005-0000-0000-000058780000}"/>
    <cellStyle name="Note 2 7 2 4 3 2" xfId="27374" xr:uid="{00000000-0005-0000-0000-000059780000}"/>
    <cellStyle name="Note 2 7 2 4 4" xfId="32242" xr:uid="{00000000-0005-0000-0000-00005A780000}"/>
    <cellStyle name="Note 2 7 2 5" xfId="7983" xr:uid="{00000000-0005-0000-0000-00005B780000}"/>
    <cellStyle name="Note 2 7 2 5 2" xfId="14406" xr:uid="{00000000-0005-0000-0000-00005C780000}"/>
    <cellStyle name="Note 2 7 2 5 2 2" xfId="27955" xr:uid="{00000000-0005-0000-0000-00005D780000}"/>
    <cellStyle name="Note 2 7 2 5 3" xfId="32244" xr:uid="{00000000-0005-0000-0000-00005E780000}"/>
    <cellStyle name="Note 2 7 2 6" xfId="7984" xr:uid="{00000000-0005-0000-0000-00005F780000}"/>
    <cellStyle name="Note 2 7 2 6 2" xfId="16292" xr:uid="{00000000-0005-0000-0000-000060780000}"/>
    <cellStyle name="Note 2 7 2 6 2 2" xfId="29699" xr:uid="{00000000-0005-0000-0000-000061780000}"/>
    <cellStyle name="Note 2 7 2 6 3" xfId="32245" xr:uid="{00000000-0005-0000-0000-000062780000}"/>
    <cellStyle name="Note 2 7 2 7" xfId="10301" xr:uid="{00000000-0005-0000-0000-000063780000}"/>
    <cellStyle name="Note 2 7 2 8" xfId="32236" xr:uid="{00000000-0005-0000-0000-000064780000}"/>
    <cellStyle name="Note 2 7 3" xfId="7985" xr:uid="{00000000-0005-0000-0000-000065780000}"/>
    <cellStyle name="Note 2 7 3 2" xfId="7986" xr:uid="{00000000-0005-0000-0000-000066780000}"/>
    <cellStyle name="Note 2 7 3 2 2" xfId="11638" xr:uid="{00000000-0005-0000-0000-000067780000}"/>
    <cellStyle name="Note 2 7 3 2 3" xfId="32247" xr:uid="{00000000-0005-0000-0000-000068780000}"/>
    <cellStyle name="Note 2 7 3 3" xfId="7987" xr:uid="{00000000-0005-0000-0000-000069780000}"/>
    <cellStyle name="Note 2 7 3 3 2" xfId="16584" xr:uid="{00000000-0005-0000-0000-00006A780000}"/>
    <cellStyle name="Note 2 7 3 3 2 2" xfId="29991" xr:uid="{00000000-0005-0000-0000-00006B780000}"/>
    <cellStyle name="Note 2 7 3 3 3" xfId="32248" xr:uid="{00000000-0005-0000-0000-00006C780000}"/>
    <cellStyle name="Note 2 7 3 4" xfId="10303" xr:uid="{00000000-0005-0000-0000-00006D780000}"/>
    <cellStyle name="Note 2 7 3 5" xfId="32246" xr:uid="{00000000-0005-0000-0000-00006E780000}"/>
    <cellStyle name="Note 2 7 4" xfId="7988" xr:uid="{00000000-0005-0000-0000-00006F780000}"/>
    <cellStyle name="Note 2 7 4 2" xfId="7989" xr:uid="{00000000-0005-0000-0000-000070780000}"/>
    <cellStyle name="Note 2 7 4 2 2" xfId="13317" xr:uid="{00000000-0005-0000-0000-000071780000}"/>
    <cellStyle name="Note 2 7 4 2 3" xfId="32250" xr:uid="{00000000-0005-0000-0000-000072780000}"/>
    <cellStyle name="Note 2 7 4 3" xfId="11961" xr:uid="{00000000-0005-0000-0000-000073780000}"/>
    <cellStyle name="Note 2 7 4 3 2" xfId="25676" xr:uid="{00000000-0005-0000-0000-000074780000}"/>
    <cellStyle name="Note 2 7 4 4" xfId="32249" xr:uid="{00000000-0005-0000-0000-000075780000}"/>
    <cellStyle name="Note 2 7 5" xfId="7990" xr:uid="{00000000-0005-0000-0000-000076780000}"/>
    <cellStyle name="Note 2 7 5 2" xfId="7991" xr:uid="{00000000-0005-0000-0000-000077780000}"/>
    <cellStyle name="Note 2 7 5 2 2" xfId="15752" xr:uid="{00000000-0005-0000-0000-000078780000}"/>
    <cellStyle name="Note 2 7 5 2 3" xfId="32252" xr:uid="{00000000-0005-0000-0000-000079780000}"/>
    <cellStyle name="Note 2 7 5 3" xfId="13536" xr:uid="{00000000-0005-0000-0000-00007A780000}"/>
    <cellStyle name="Note 2 7 5 3 2" xfId="27085" xr:uid="{00000000-0005-0000-0000-00007B780000}"/>
    <cellStyle name="Note 2 7 5 4" xfId="32251" xr:uid="{00000000-0005-0000-0000-00007C780000}"/>
    <cellStyle name="Note 2 7 6" xfId="7992" xr:uid="{00000000-0005-0000-0000-00007D780000}"/>
    <cellStyle name="Note 2 7 6 2" xfId="14117" xr:uid="{00000000-0005-0000-0000-00007E780000}"/>
    <cellStyle name="Note 2 7 6 2 2" xfId="27666" xr:uid="{00000000-0005-0000-0000-00007F780000}"/>
    <cellStyle name="Note 2 7 6 3" xfId="32253" xr:uid="{00000000-0005-0000-0000-000080780000}"/>
    <cellStyle name="Note 2 7 7" xfId="7993" xr:uid="{00000000-0005-0000-0000-000081780000}"/>
    <cellStyle name="Note 2 7 7 2" xfId="16003" xr:uid="{00000000-0005-0000-0000-000082780000}"/>
    <cellStyle name="Note 2 7 7 2 2" xfId="29410" xr:uid="{00000000-0005-0000-0000-000083780000}"/>
    <cellStyle name="Note 2 7 7 3" xfId="32254" xr:uid="{00000000-0005-0000-0000-000084780000}"/>
    <cellStyle name="Note 2 7 8" xfId="10300" xr:uid="{00000000-0005-0000-0000-000085780000}"/>
    <cellStyle name="Note 2 7 9" xfId="32235" xr:uid="{00000000-0005-0000-0000-000086780000}"/>
    <cellStyle name="Note 2 8" xfId="7994" xr:uid="{00000000-0005-0000-0000-000087780000}"/>
    <cellStyle name="Note 2 8 2" xfId="7995" xr:uid="{00000000-0005-0000-0000-000088780000}"/>
    <cellStyle name="Note 2 8 2 2" xfId="7996" xr:uid="{00000000-0005-0000-0000-000089780000}"/>
    <cellStyle name="Note 2 8 2 2 2" xfId="11639" xr:uid="{00000000-0005-0000-0000-00008A780000}"/>
    <cellStyle name="Note 2 8 2 2 3" xfId="32257" xr:uid="{00000000-0005-0000-0000-00008B780000}"/>
    <cellStyle name="Note 2 8 2 3" xfId="7997" xr:uid="{00000000-0005-0000-0000-00008C780000}"/>
    <cellStyle name="Note 2 8 2 3 2" xfId="16729" xr:uid="{00000000-0005-0000-0000-00008D780000}"/>
    <cellStyle name="Note 2 8 2 3 2 2" xfId="30136" xr:uid="{00000000-0005-0000-0000-00008E780000}"/>
    <cellStyle name="Note 2 8 2 3 3" xfId="32258" xr:uid="{00000000-0005-0000-0000-00008F780000}"/>
    <cellStyle name="Note 2 8 2 4" xfId="10305" xr:uid="{00000000-0005-0000-0000-000090780000}"/>
    <cellStyle name="Note 2 8 2 5" xfId="32256" xr:uid="{00000000-0005-0000-0000-000091780000}"/>
    <cellStyle name="Note 2 8 3" xfId="7998" xr:uid="{00000000-0005-0000-0000-000092780000}"/>
    <cellStyle name="Note 2 8 3 2" xfId="7999" xr:uid="{00000000-0005-0000-0000-000093780000}"/>
    <cellStyle name="Note 2 8 3 2 2" xfId="13318" xr:uid="{00000000-0005-0000-0000-000094780000}"/>
    <cellStyle name="Note 2 8 3 2 3" xfId="32260" xr:uid="{00000000-0005-0000-0000-000095780000}"/>
    <cellStyle name="Note 2 8 3 3" xfId="12117" xr:uid="{00000000-0005-0000-0000-000096780000}"/>
    <cellStyle name="Note 2 8 3 3 2" xfId="25829" xr:uid="{00000000-0005-0000-0000-000097780000}"/>
    <cellStyle name="Note 2 8 3 4" xfId="32259" xr:uid="{00000000-0005-0000-0000-000098780000}"/>
    <cellStyle name="Note 2 8 4" xfId="8000" xr:uid="{00000000-0005-0000-0000-000099780000}"/>
    <cellStyle name="Note 2 8 4 2" xfId="8001" xr:uid="{00000000-0005-0000-0000-00009A780000}"/>
    <cellStyle name="Note 2 8 4 2 2" xfId="15753" xr:uid="{00000000-0005-0000-0000-00009B780000}"/>
    <cellStyle name="Note 2 8 4 2 3" xfId="32262" xr:uid="{00000000-0005-0000-0000-00009C780000}"/>
    <cellStyle name="Note 2 8 4 3" xfId="13681" xr:uid="{00000000-0005-0000-0000-00009D780000}"/>
    <cellStyle name="Note 2 8 4 3 2" xfId="27230" xr:uid="{00000000-0005-0000-0000-00009E780000}"/>
    <cellStyle name="Note 2 8 4 4" xfId="32261" xr:uid="{00000000-0005-0000-0000-00009F780000}"/>
    <cellStyle name="Note 2 8 5" xfId="8002" xr:uid="{00000000-0005-0000-0000-0000A0780000}"/>
    <cellStyle name="Note 2 8 5 2" xfId="14262" xr:uid="{00000000-0005-0000-0000-0000A1780000}"/>
    <cellStyle name="Note 2 8 5 2 2" xfId="27811" xr:uid="{00000000-0005-0000-0000-0000A2780000}"/>
    <cellStyle name="Note 2 8 5 3" xfId="32263" xr:uid="{00000000-0005-0000-0000-0000A3780000}"/>
    <cellStyle name="Note 2 8 6" xfId="8003" xr:uid="{00000000-0005-0000-0000-0000A4780000}"/>
    <cellStyle name="Note 2 8 6 2" xfId="16148" xr:uid="{00000000-0005-0000-0000-0000A5780000}"/>
    <cellStyle name="Note 2 8 6 2 2" xfId="29555" xr:uid="{00000000-0005-0000-0000-0000A6780000}"/>
    <cellStyle name="Note 2 8 6 3" xfId="32264" xr:uid="{00000000-0005-0000-0000-0000A7780000}"/>
    <cellStyle name="Note 2 8 7" xfId="10304" xr:uid="{00000000-0005-0000-0000-0000A8780000}"/>
    <cellStyle name="Note 2 8 8" xfId="32255" xr:uid="{00000000-0005-0000-0000-0000A9780000}"/>
    <cellStyle name="Note 2 9" xfId="8004" xr:uid="{00000000-0005-0000-0000-0000AA780000}"/>
    <cellStyle name="Note 2 9 2" xfId="8005" xr:uid="{00000000-0005-0000-0000-0000AB780000}"/>
    <cellStyle name="Note 2 9 2 2" xfId="13319" xr:uid="{00000000-0005-0000-0000-0000AC780000}"/>
    <cellStyle name="Note 2 9 2 3" xfId="32266" xr:uid="{00000000-0005-0000-0000-0000AD780000}"/>
    <cellStyle name="Note 2 9 3" xfId="8006" xr:uid="{00000000-0005-0000-0000-0000AE780000}"/>
    <cellStyle name="Note 2 9 3 2" xfId="17052" xr:uid="{00000000-0005-0000-0000-0000AF780000}"/>
    <cellStyle name="Note 2 9 3 2 2" xfId="30451" xr:uid="{00000000-0005-0000-0000-0000B0780000}"/>
    <cellStyle name="Note 2 9 3 3" xfId="32267" xr:uid="{00000000-0005-0000-0000-0000B1780000}"/>
    <cellStyle name="Note 2 9 4" xfId="10306" xr:uid="{00000000-0005-0000-0000-0000B2780000}"/>
    <cellStyle name="Note 2 9 5" xfId="32265" xr:uid="{00000000-0005-0000-0000-0000B3780000}"/>
    <cellStyle name="Note 3" xfId="8007" xr:uid="{00000000-0005-0000-0000-0000B4780000}"/>
    <cellStyle name="Note 3 10" xfId="10307" xr:uid="{00000000-0005-0000-0000-0000B5780000}"/>
    <cellStyle name="Note 3 11" xfId="32268" xr:uid="{00000000-0005-0000-0000-0000B6780000}"/>
    <cellStyle name="Note 3 2" xfId="8008" xr:uid="{00000000-0005-0000-0000-0000B7780000}"/>
    <cellStyle name="Note 3 2 10" xfId="32269" xr:uid="{00000000-0005-0000-0000-0000B8780000}"/>
    <cellStyle name="Note 3 2 2" xfId="8009" xr:uid="{00000000-0005-0000-0000-0000B9780000}"/>
    <cellStyle name="Note 3 2 2 2" xfId="8010" xr:uid="{00000000-0005-0000-0000-0000BA780000}"/>
    <cellStyle name="Note 3 2 2 2 2" xfId="8011" xr:uid="{00000000-0005-0000-0000-0000BB780000}"/>
    <cellStyle name="Note 3 2 2 2 2 2" xfId="8012" xr:uid="{00000000-0005-0000-0000-0000BC780000}"/>
    <cellStyle name="Note 3 2 2 2 2 2 2" xfId="11640" xr:uid="{00000000-0005-0000-0000-0000BD780000}"/>
    <cellStyle name="Note 3 2 2 2 2 2 3" xfId="32273" xr:uid="{00000000-0005-0000-0000-0000BE780000}"/>
    <cellStyle name="Note 3 2 2 2 2 3" xfId="8013" xr:uid="{00000000-0005-0000-0000-0000BF780000}"/>
    <cellStyle name="Note 3 2 2 2 2 3 2" xfId="16960" xr:uid="{00000000-0005-0000-0000-0000C0780000}"/>
    <cellStyle name="Note 3 2 2 2 2 3 2 2" xfId="30367" xr:uid="{00000000-0005-0000-0000-0000C1780000}"/>
    <cellStyle name="Note 3 2 2 2 2 3 3" xfId="32274" xr:uid="{00000000-0005-0000-0000-0000C2780000}"/>
    <cellStyle name="Note 3 2 2 2 2 4" xfId="10311" xr:uid="{00000000-0005-0000-0000-0000C3780000}"/>
    <cellStyle name="Note 3 2 2 2 2 5" xfId="32272" xr:uid="{00000000-0005-0000-0000-0000C4780000}"/>
    <cellStyle name="Note 3 2 2 2 3" xfId="8014" xr:uid="{00000000-0005-0000-0000-0000C5780000}"/>
    <cellStyle name="Note 3 2 2 2 3 2" xfId="8015" xr:uid="{00000000-0005-0000-0000-0000C6780000}"/>
    <cellStyle name="Note 3 2 2 2 3 2 2" xfId="13320" xr:uid="{00000000-0005-0000-0000-0000C7780000}"/>
    <cellStyle name="Note 3 2 2 2 3 2 3" xfId="32276" xr:uid="{00000000-0005-0000-0000-0000C8780000}"/>
    <cellStyle name="Note 3 2 2 2 3 3" xfId="12348" xr:uid="{00000000-0005-0000-0000-0000C9780000}"/>
    <cellStyle name="Note 3 2 2 2 3 3 2" xfId="26060" xr:uid="{00000000-0005-0000-0000-0000CA780000}"/>
    <cellStyle name="Note 3 2 2 2 3 4" xfId="32275" xr:uid="{00000000-0005-0000-0000-0000CB780000}"/>
    <cellStyle name="Note 3 2 2 2 4" xfId="8016" xr:uid="{00000000-0005-0000-0000-0000CC780000}"/>
    <cellStyle name="Note 3 2 2 2 4 2" xfId="8017" xr:uid="{00000000-0005-0000-0000-0000CD780000}"/>
    <cellStyle name="Note 3 2 2 2 4 2 2" xfId="15754" xr:uid="{00000000-0005-0000-0000-0000CE780000}"/>
    <cellStyle name="Note 3 2 2 2 4 2 3" xfId="32278" xr:uid="{00000000-0005-0000-0000-0000CF780000}"/>
    <cellStyle name="Note 3 2 2 2 4 3" xfId="13912" xr:uid="{00000000-0005-0000-0000-0000D0780000}"/>
    <cellStyle name="Note 3 2 2 2 4 3 2" xfId="27461" xr:uid="{00000000-0005-0000-0000-0000D1780000}"/>
    <cellStyle name="Note 3 2 2 2 4 4" xfId="32277" xr:uid="{00000000-0005-0000-0000-0000D2780000}"/>
    <cellStyle name="Note 3 2 2 2 5" xfId="8018" xr:uid="{00000000-0005-0000-0000-0000D3780000}"/>
    <cellStyle name="Note 3 2 2 2 5 2" xfId="14493" xr:uid="{00000000-0005-0000-0000-0000D4780000}"/>
    <cellStyle name="Note 3 2 2 2 5 2 2" xfId="28042" xr:uid="{00000000-0005-0000-0000-0000D5780000}"/>
    <cellStyle name="Note 3 2 2 2 5 3" xfId="32279" xr:uid="{00000000-0005-0000-0000-0000D6780000}"/>
    <cellStyle name="Note 3 2 2 2 6" xfId="8019" xr:uid="{00000000-0005-0000-0000-0000D7780000}"/>
    <cellStyle name="Note 3 2 2 2 6 2" xfId="16379" xr:uid="{00000000-0005-0000-0000-0000D8780000}"/>
    <cellStyle name="Note 3 2 2 2 6 2 2" xfId="29786" xr:uid="{00000000-0005-0000-0000-0000D9780000}"/>
    <cellStyle name="Note 3 2 2 2 6 3" xfId="32280" xr:uid="{00000000-0005-0000-0000-0000DA780000}"/>
    <cellStyle name="Note 3 2 2 2 7" xfId="10310" xr:uid="{00000000-0005-0000-0000-0000DB780000}"/>
    <cellStyle name="Note 3 2 2 2 8" xfId="32271" xr:uid="{00000000-0005-0000-0000-0000DC780000}"/>
    <cellStyle name="Note 3 2 2 3" xfId="8020" xr:uid="{00000000-0005-0000-0000-0000DD780000}"/>
    <cellStyle name="Note 3 2 2 3 2" xfId="8021" xr:uid="{00000000-0005-0000-0000-0000DE780000}"/>
    <cellStyle name="Note 3 2 2 3 2 2" xfId="11641" xr:uid="{00000000-0005-0000-0000-0000DF780000}"/>
    <cellStyle name="Note 3 2 2 3 2 3" xfId="32282" xr:uid="{00000000-0005-0000-0000-0000E0780000}"/>
    <cellStyle name="Note 3 2 2 3 3" xfId="8022" xr:uid="{00000000-0005-0000-0000-0000E1780000}"/>
    <cellStyle name="Note 3 2 2 3 3 2" xfId="16671" xr:uid="{00000000-0005-0000-0000-0000E2780000}"/>
    <cellStyle name="Note 3 2 2 3 3 2 2" xfId="30078" xr:uid="{00000000-0005-0000-0000-0000E3780000}"/>
    <cellStyle name="Note 3 2 2 3 3 3" xfId="32283" xr:uid="{00000000-0005-0000-0000-0000E4780000}"/>
    <cellStyle name="Note 3 2 2 3 4" xfId="10312" xr:uid="{00000000-0005-0000-0000-0000E5780000}"/>
    <cellStyle name="Note 3 2 2 3 5" xfId="32281" xr:uid="{00000000-0005-0000-0000-0000E6780000}"/>
    <cellStyle name="Note 3 2 2 4" xfId="8023" xr:uid="{00000000-0005-0000-0000-0000E7780000}"/>
    <cellStyle name="Note 3 2 2 4 2" xfId="8024" xr:uid="{00000000-0005-0000-0000-0000E8780000}"/>
    <cellStyle name="Note 3 2 2 4 2 2" xfId="13321" xr:uid="{00000000-0005-0000-0000-0000E9780000}"/>
    <cellStyle name="Note 3 2 2 4 2 3" xfId="32285" xr:uid="{00000000-0005-0000-0000-0000EA780000}"/>
    <cellStyle name="Note 3 2 2 4 3" xfId="12048" xr:uid="{00000000-0005-0000-0000-0000EB780000}"/>
    <cellStyle name="Note 3 2 2 4 3 2" xfId="25763" xr:uid="{00000000-0005-0000-0000-0000EC780000}"/>
    <cellStyle name="Note 3 2 2 4 4" xfId="32284" xr:uid="{00000000-0005-0000-0000-0000ED780000}"/>
    <cellStyle name="Note 3 2 2 5" xfId="8025" xr:uid="{00000000-0005-0000-0000-0000EE780000}"/>
    <cellStyle name="Note 3 2 2 5 2" xfId="8026" xr:uid="{00000000-0005-0000-0000-0000EF780000}"/>
    <cellStyle name="Note 3 2 2 5 2 2" xfId="15755" xr:uid="{00000000-0005-0000-0000-0000F0780000}"/>
    <cellStyle name="Note 3 2 2 5 2 3" xfId="32287" xr:uid="{00000000-0005-0000-0000-0000F1780000}"/>
    <cellStyle name="Note 3 2 2 5 3" xfId="13623" xr:uid="{00000000-0005-0000-0000-0000F2780000}"/>
    <cellStyle name="Note 3 2 2 5 3 2" xfId="27172" xr:uid="{00000000-0005-0000-0000-0000F3780000}"/>
    <cellStyle name="Note 3 2 2 5 4" xfId="32286" xr:uid="{00000000-0005-0000-0000-0000F4780000}"/>
    <cellStyle name="Note 3 2 2 6" xfId="8027" xr:uid="{00000000-0005-0000-0000-0000F5780000}"/>
    <cellStyle name="Note 3 2 2 6 2" xfId="14204" xr:uid="{00000000-0005-0000-0000-0000F6780000}"/>
    <cellStyle name="Note 3 2 2 6 2 2" xfId="27753" xr:uid="{00000000-0005-0000-0000-0000F7780000}"/>
    <cellStyle name="Note 3 2 2 6 3" xfId="32288" xr:uid="{00000000-0005-0000-0000-0000F8780000}"/>
    <cellStyle name="Note 3 2 2 7" xfId="8028" xr:uid="{00000000-0005-0000-0000-0000F9780000}"/>
    <cellStyle name="Note 3 2 2 7 2" xfId="16090" xr:uid="{00000000-0005-0000-0000-0000FA780000}"/>
    <cellStyle name="Note 3 2 2 7 2 2" xfId="29497" xr:uid="{00000000-0005-0000-0000-0000FB780000}"/>
    <cellStyle name="Note 3 2 2 7 3" xfId="32289" xr:uid="{00000000-0005-0000-0000-0000FC780000}"/>
    <cellStyle name="Note 3 2 2 8" xfId="10309" xr:uid="{00000000-0005-0000-0000-0000FD780000}"/>
    <cellStyle name="Note 3 2 2 9" xfId="32270" xr:uid="{00000000-0005-0000-0000-0000FE780000}"/>
    <cellStyle name="Note 3 2 3" xfId="8029" xr:uid="{00000000-0005-0000-0000-0000FF780000}"/>
    <cellStyle name="Note 3 2 3 2" xfId="8030" xr:uid="{00000000-0005-0000-0000-000000790000}"/>
    <cellStyle name="Note 3 2 3 2 2" xfId="8031" xr:uid="{00000000-0005-0000-0000-000001790000}"/>
    <cellStyle name="Note 3 2 3 2 2 2" xfId="11642" xr:uid="{00000000-0005-0000-0000-000002790000}"/>
    <cellStyle name="Note 3 2 3 2 2 3" xfId="32292" xr:uid="{00000000-0005-0000-0000-000003790000}"/>
    <cellStyle name="Note 3 2 3 2 3" xfId="8032" xr:uid="{00000000-0005-0000-0000-000004790000}"/>
    <cellStyle name="Note 3 2 3 2 3 2" xfId="16817" xr:uid="{00000000-0005-0000-0000-000005790000}"/>
    <cellStyle name="Note 3 2 3 2 3 2 2" xfId="30224" xr:uid="{00000000-0005-0000-0000-000006790000}"/>
    <cellStyle name="Note 3 2 3 2 3 3" xfId="32293" xr:uid="{00000000-0005-0000-0000-000007790000}"/>
    <cellStyle name="Note 3 2 3 2 4" xfId="10314" xr:uid="{00000000-0005-0000-0000-000008790000}"/>
    <cellStyle name="Note 3 2 3 2 5" xfId="32291" xr:uid="{00000000-0005-0000-0000-000009790000}"/>
    <cellStyle name="Note 3 2 3 3" xfId="8033" xr:uid="{00000000-0005-0000-0000-00000A790000}"/>
    <cellStyle name="Note 3 2 3 3 2" xfId="8034" xr:uid="{00000000-0005-0000-0000-00000B790000}"/>
    <cellStyle name="Note 3 2 3 3 2 2" xfId="13322" xr:uid="{00000000-0005-0000-0000-00000C790000}"/>
    <cellStyle name="Note 3 2 3 3 2 3" xfId="32295" xr:uid="{00000000-0005-0000-0000-00000D790000}"/>
    <cellStyle name="Note 3 2 3 3 3" xfId="12205" xr:uid="{00000000-0005-0000-0000-00000E790000}"/>
    <cellStyle name="Note 3 2 3 3 3 2" xfId="25917" xr:uid="{00000000-0005-0000-0000-00000F790000}"/>
    <cellStyle name="Note 3 2 3 3 4" xfId="32294" xr:uid="{00000000-0005-0000-0000-000010790000}"/>
    <cellStyle name="Note 3 2 3 4" xfId="8035" xr:uid="{00000000-0005-0000-0000-000011790000}"/>
    <cellStyle name="Note 3 2 3 4 2" xfId="8036" xr:uid="{00000000-0005-0000-0000-000012790000}"/>
    <cellStyle name="Note 3 2 3 4 2 2" xfId="15756" xr:uid="{00000000-0005-0000-0000-000013790000}"/>
    <cellStyle name="Note 3 2 3 4 2 3" xfId="32297" xr:uid="{00000000-0005-0000-0000-000014790000}"/>
    <cellStyle name="Note 3 2 3 4 3" xfId="13769" xr:uid="{00000000-0005-0000-0000-000015790000}"/>
    <cellStyle name="Note 3 2 3 4 3 2" xfId="27318" xr:uid="{00000000-0005-0000-0000-000016790000}"/>
    <cellStyle name="Note 3 2 3 4 4" xfId="32296" xr:uid="{00000000-0005-0000-0000-000017790000}"/>
    <cellStyle name="Note 3 2 3 5" xfId="8037" xr:uid="{00000000-0005-0000-0000-000018790000}"/>
    <cellStyle name="Note 3 2 3 5 2" xfId="14350" xr:uid="{00000000-0005-0000-0000-000019790000}"/>
    <cellStyle name="Note 3 2 3 5 2 2" xfId="27899" xr:uid="{00000000-0005-0000-0000-00001A790000}"/>
    <cellStyle name="Note 3 2 3 5 3" xfId="32298" xr:uid="{00000000-0005-0000-0000-00001B790000}"/>
    <cellStyle name="Note 3 2 3 6" xfId="8038" xr:uid="{00000000-0005-0000-0000-00001C790000}"/>
    <cellStyle name="Note 3 2 3 6 2" xfId="16236" xr:uid="{00000000-0005-0000-0000-00001D790000}"/>
    <cellStyle name="Note 3 2 3 6 2 2" xfId="29643" xr:uid="{00000000-0005-0000-0000-00001E790000}"/>
    <cellStyle name="Note 3 2 3 6 3" xfId="32299" xr:uid="{00000000-0005-0000-0000-00001F790000}"/>
    <cellStyle name="Note 3 2 3 7" xfId="10313" xr:uid="{00000000-0005-0000-0000-000020790000}"/>
    <cellStyle name="Note 3 2 3 8" xfId="32290" xr:uid="{00000000-0005-0000-0000-000021790000}"/>
    <cellStyle name="Note 3 2 4" xfId="8039" xr:uid="{00000000-0005-0000-0000-000022790000}"/>
    <cellStyle name="Note 3 2 4 2" xfId="8040" xr:uid="{00000000-0005-0000-0000-000023790000}"/>
    <cellStyle name="Note 3 2 4 2 2" xfId="11643" xr:uid="{00000000-0005-0000-0000-000024790000}"/>
    <cellStyle name="Note 3 2 4 2 3" xfId="32301" xr:uid="{00000000-0005-0000-0000-000025790000}"/>
    <cellStyle name="Note 3 2 4 3" xfId="8041" xr:uid="{00000000-0005-0000-0000-000026790000}"/>
    <cellStyle name="Note 3 2 4 3 2" xfId="17164" xr:uid="{00000000-0005-0000-0000-000027790000}"/>
    <cellStyle name="Note 3 2 4 3 2 2" xfId="30523" xr:uid="{00000000-0005-0000-0000-000028790000}"/>
    <cellStyle name="Note 3 2 4 3 3" xfId="32302" xr:uid="{00000000-0005-0000-0000-000029790000}"/>
    <cellStyle name="Note 3 2 4 4" xfId="10315" xr:uid="{00000000-0005-0000-0000-00002A790000}"/>
    <cellStyle name="Note 3 2 4 5" xfId="32300" xr:uid="{00000000-0005-0000-0000-00002B790000}"/>
    <cellStyle name="Note 3 2 5" xfId="8042" xr:uid="{00000000-0005-0000-0000-00002C790000}"/>
    <cellStyle name="Note 3 2 5 2" xfId="8043" xr:uid="{00000000-0005-0000-0000-00002D790000}"/>
    <cellStyle name="Note 3 2 5 2 2" xfId="13323" xr:uid="{00000000-0005-0000-0000-00002E790000}"/>
    <cellStyle name="Note 3 2 5 2 3" xfId="32304" xr:uid="{00000000-0005-0000-0000-00002F790000}"/>
    <cellStyle name="Note 3 2 5 3" xfId="8044" xr:uid="{00000000-0005-0000-0000-000030790000}"/>
    <cellStyle name="Note 3 2 5 3 2" xfId="17253" xr:uid="{00000000-0005-0000-0000-000031790000}"/>
    <cellStyle name="Note 3 2 5 3 2 2" xfId="30612" xr:uid="{00000000-0005-0000-0000-000032790000}"/>
    <cellStyle name="Note 3 2 5 3 3" xfId="32305" xr:uid="{00000000-0005-0000-0000-000033790000}"/>
    <cellStyle name="Note 3 2 5 4" xfId="11903" xr:uid="{00000000-0005-0000-0000-000034790000}"/>
    <cellStyle name="Note 3 2 5 4 2" xfId="25618" xr:uid="{00000000-0005-0000-0000-000035790000}"/>
    <cellStyle name="Note 3 2 5 5" xfId="32303" xr:uid="{00000000-0005-0000-0000-000036790000}"/>
    <cellStyle name="Note 3 2 6" xfId="8045" xr:uid="{00000000-0005-0000-0000-000037790000}"/>
    <cellStyle name="Note 3 2 6 2" xfId="8046" xr:uid="{00000000-0005-0000-0000-000038790000}"/>
    <cellStyle name="Note 3 2 6 2 2" xfId="15757" xr:uid="{00000000-0005-0000-0000-000039790000}"/>
    <cellStyle name="Note 3 2 6 2 3" xfId="32307" xr:uid="{00000000-0005-0000-0000-00003A790000}"/>
    <cellStyle name="Note 3 2 6 3" xfId="8047" xr:uid="{00000000-0005-0000-0000-00003B790000}"/>
    <cellStyle name="Note 3 2 6 3 2" xfId="16528" xr:uid="{00000000-0005-0000-0000-00003C790000}"/>
    <cellStyle name="Note 3 2 6 3 2 2" xfId="29935" xr:uid="{00000000-0005-0000-0000-00003D790000}"/>
    <cellStyle name="Note 3 2 6 3 3" xfId="32308" xr:uid="{00000000-0005-0000-0000-00003E790000}"/>
    <cellStyle name="Note 3 2 6 4" xfId="13480" xr:uid="{00000000-0005-0000-0000-00003F790000}"/>
    <cellStyle name="Note 3 2 6 4 2" xfId="27029" xr:uid="{00000000-0005-0000-0000-000040790000}"/>
    <cellStyle name="Note 3 2 6 5" xfId="32306" xr:uid="{00000000-0005-0000-0000-000041790000}"/>
    <cellStyle name="Note 3 2 7" xfId="8048" xr:uid="{00000000-0005-0000-0000-000042790000}"/>
    <cellStyle name="Note 3 2 7 2" xfId="14061" xr:uid="{00000000-0005-0000-0000-000043790000}"/>
    <cellStyle name="Note 3 2 7 2 2" xfId="27610" xr:uid="{00000000-0005-0000-0000-000044790000}"/>
    <cellStyle name="Note 3 2 7 3" xfId="32309" xr:uid="{00000000-0005-0000-0000-000045790000}"/>
    <cellStyle name="Note 3 2 8" xfId="8049" xr:uid="{00000000-0005-0000-0000-000046790000}"/>
    <cellStyle name="Note 3 2 8 2" xfId="15947" xr:uid="{00000000-0005-0000-0000-000047790000}"/>
    <cellStyle name="Note 3 2 8 2 2" xfId="29354" xr:uid="{00000000-0005-0000-0000-000048790000}"/>
    <cellStyle name="Note 3 2 8 3" xfId="32310" xr:uid="{00000000-0005-0000-0000-000049790000}"/>
    <cellStyle name="Note 3 2 9" xfId="10308" xr:uid="{00000000-0005-0000-0000-00004A790000}"/>
    <cellStyle name="Note 3 3" xfId="8050" xr:uid="{00000000-0005-0000-0000-00004B790000}"/>
    <cellStyle name="Note 3 3 2" xfId="8051" xr:uid="{00000000-0005-0000-0000-00004C790000}"/>
    <cellStyle name="Note 3 3 2 2" xfId="8052" xr:uid="{00000000-0005-0000-0000-00004D790000}"/>
    <cellStyle name="Note 3 3 2 2 2" xfId="8053" xr:uid="{00000000-0005-0000-0000-00004E790000}"/>
    <cellStyle name="Note 3 3 2 2 2 2" xfId="11644" xr:uid="{00000000-0005-0000-0000-00004F790000}"/>
    <cellStyle name="Note 3 3 2 2 2 3" xfId="32314" xr:uid="{00000000-0005-0000-0000-000050790000}"/>
    <cellStyle name="Note 3 3 2 2 3" xfId="8054" xr:uid="{00000000-0005-0000-0000-000051790000}"/>
    <cellStyle name="Note 3 3 2 2 3 2" xfId="16914" xr:uid="{00000000-0005-0000-0000-000052790000}"/>
    <cellStyle name="Note 3 3 2 2 3 2 2" xfId="30321" xr:uid="{00000000-0005-0000-0000-000053790000}"/>
    <cellStyle name="Note 3 3 2 2 3 3" xfId="32315" xr:uid="{00000000-0005-0000-0000-000054790000}"/>
    <cellStyle name="Note 3 3 2 2 4" xfId="10318" xr:uid="{00000000-0005-0000-0000-000055790000}"/>
    <cellStyle name="Note 3 3 2 2 5" xfId="32313" xr:uid="{00000000-0005-0000-0000-000056790000}"/>
    <cellStyle name="Note 3 3 2 3" xfId="8055" xr:uid="{00000000-0005-0000-0000-000057790000}"/>
    <cellStyle name="Note 3 3 2 3 2" xfId="8056" xr:uid="{00000000-0005-0000-0000-000058790000}"/>
    <cellStyle name="Note 3 3 2 3 2 2" xfId="13324" xr:uid="{00000000-0005-0000-0000-000059790000}"/>
    <cellStyle name="Note 3 3 2 3 2 3" xfId="32317" xr:uid="{00000000-0005-0000-0000-00005A790000}"/>
    <cellStyle name="Note 3 3 2 3 3" xfId="12302" xr:uid="{00000000-0005-0000-0000-00005B790000}"/>
    <cellStyle name="Note 3 3 2 3 3 2" xfId="26014" xr:uid="{00000000-0005-0000-0000-00005C790000}"/>
    <cellStyle name="Note 3 3 2 3 4" xfId="32316" xr:uid="{00000000-0005-0000-0000-00005D790000}"/>
    <cellStyle name="Note 3 3 2 4" xfId="8057" xr:uid="{00000000-0005-0000-0000-00005E790000}"/>
    <cellStyle name="Note 3 3 2 4 2" xfId="8058" xr:uid="{00000000-0005-0000-0000-00005F790000}"/>
    <cellStyle name="Note 3 3 2 4 2 2" xfId="15758" xr:uid="{00000000-0005-0000-0000-000060790000}"/>
    <cellStyle name="Note 3 3 2 4 2 3" xfId="32319" xr:uid="{00000000-0005-0000-0000-000061790000}"/>
    <cellStyle name="Note 3 3 2 4 3" xfId="13866" xr:uid="{00000000-0005-0000-0000-000062790000}"/>
    <cellStyle name="Note 3 3 2 4 3 2" xfId="27415" xr:uid="{00000000-0005-0000-0000-000063790000}"/>
    <cellStyle name="Note 3 3 2 4 4" xfId="32318" xr:uid="{00000000-0005-0000-0000-000064790000}"/>
    <cellStyle name="Note 3 3 2 5" xfId="8059" xr:uid="{00000000-0005-0000-0000-000065790000}"/>
    <cellStyle name="Note 3 3 2 5 2" xfId="14447" xr:uid="{00000000-0005-0000-0000-000066790000}"/>
    <cellStyle name="Note 3 3 2 5 2 2" xfId="27996" xr:uid="{00000000-0005-0000-0000-000067790000}"/>
    <cellStyle name="Note 3 3 2 5 3" xfId="32320" xr:uid="{00000000-0005-0000-0000-000068790000}"/>
    <cellStyle name="Note 3 3 2 6" xfId="8060" xr:uid="{00000000-0005-0000-0000-000069790000}"/>
    <cellStyle name="Note 3 3 2 6 2" xfId="16333" xr:uid="{00000000-0005-0000-0000-00006A790000}"/>
    <cellStyle name="Note 3 3 2 6 2 2" xfId="29740" xr:uid="{00000000-0005-0000-0000-00006B790000}"/>
    <cellStyle name="Note 3 3 2 6 3" xfId="32321" xr:uid="{00000000-0005-0000-0000-00006C790000}"/>
    <cellStyle name="Note 3 3 2 7" xfId="10317" xr:uid="{00000000-0005-0000-0000-00006D790000}"/>
    <cellStyle name="Note 3 3 2 8" xfId="32312" xr:uid="{00000000-0005-0000-0000-00006E790000}"/>
    <cellStyle name="Note 3 3 3" xfId="8061" xr:uid="{00000000-0005-0000-0000-00006F790000}"/>
    <cellStyle name="Note 3 3 3 2" xfId="8062" xr:uid="{00000000-0005-0000-0000-000070790000}"/>
    <cellStyle name="Note 3 3 3 2 2" xfId="11645" xr:uid="{00000000-0005-0000-0000-000071790000}"/>
    <cellStyle name="Note 3 3 3 2 3" xfId="32323" xr:uid="{00000000-0005-0000-0000-000072790000}"/>
    <cellStyle name="Note 3 3 3 3" xfId="8063" xr:uid="{00000000-0005-0000-0000-000073790000}"/>
    <cellStyle name="Note 3 3 3 3 2" xfId="16625" xr:uid="{00000000-0005-0000-0000-000074790000}"/>
    <cellStyle name="Note 3 3 3 3 2 2" xfId="30032" xr:uid="{00000000-0005-0000-0000-000075790000}"/>
    <cellStyle name="Note 3 3 3 3 3" xfId="32324" xr:uid="{00000000-0005-0000-0000-000076790000}"/>
    <cellStyle name="Note 3 3 3 4" xfId="10319" xr:uid="{00000000-0005-0000-0000-000077790000}"/>
    <cellStyle name="Note 3 3 3 5" xfId="32322" xr:uid="{00000000-0005-0000-0000-000078790000}"/>
    <cellStyle name="Note 3 3 4" xfId="8064" xr:uid="{00000000-0005-0000-0000-000079790000}"/>
    <cellStyle name="Note 3 3 4 2" xfId="8065" xr:uid="{00000000-0005-0000-0000-00007A790000}"/>
    <cellStyle name="Note 3 3 4 2 2" xfId="13325" xr:uid="{00000000-0005-0000-0000-00007B790000}"/>
    <cellStyle name="Note 3 3 4 2 3" xfId="32326" xr:uid="{00000000-0005-0000-0000-00007C790000}"/>
    <cellStyle name="Note 3 3 4 3" xfId="12002" xr:uid="{00000000-0005-0000-0000-00007D790000}"/>
    <cellStyle name="Note 3 3 4 3 2" xfId="25717" xr:uid="{00000000-0005-0000-0000-00007E790000}"/>
    <cellStyle name="Note 3 3 4 4" xfId="32325" xr:uid="{00000000-0005-0000-0000-00007F790000}"/>
    <cellStyle name="Note 3 3 5" xfId="8066" xr:uid="{00000000-0005-0000-0000-000080790000}"/>
    <cellStyle name="Note 3 3 5 2" xfId="8067" xr:uid="{00000000-0005-0000-0000-000081790000}"/>
    <cellStyle name="Note 3 3 5 2 2" xfId="15759" xr:uid="{00000000-0005-0000-0000-000082790000}"/>
    <cellStyle name="Note 3 3 5 2 3" xfId="32328" xr:uid="{00000000-0005-0000-0000-000083790000}"/>
    <cellStyle name="Note 3 3 5 3" xfId="13577" xr:uid="{00000000-0005-0000-0000-000084790000}"/>
    <cellStyle name="Note 3 3 5 3 2" xfId="27126" xr:uid="{00000000-0005-0000-0000-000085790000}"/>
    <cellStyle name="Note 3 3 5 4" xfId="32327" xr:uid="{00000000-0005-0000-0000-000086790000}"/>
    <cellStyle name="Note 3 3 6" xfId="8068" xr:uid="{00000000-0005-0000-0000-000087790000}"/>
    <cellStyle name="Note 3 3 6 2" xfId="14158" xr:uid="{00000000-0005-0000-0000-000088790000}"/>
    <cellStyle name="Note 3 3 6 2 2" xfId="27707" xr:uid="{00000000-0005-0000-0000-000089790000}"/>
    <cellStyle name="Note 3 3 6 3" xfId="32329" xr:uid="{00000000-0005-0000-0000-00008A790000}"/>
    <cellStyle name="Note 3 3 7" xfId="8069" xr:uid="{00000000-0005-0000-0000-00008B790000}"/>
    <cellStyle name="Note 3 3 7 2" xfId="16044" xr:uid="{00000000-0005-0000-0000-00008C790000}"/>
    <cellStyle name="Note 3 3 7 2 2" xfId="29451" xr:uid="{00000000-0005-0000-0000-00008D790000}"/>
    <cellStyle name="Note 3 3 7 3" xfId="32330" xr:uid="{00000000-0005-0000-0000-00008E790000}"/>
    <cellStyle name="Note 3 3 8" xfId="10316" xr:uid="{00000000-0005-0000-0000-00008F790000}"/>
    <cellStyle name="Note 3 3 9" xfId="32311" xr:uid="{00000000-0005-0000-0000-000090790000}"/>
    <cellStyle name="Note 3 4" xfId="8070" xr:uid="{00000000-0005-0000-0000-000091790000}"/>
    <cellStyle name="Note 3 4 2" xfId="8071" xr:uid="{00000000-0005-0000-0000-000092790000}"/>
    <cellStyle name="Note 3 4 2 2" xfId="8072" xr:uid="{00000000-0005-0000-0000-000093790000}"/>
    <cellStyle name="Note 3 4 2 2 2" xfId="11646" xr:uid="{00000000-0005-0000-0000-000094790000}"/>
    <cellStyle name="Note 3 4 2 2 3" xfId="32333" xr:uid="{00000000-0005-0000-0000-000095790000}"/>
    <cellStyle name="Note 3 4 2 3" xfId="8073" xr:uid="{00000000-0005-0000-0000-000096790000}"/>
    <cellStyle name="Note 3 4 2 3 2" xfId="16771" xr:uid="{00000000-0005-0000-0000-000097790000}"/>
    <cellStyle name="Note 3 4 2 3 2 2" xfId="30178" xr:uid="{00000000-0005-0000-0000-000098790000}"/>
    <cellStyle name="Note 3 4 2 3 3" xfId="32334" xr:uid="{00000000-0005-0000-0000-000099790000}"/>
    <cellStyle name="Note 3 4 2 4" xfId="10321" xr:uid="{00000000-0005-0000-0000-00009A790000}"/>
    <cellStyle name="Note 3 4 2 5" xfId="32332" xr:uid="{00000000-0005-0000-0000-00009B790000}"/>
    <cellStyle name="Note 3 4 3" xfId="8074" xr:uid="{00000000-0005-0000-0000-00009C790000}"/>
    <cellStyle name="Note 3 4 3 2" xfId="8075" xr:uid="{00000000-0005-0000-0000-00009D790000}"/>
    <cellStyle name="Note 3 4 3 2 2" xfId="13326" xr:uid="{00000000-0005-0000-0000-00009E790000}"/>
    <cellStyle name="Note 3 4 3 2 3" xfId="32336" xr:uid="{00000000-0005-0000-0000-00009F790000}"/>
    <cellStyle name="Note 3 4 3 3" xfId="12159" xr:uid="{00000000-0005-0000-0000-0000A0790000}"/>
    <cellStyle name="Note 3 4 3 3 2" xfId="25871" xr:uid="{00000000-0005-0000-0000-0000A1790000}"/>
    <cellStyle name="Note 3 4 3 4" xfId="32335" xr:uid="{00000000-0005-0000-0000-0000A2790000}"/>
    <cellStyle name="Note 3 4 4" xfId="8076" xr:uid="{00000000-0005-0000-0000-0000A3790000}"/>
    <cellStyle name="Note 3 4 4 2" xfId="8077" xr:uid="{00000000-0005-0000-0000-0000A4790000}"/>
    <cellStyle name="Note 3 4 4 2 2" xfId="15760" xr:uid="{00000000-0005-0000-0000-0000A5790000}"/>
    <cellStyle name="Note 3 4 4 2 3" xfId="32338" xr:uid="{00000000-0005-0000-0000-0000A6790000}"/>
    <cellStyle name="Note 3 4 4 3" xfId="13723" xr:uid="{00000000-0005-0000-0000-0000A7790000}"/>
    <cellStyle name="Note 3 4 4 3 2" xfId="27272" xr:uid="{00000000-0005-0000-0000-0000A8790000}"/>
    <cellStyle name="Note 3 4 4 4" xfId="32337" xr:uid="{00000000-0005-0000-0000-0000A9790000}"/>
    <cellStyle name="Note 3 4 5" xfId="8078" xr:uid="{00000000-0005-0000-0000-0000AA790000}"/>
    <cellStyle name="Note 3 4 5 2" xfId="14304" xr:uid="{00000000-0005-0000-0000-0000AB790000}"/>
    <cellStyle name="Note 3 4 5 2 2" xfId="27853" xr:uid="{00000000-0005-0000-0000-0000AC790000}"/>
    <cellStyle name="Note 3 4 5 3" xfId="32339" xr:uid="{00000000-0005-0000-0000-0000AD790000}"/>
    <cellStyle name="Note 3 4 6" xfId="8079" xr:uid="{00000000-0005-0000-0000-0000AE790000}"/>
    <cellStyle name="Note 3 4 6 2" xfId="16190" xr:uid="{00000000-0005-0000-0000-0000AF790000}"/>
    <cellStyle name="Note 3 4 6 2 2" xfId="29597" xr:uid="{00000000-0005-0000-0000-0000B0790000}"/>
    <cellStyle name="Note 3 4 6 3" xfId="32340" xr:uid="{00000000-0005-0000-0000-0000B1790000}"/>
    <cellStyle name="Note 3 4 7" xfId="10320" xr:uid="{00000000-0005-0000-0000-0000B2790000}"/>
    <cellStyle name="Note 3 4 8" xfId="32331" xr:uid="{00000000-0005-0000-0000-0000B3790000}"/>
    <cellStyle name="Note 3 5" xfId="8080" xr:uid="{00000000-0005-0000-0000-0000B4790000}"/>
    <cellStyle name="Note 3 5 2" xfId="8081" xr:uid="{00000000-0005-0000-0000-0000B5790000}"/>
    <cellStyle name="Note 3 5 2 2" xfId="11647" xr:uid="{00000000-0005-0000-0000-0000B6790000}"/>
    <cellStyle name="Note 3 5 2 3" xfId="32342" xr:uid="{00000000-0005-0000-0000-0000B7790000}"/>
    <cellStyle name="Note 3 5 3" xfId="8082" xr:uid="{00000000-0005-0000-0000-0000B8790000}"/>
    <cellStyle name="Note 3 5 3 2" xfId="17118" xr:uid="{00000000-0005-0000-0000-0000B9790000}"/>
    <cellStyle name="Note 3 5 3 2 2" xfId="30477" xr:uid="{00000000-0005-0000-0000-0000BA790000}"/>
    <cellStyle name="Note 3 5 3 3" xfId="32343" xr:uid="{00000000-0005-0000-0000-0000BB790000}"/>
    <cellStyle name="Note 3 5 4" xfId="10322" xr:uid="{00000000-0005-0000-0000-0000BC790000}"/>
    <cellStyle name="Note 3 5 5" xfId="32341" xr:uid="{00000000-0005-0000-0000-0000BD790000}"/>
    <cellStyle name="Note 3 6" xfId="8083" xr:uid="{00000000-0005-0000-0000-0000BE790000}"/>
    <cellStyle name="Note 3 6 2" xfId="8084" xr:uid="{00000000-0005-0000-0000-0000BF790000}"/>
    <cellStyle name="Note 3 6 2 2" xfId="13327" xr:uid="{00000000-0005-0000-0000-0000C0790000}"/>
    <cellStyle name="Note 3 6 2 3" xfId="32345" xr:uid="{00000000-0005-0000-0000-0000C1790000}"/>
    <cellStyle name="Note 3 6 3" xfId="8085" xr:uid="{00000000-0005-0000-0000-0000C2790000}"/>
    <cellStyle name="Note 3 6 3 2" xfId="17207" xr:uid="{00000000-0005-0000-0000-0000C3790000}"/>
    <cellStyle name="Note 3 6 3 2 2" xfId="30566" xr:uid="{00000000-0005-0000-0000-0000C4790000}"/>
    <cellStyle name="Note 3 6 3 3" xfId="32346" xr:uid="{00000000-0005-0000-0000-0000C5790000}"/>
    <cellStyle name="Note 3 6 4" xfId="11834" xr:uid="{00000000-0005-0000-0000-0000C6790000}"/>
    <cellStyle name="Note 3 6 4 2" xfId="25549" xr:uid="{00000000-0005-0000-0000-0000C7790000}"/>
    <cellStyle name="Note 3 6 5" xfId="32344" xr:uid="{00000000-0005-0000-0000-0000C8790000}"/>
    <cellStyle name="Note 3 7" xfId="8086" xr:uid="{00000000-0005-0000-0000-0000C9790000}"/>
    <cellStyle name="Note 3 7 2" xfId="8087" xr:uid="{00000000-0005-0000-0000-0000CA790000}"/>
    <cellStyle name="Note 3 7 2 2" xfId="15761" xr:uid="{00000000-0005-0000-0000-0000CB790000}"/>
    <cellStyle name="Note 3 7 2 3" xfId="32348" xr:uid="{00000000-0005-0000-0000-0000CC790000}"/>
    <cellStyle name="Note 3 7 3" xfId="8088" xr:uid="{00000000-0005-0000-0000-0000CD790000}"/>
    <cellStyle name="Note 3 7 3 2" xfId="16482" xr:uid="{00000000-0005-0000-0000-0000CE790000}"/>
    <cellStyle name="Note 3 7 3 2 2" xfId="29889" xr:uid="{00000000-0005-0000-0000-0000CF790000}"/>
    <cellStyle name="Note 3 7 3 3" xfId="32349" xr:uid="{00000000-0005-0000-0000-0000D0790000}"/>
    <cellStyle name="Note 3 7 4" xfId="13434" xr:uid="{00000000-0005-0000-0000-0000D1790000}"/>
    <cellStyle name="Note 3 7 4 2" xfId="26983" xr:uid="{00000000-0005-0000-0000-0000D2790000}"/>
    <cellStyle name="Note 3 7 5" xfId="32347" xr:uid="{00000000-0005-0000-0000-0000D3790000}"/>
    <cellStyle name="Note 3 8" xfId="8089" xr:uid="{00000000-0005-0000-0000-0000D4790000}"/>
    <cellStyle name="Note 3 8 2" xfId="14015" xr:uid="{00000000-0005-0000-0000-0000D5790000}"/>
    <cellStyle name="Note 3 8 2 2" xfId="27564" xr:uid="{00000000-0005-0000-0000-0000D6790000}"/>
    <cellStyle name="Note 3 8 3" xfId="32350" xr:uid="{00000000-0005-0000-0000-0000D7790000}"/>
    <cellStyle name="Note 3 9" xfId="8090" xr:uid="{00000000-0005-0000-0000-0000D8790000}"/>
    <cellStyle name="Note 3 9 2" xfId="15901" xr:uid="{00000000-0005-0000-0000-0000D9790000}"/>
    <cellStyle name="Note 3 9 2 2" xfId="29308" xr:uid="{00000000-0005-0000-0000-0000DA790000}"/>
    <cellStyle name="Note 3 9 3" xfId="32351" xr:uid="{00000000-0005-0000-0000-0000DB790000}"/>
    <cellStyle name="Note 4" xfId="17373" xr:uid="{00000000-0005-0000-0000-0000DC790000}"/>
    <cellStyle name="Note 4 2" xfId="30689" xr:uid="{00000000-0005-0000-0000-0000DD790000}"/>
    <cellStyle name="Note 5" xfId="17294" xr:uid="{00000000-0005-0000-0000-0000DE790000}"/>
    <cellStyle name="Note 5 2" xfId="30653" xr:uid="{00000000-0005-0000-0000-0000DF790000}"/>
    <cellStyle name="Output" xfId="23" builtinId="21" customBuiltin="1"/>
    <cellStyle name="Output 10" xfId="8091" xr:uid="{00000000-0005-0000-0000-0000E1790000}"/>
    <cellStyle name="Output 10 2" xfId="10324" xr:uid="{00000000-0005-0000-0000-0000E2790000}"/>
    <cellStyle name="Output 10 3" xfId="32352" xr:uid="{00000000-0005-0000-0000-0000E3790000}"/>
    <cellStyle name="Output 11" xfId="8092" xr:uid="{00000000-0005-0000-0000-0000E4790000}"/>
    <cellStyle name="Output 11 2" xfId="10325" xr:uid="{00000000-0005-0000-0000-0000E5790000}"/>
    <cellStyle name="Output 11 3" xfId="32353" xr:uid="{00000000-0005-0000-0000-0000E6790000}"/>
    <cellStyle name="Output 12" xfId="8093" xr:uid="{00000000-0005-0000-0000-0000E7790000}"/>
    <cellStyle name="Output 12 2" xfId="8094" xr:uid="{00000000-0005-0000-0000-0000E8790000}"/>
    <cellStyle name="Output 12 2 2" xfId="15762" xr:uid="{00000000-0005-0000-0000-0000E9790000}"/>
    <cellStyle name="Output 12 2 3" xfId="32355" xr:uid="{00000000-0005-0000-0000-0000EA790000}"/>
    <cellStyle name="Output 12 3" xfId="10499" xr:uid="{00000000-0005-0000-0000-0000EB790000}"/>
    <cellStyle name="Output 12 4" xfId="32354" xr:uid="{00000000-0005-0000-0000-0000EC790000}"/>
    <cellStyle name="Output 13" xfId="8095" xr:uid="{00000000-0005-0000-0000-0000ED790000}"/>
    <cellStyle name="Output 13 2" xfId="11648" xr:uid="{00000000-0005-0000-0000-0000EE790000}"/>
    <cellStyle name="Output 13 3" xfId="32356" xr:uid="{00000000-0005-0000-0000-0000EF790000}"/>
    <cellStyle name="Output 14" xfId="8096" xr:uid="{00000000-0005-0000-0000-0000F0790000}"/>
    <cellStyle name="Output 14 2" xfId="10323" xr:uid="{00000000-0005-0000-0000-0000F1790000}"/>
    <cellStyle name="Output 14 3" xfId="32357" xr:uid="{00000000-0005-0000-0000-0000F2790000}"/>
    <cellStyle name="Output 2" xfId="8097" xr:uid="{00000000-0005-0000-0000-0000F3790000}"/>
    <cellStyle name="Output 2 2" xfId="10326" xr:uid="{00000000-0005-0000-0000-0000F4790000}"/>
    <cellStyle name="Output 2 3" xfId="32358" xr:uid="{00000000-0005-0000-0000-0000F5790000}"/>
    <cellStyle name="Output 2 4" xfId="33053" xr:uid="{00000000-0005-0000-0000-0000F6790000}"/>
    <cellStyle name="Output 3" xfId="8098" xr:uid="{00000000-0005-0000-0000-0000F7790000}"/>
    <cellStyle name="Output 3 2" xfId="8099" xr:uid="{00000000-0005-0000-0000-0000F8790000}"/>
    <cellStyle name="Output 3 2 2" xfId="10328" xr:uid="{00000000-0005-0000-0000-0000F9790000}"/>
    <cellStyle name="Output 3 2 3" xfId="32360" xr:uid="{00000000-0005-0000-0000-0000FA790000}"/>
    <cellStyle name="Output 3 3" xfId="10327" xr:uid="{00000000-0005-0000-0000-0000FB790000}"/>
    <cellStyle name="Output 3 4" xfId="32359" xr:uid="{00000000-0005-0000-0000-0000FC790000}"/>
    <cellStyle name="Output 4" xfId="8100" xr:uid="{00000000-0005-0000-0000-0000FD790000}"/>
    <cellStyle name="Output 4 2" xfId="8101" xr:uid="{00000000-0005-0000-0000-0000FE790000}"/>
    <cellStyle name="Output 4 2 2" xfId="13329" xr:uid="{00000000-0005-0000-0000-0000FF790000}"/>
    <cellStyle name="Output 4 2 3" xfId="32362" xr:uid="{00000000-0005-0000-0000-0000007A0000}"/>
    <cellStyle name="Output 4 3" xfId="8102" xr:uid="{00000000-0005-0000-0000-0000017A0000}"/>
    <cellStyle name="Output 4 3 2" xfId="13328" xr:uid="{00000000-0005-0000-0000-0000027A0000}"/>
    <cellStyle name="Output 4 3 3" xfId="32363" xr:uid="{00000000-0005-0000-0000-0000037A0000}"/>
    <cellStyle name="Output 4 4" xfId="10329" xr:uid="{00000000-0005-0000-0000-0000047A0000}"/>
    <cellStyle name="Output 4 5" xfId="32361" xr:uid="{00000000-0005-0000-0000-0000057A0000}"/>
    <cellStyle name="Output 5" xfId="8103" xr:uid="{00000000-0005-0000-0000-0000067A0000}"/>
    <cellStyle name="Output 5 2" xfId="8104" xr:uid="{00000000-0005-0000-0000-0000077A0000}"/>
    <cellStyle name="Output 5 2 2" xfId="10331" xr:uid="{00000000-0005-0000-0000-0000087A0000}"/>
    <cellStyle name="Output 5 2 3" xfId="32365" xr:uid="{00000000-0005-0000-0000-0000097A0000}"/>
    <cellStyle name="Output 5 3" xfId="10330" xr:uid="{00000000-0005-0000-0000-00000A7A0000}"/>
    <cellStyle name="Output 5 4" xfId="32364" xr:uid="{00000000-0005-0000-0000-00000B7A0000}"/>
    <cellStyle name="Output 6" xfId="8105" xr:uid="{00000000-0005-0000-0000-00000C7A0000}"/>
    <cellStyle name="Output 6 2" xfId="10332" xr:uid="{00000000-0005-0000-0000-00000D7A0000}"/>
    <cellStyle name="Output 6 3" xfId="32366" xr:uid="{00000000-0005-0000-0000-00000E7A0000}"/>
    <cellStyle name="Output 7" xfId="8106" xr:uid="{00000000-0005-0000-0000-00000F7A0000}"/>
    <cellStyle name="Output 7 2" xfId="10333" xr:uid="{00000000-0005-0000-0000-0000107A0000}"/>
    <cellStyle name="Output 7 3" xfId="32367" xr:uid="{00000000-0005-0000-0000-0000117A0000}"/>
    <cellStyle name="Output 8" xfId="8107" xr:uid="{00000000-0005-0000-0000-0000127A0000}"/>
    <cellStyle name="Output 8 2" xfId="10334" xr:uid="{00000000-0005-0000-0000-0000137A0000}"/>
    <cellStyle name="Output 8 3" xfId="32368" xr:uid="{00000000-0005-0000-0000-0000147A0000}"/>
    <cellStyle name="Output 9" xfId="8108" xr:uid="{00000000-0005-0000-0000-0000157A0000}"/>
    <cellStyle name="Output 9 2" xfId="10335" xr:uid="{00000000-0005-0000-0000-0000167A0000}"/>
    <cellStyle name="Output 9 3" xfId="32369" xr:uid="{00000000-0005-0000-0000-0000177A0000}"/>
    <cellStyle name="Percent" xfId="9" builtinId="5"/>
    <cellStyle name="Percent 10" xfId="10336" xr:uid="{00000000-0005-0000-0000-0000197A0000}"/>
    <cellStyle name="Percent 11" xfId="17374" xr:uid="{00000000-0005-0000-0000-00001A7A0000}"/>
    <cellStyle name="Percent 11 2" xfId="30690" xr:uid="{00000000-0005-0000-0000-00001B7A0000}"/>
    <cellStyle name="Percent 12" xfId="8787" xr:uid="{00000000-0005-0000-0000-00001C7A0000}"/>
    <cellStyle name="Percent 13" xfId="51" xr:uid="{00000000-0005-0000-0000-00001D7A0000}"/>
    <cellStyle name="Percent 2" xfId="10" xr:uid="{00000000-0005-0000-0000-00001E7A0000}"/>
    <cellStyle name="Percent 2 10" xfId="8110" xr:uid="{00000000-0005-0000-0000-00001F7A0000}"/>
    <cellStyle name="Percent 2 10 2" xfId="10338" xr:uid="{00000000-0005-0000-0000-0000207A0000}"/>
    <cellStyle name="Percent 2 10 3" xfId="32370" xr:uid="{00000000-0005-0000-0000-0000217A0000}"/>
    <cellStyle name="Percent 2 11" xfId="8111" xr:uid="{00000000-0005-0000-0000-0000227A0000}"/>
    <cellStyle name="Percent 2 11 2" xfId="8112" xr:uid="{00000000-0005-0000-0000-0000237A0000}"/>
    <cellStyle name="Percent 2 11 2 2" xfId="13330" xr:uid="{00000000-0005-0000-0000-0000247A0000}"/>
    <cellStyle name="Percent 2 11 2 3" xfId="32372" xr:uid="{00000000-0005-0000-0000-0000257A0000}"/>
    <cellStyle name="Percent 2 11 3" xfId="8113" xr:uid="{00000000-0005-0000-0000-0000267A0000}"/>
    <cellStyle name="Percent 2 11 3 2" xfId="17054" xr:uid="{00000000-0005-0000-0000-0000277A0000}"/>
    <cellStyle name="Percent 2 11 3 2 2" xfId="30453" xr:uid="{00000000-0005-0000-0000-0000287A0000}"/>
    <cellStyle name="Percent 2 11 3 3" xfId="32373" xr:uid="{00000000-0005-0000-0000-0000297A0000}"/>
    <cellStyle name="Percent 2 11 4" xfId="10339" xr:uid="{00000000-0005-0000-0000-00002A7A0000}"/>
    <cellStyle name="Percent 2 11 5" xfId="32371" xr:uid="{00000000-0005-0000-0000-00002B7A0000}"/>
    <cellStyle name="Percent 2 12" xfId="8114" xr:uid="{00000000-0005-0000-0000-00002C7A0000}"/>
    <cellStyle name="Percent 2 12 2" xfId="8115" xr:uid="{00000000-0005-0000-0000-00002D7A0000}"/>
    <cellStyle name="Percent 2 12 2 2" xfId="13332" xr:uid="{00000000-0005-0000-0000-00002E7A0000}"/>
    <cellStyle name="Percent 2 12 2 3" xfId="32375" xr:uid="{00000000-0005-0000-0000-00002F7A0000}"/>
    <cellStyle name="Percent 2 12 3" xfId="8116" xr:uid="{00000000-0005-0000-0000-0000307A0000}"/>
    <cellStyle name="Percent 2 12 3 2" xfId="13331" xr:uid="{00000000-0005-0000-0000-0000317A0000}"/>
    <cellStyle name="Percent 2 12 3 2 2" xfId="26922" xr:uid="{00000000-0005-0000-0000-0000327A0000}"/>
    <cellStyle name="Percent 2 12 3 3" xfId="32376" xr:uid="{00000000-0005-0000-0000-0000337A0000}"/>
    <cellStyle name="Percent 2 12 4" xfId="8117" xr:uid="{00000000-0005-0000-0000-0000347A0000}"/>
    <cellStyle name="Percent 2 12 4 2" xfId="17112" xr:uid="{00000000-0005-0000-0000-0000357A0000}"/>
    <cellStyle name="Percent 2 12 4 2 2" xfId="30471" xr:uid="{00000000-0005-0000-0000-0000367A0000}"/>
    <cellStyle name="Percent 2 12 4 3" xfId="32377" xr:uid="{00000000-0005-0000-0000-0000377A0000}"/>
    <cellStyle name="Percent 2 12 5" xfId="10340" xr:uid="{00000000-0005-0000-0000-0000387A0000}"/>
    <cellStyle name="Percent 2 12 6" xfId="32374" xr:uid="{00000000-0005-0000-0000-0000397A0000}"/>
    <cellStyle name="Percent 2 13" xfId="8118" xr:uid="{00000000-0005-0000-0000-00003A7A0000}"/>
    <cellStyle name="Percent 2 13 2" xfId="8119" xr:uid="{00000000-0005-0000-0000-00003B7A0000}"/>
    <cellStyle name="Percent 2 13 2 2" xfId="17201" xr:uid="{00000000-0005-0000-0000-00003C7A0000}"/>
    <cellStyle name="Percent 2 13 2 2 2" xfId="30560" xr:uid="{00000000-0005-0000-0000-00003D7A0000}"/>
    <cellStyle name="Percent 2 13 2 3" xfId="32379" xr:uid="{00000000-0005-0000-0000-00003E7A0000}"/>
    <cellStyle name="Percent 2 13 3" xfId="10341" xr:uid="{00000000-0005-0000-0000-00003F7A0000}"/>
    <cellStyle name="Percent 2 13 4" xfId="32378" xr:uid="{00000000-0005-0000-0000-0000407A0000}"/>
    <cellStyle name="Percent 2 14" xfId="8120" xr:uid="{00000000-0005-0000-0000-0000417A0000}"/>
    <cellStyle name="Percent 2 14 2" xfId="8121" xr:uid="{00000000-0005-0000-0000-0000427A0000}"/>
    <cellStyle name="Percent 2 14 2 2" xfId="8122" xr:uid="{00000000-0005-0000-0000-0000437A0000}"/>
    <cellStyle name="Percent 2 14 2 2 2" xfId="11651" xr:uid="{00000000-0005-0000-0000-0000447A0000}"/>
    <cellStyle name="Percent 2 14 2 2 3" xfId="32382" xr:uid="{00000000-0005-0000-0000-0000457A0000}"/>
    <cellStyle name="Percent 2 14 2 3" xfId="10343" xr:uid="{00000000-0005-0000-0000-0000467A0000}"/>
    <cellStyle name="Percent 2 14 2 4" xfId="32381" xr:uid="{00000000-0005-0000-0000-0000477A0000}"/>
    <cellStyle name="Percent 2 14 3" xfId="8123" xr:uid="{00000000-0005-0000-0000-0000487A0000}"/>
    <cellStyle name="Percent 2 14 3 2" xfId="11650" xr:uid="{00000000-0005-0000-0000-0000497A0000}"/>
    <cellStyle name="Percent 2 14 3 3" xfId="32383" xr:uid="{00000000-0005-0000-0000-00004A7A0000}"/>
    <cellStyle name="Percent 2 14 4" xfId="8124" xr:uid="{00000000-0005-0000-0000-00004B7A0000}"/>
    <cellStyle name="Percent 2 14 4 2" xfId="17290" xr:uid="{00000000-0005-0000-0000-00004C7A0000}"/>
    <cellStyle name="Percent 2 14 4 2 2" xfId="30649" xr:uid="{00000000-0005-0000-0000-00004D7A0000}"/>
    <cellStyle name="Percent 2 14 4 3" xfId="32384" xr:uid="{00000000-0005-0000-0000-00004E7A0000}"/>
    <cellStyle name="Percent 2 14 5" xfId="10342" xr:uid="{00000000-0005-0000-0000-00004F7A0000}"/>
    <cellStyle name="Percent 2 14 6" xfId="32380" xr:uid="{00000000-0005-0000-0000-0000507A0000}"/>
    <cellStyle name="Percent 2 15" xfId="8125" xr:uid="{00000000-0005-0000-0000-0000517A0000}"/>
    <cellStyle name="Percent 2 15 2" xfId="8126" xr:uid="{00000000-0005-0000-0000-0000527A0000}"/>
    <cellStyle name="Percent 2 15 2 2" xfId="11652" xr:uid="{00000000-0005-0000-0000-0000537A0000}"/>
    <cellStyle name="Percent 2 15 2 3" xfId="32386" xr:uid="{00000000-0005-0000-0000-0000547A0000}"/>
    <cellStyle name="Percent 2 15 3" xfId="8127" xr:uid="{00000000-0005-0000-0000-0000557A0000}"/>
    <cellStyle name="Percent 2 15 3 2" xfId="16442" xr:uid="{00000000-0005-0000-0000-0000567A0000}"/>
    <cellStyle name="Percent 2 15 3 2 2" xfId="29849" xr:uid="{00000000-0005-0000-0000-0000577A0000}"/>
    <cellStyle name="Percent 2 15 3 3" xfId="32387" xr:uid="{00000000-0005-0000-0000-0000587A0000}"/>
    <cellStyle name="Percent 2 15 4" xfId="10344" xr:uid="{00000000-0005-0000-0000-0000597A0000}"/>
    <cellStyle name="Percent 2 15 5" xfId="32385" xr:uid="{00000000-0005-0000-0000-00005A7A0000}"/>
    <cellStyle name="Percent 2 16" xfId="8128" xr:uid="{00000000-0005-0000-0000-00005B7A0000}"/>
    <cellStyle name="Percent 2 16 2" xfId="8129" xr:uid="{00000000-0005-0000-0000-00005C7A0000}"/>
    <cellStyle name="Percent 2 16 2 2" xfId="11653" xr:uid="{00000000-0005-0000-0000-00005D7A0000}"/>
    <cellStyle name="Percent 2 16 2 3" xfId="32389" xr:uid="{00000000-0005-0000-0000-00005E7A0000}"/>
    <cellStyle name="Percent 2 16 3" xfId="10345" xr:uid="{00000000-0005-0000-0000-00005F7A0000}"/>
    <cellStyle name="Percent 2 16 4" xfId="32388" xr:uid="{00000000-0005-0000-0000-0000607A0000}"/>
    <cellStyle name="Percent 2 17" xfId="8130" xr:uid="{00000000-0005-0000-0000-0000617A0000}"/>
    <cellStyle name="Percent 2 17 2" xfId="8131" xr:uid="{00000000-0005-0000-0000-0000627A0000}"/>
    <cellStyle name="Percent 2 17 2 2" xfId="11654" xr:uid="{00000000-0005-0000-0000-0000637A0000}"/>
    <cellStyle name="Percent 2 17 2 3" xfId="32391" xr:uid="{00000000-0005-0000-0000-0000647A0000}"/>
    <cellStyle name="Percent 2 17 3" xfId="10346" xr:uid="{00000000-0005-0000-0000-0000657A0000}"/>
    <cellStyle name="Percent 2 17 4" xfId="32390" xr:uid="{00000000-0005-0000-0000-0000667A0000}"/>
    <cellStyle name="Percent 2 18" xfId="8132" xr:uid="{00000000-0005-0000-0000-0000677A0000}"/>
    <cellStyle name="Percent 2 18 2" xfId="8133" xr:uid="{00000000-0005-0000-0000-0000687A0000}"/>
    <cellStyle name="Percent 2 18 2 2" xfId="11655" xr:uid="{00000000-0005-0000-0000-0000697A0000}"/>
    <cellStyle name="Percent 2 18 2 3" xfId="32393" xr:uid="{00000000-0005-0000-0000-00006A7A0000}"/>
    <cellStyle name="Percent 2 18 3" xfId="10347" xr:uid="{00000000-0005-0000-0000-00006B7A0000}"/>
    <cellStyle name="Percent 2 18 4" xfId="32392" xr:uid="{00000000-0005-0000-0000-00006C7A0000}"/>
    <cellStyle name="Percent 2 19" xfId="8134" xr:uid="{00000000-0005-0000-0000-00006D7A0000}"/>
    <cellStyle name="Percent 2 19 2" xfId="8135" xr:uid="{00000000-0005-0000-0000-00006E7A0000}"/>
    <cellStyle name="Percent 2 19 2 2" xfId="11656" xr:uid="{00000000-0005-0000-0000-00006F7A0000}"/>
    <cellStyle name="Percent 2 19 2 3" xfId="32395" xr:uid="{00000000-0005-0000-0000-0000707A0000}"/>
    <cellStyle name="Percent 2 19 3" xfId="10348" xr:uid="{00000000-0005-0000-0000-0000717A0000}"/>
    <cellStyle name="Percent 2 19 4" xfId="32394" xr:uid="{00000000-0005-0000-0000-0000727A0000}"/>
    <cellStyle name="Percent 2 2" xfId="8136" xr:uid="{00000000-0005-0000-0000-0000737A0000}"/>
    <cellStyle name="Percent 2 2 10" xfId="8137" xr:uid="{00000000-0005-0000-0000-0000747A0000}"/>
    <cellStyle name="Percent 2 2 10 2" xfId="11657" xr:uid="{00000000-0005-0000-0000-0000757A0000}"/>
    <cellStyle name="Percent 2 2 10 3" xfId="32397" xr:uid="{00000000-0005-0000-0000-0000767A0000}"/>
    <cellStyle name="Percent 2 2 11" xfId="8138" xr:uid="{00000000-0005-0000-0000-0000777A0000}"/>
    <cellStyle name="Percent 2 2 11 2" xfId="8139" xr:uid="{00000000-0005-0000-0000-0000787A0000}"/>
    <cellStyle name="Percent 2 2 11 2 2" xfId="13333" xr:uid="{00000000-0005-0000-0000-0000797A0000}"/>
    <cellStyle name="Percent 2 2 11 2 2 2" xfId="26923" xr:uid="{00000000-0005-0000-0000-00007A7A0000}"/>
    <cellStyle name="Percent 2 2 11 2 3" xfId="32399" xr:uid="{00000000-0005-0000-0000-00007B7A0000}"/>
    <cellStyle name="Percent 2 2 11 3" xfId="8140" xr:uid="{00000000-0005-0000-0000-00007C7A0000}"/>
    <cellStyle name="Percent 2 2 11 3 2" xfId="15763" xr:uid="{00000000-0005-0000-0000-00007D7A0000}"/>
    <cellStyle name="Percent 2 2 11 3 3" xfId="32400" xr:uid="{00000000-0005-0000-0000-00007E7A0000}"/>
    <cellStyle name="Percent 2 2 11 4" xfId="11733" xr:uid="{00000000-0005-0000-0000-00007F7A0000}"/>
    <cellStyle name="Percent 2 2 11 5" xfId="32398" xr:uid="{00000000-0005-0000-0000-0000807A0000}"/>
    <cellStyle name="Percent 2 2 12" xfId="8141" xr:uid="{00000000-0005-0000-0000-0000817A0000}"/>
    <cellStyle name="Percent 2 2 12 2" xfId="11863" xr:uid="{00000000-0005-0000-0000-0000827A0000}"/>
    <cellStyle name="Percent 2 2 12 2 2" xfId="25578" xr:uid="{00000000-0005-0000-0000-0000837A0000}"/>
    <cellStyle name="Percent 2 2 12 3" xfId="32401" xr:uid="{00000000-0005-0000-0000-0000847A0000}"/>
    <cellStyle name="Percent 2 2 13" xfId="8142" xr:uid="{00000000-0005-0000-0000-0000857A0000}"/>
    <cellStyle name="Percent 2 2 13 2" xfId="13451" xr:uid="{00000000-0005-0000-0000-0000867A0000}"/>
    <cellStyle name="Percent 2 2 13 2 2" xfId="27000" xr:uid="{00000000-0005-0000-0000-0000877A0000}"/>
    <cellStyle name="Percent 2 2 13 3" xfId="32402" xr:uid="{00000000-0005-0000-0000-0000887A0000}"/>
    <cellStyle name="Percent 2 2 14" xfId="8143" xr:uid="{00000000-0005-0000-0000-0000897A0000}"/>
    <cellStyle name="Percent 2 2 14 2" xfId="14032" xr:uid="{00000000-0005-0000-0000-00008A7A0000}"/>
    <cellStyle name="Percent 2 2 14 2 2" xfId="27581" xr:uid="{00000000-0005-0000-0000-00008B7A0000}"/>
    <cellStyle name="Percent 2 2 14 3" xfId="32403" xr:uid="{00000000-0005-0000-0000-00008C7A0000}"/>
    <cellStyle name="Percent 2 2 15" xfId="8144" xr:uid="{00000000-0005-0000-0000-00008D7A0000}"/>
    <cellStyle name="Percent 2 2 15 2" xfId="15918" xr:uid="{00000000-0005-0000-0000-00008E7A0000}"/>
    <cellStyle name="Percent 2 2 15 2 2" xfId="29325" xr:uid="{00000000-0005-0000-0000-00008F7A0000}"/>
    <cellStyle name="Percent 2 2 15 3" xfId="32404" xr:uid="{00000000-0005-0000-0000-0000907A0000}"/>
    <cellStyle name="Percent 2 2 16" xfId="8145" xr:uid="{00000000-0005-0000-0000-0000917A0000}"/>
    <cellStyle name="Percent 2 2 16 2" xfId="10349" xr:uid="{00000000-0005-0000-0000-0000927A0000}"/>
    <cellStyle name="Percent 2 2 16 3" xfId="32405" xr:uid="{00000000-0005-0000-0000-0000937A0000}"/>
    <cellStyle name="Percent 2 2 17" xfId="8709" xr:uid="{00000000-0005-0000-0000-0000947A0000}"/>
    <cellStyle name="Percent 2 2 18" xfId="32396" xr:uid="{00000000-0005-0000-0000-0000957A0000}"/>
    <cellStyle name="Percent 2 2 2" xfId="8146" xr:uid="{00000000-0005-0000-0000-0000967A0000}"/>
    <cellStyle name="Percent 2 2 2 10" xfId="10350" xr:uid="{00000000-0005-0000-0000-0000977A0000}"/>
    <cellStyle name="Percent 2 2 2 11" xfId="32406" xr:uid="{00000000-0005-0000-0000-0000987A0000}"/>
    <cellStyle name="Percent 2 2 2 2" xfId="8147" xr:uid="{00000000-0005-0000-0000-0000997A0000}"/>
    <cellStyle name="Percent 2 2 2 2 2" xfId="8148" xr:uid="{00000000-0005-0000-0000-00009A7A0000}"/>
    <cellStyle name="Percent 2 2 2 2 2 2" xfId="8149" xr:uid="{00000000-0005-0000-0000-00009B7A0000}"/>
    <cellStyle name="Percent 2 2 2 2 2 2 2" xfId="8150" xr:uid="{00000000-0005-0000-0000-00009C7A0000}"/>
    <cellStyle name="Percent 2 2 2 2 2 2 2 2" xfId="11658" xr:uid="{00000000-0005-0000-0000-00009D7A0000}"/>
    <cellStyle name="Percent 2 2 2 2 2 2 2 3" xfId="32410" xr:uid="{00000000-0005-0000-0000-00009E7A0000}"/>
    <cellStyle name="Percent 2 2 2 2 2 2 3" xfId="8151" xr:uid="{00000000-0005-0000-0000-00009F7A0000}"/>
    <cellStyle name="Percent 2 2 2 2 2 2 3 2" xfId="16977" xr:uid="{00000000-0005-0000-0000-0000A07A0000}"/>
    <cellStyle name="Percent 2 2 2 2 2 2 3 2 2" xfId="30384" xr:uid="{00000000-0005-0000-0000-0000A17A0000}"/>
    <cellStyle name="Percent 2 2 2 2 2 2 3 3" xfId="32411" xr:uid="{00000000-0005-0000-0000-0000A27A0000}"/>
    <cellStyle name="Percent 2 2 2 2 2 2 4" xfId="10353" xr:uid="{00000000-0005-0000-0000-0000A37A0000}"/>
    <cellStyle name="Percent 2 2 2 2 2 2 5" xfId="32409" xr:uid="{00000000-0005-0000-0000-0000A47A0000}"/>
    <cellStyle name="Percent 2 2 2 2 2 3" xfId="8152" xr:uid="{00000000-0005-0000-0000-0000A57A0000}"/>
    <cellStyle name="Percent 2 2 2 2 2 3 2" xfId="8153" xr:uid="{00000000-0005-0000-0000-0000A67A0000}"/>
    <cellStyle name="Percent 2 2 2 2 2 3 2 2" xfId="13334" xr:uid="{00000000-0005-0000-0000-0000A77A0000}"/>
    <cellStyle name="Percent 2 2 2 2 2 3 2 3" xfId="32413" xr:uid="{00000000-0005-0000-0000-0000A87A0000}"/>
    <cellStyle name="Percent 2 2 2 2 2 3 3" xfId="12365" xr:uid="{00000000-0005-0000-0000-0000A97A0000}"/>
    <cellStyle name="Percent 2 2 2 2 2 3 3 2" xfId="26077" xr:uid="{00000000-0005-0000-0000-0000AA7A0000}"/>
    <cellStyle name="Percent 2 2 2 2 2 3 4" xfId="32412" xr:uid="{00000000-0005-0000-0000-0000AB7A0000}"/>
    <cellStyle name="Percent 2 2 2 2 2 4" xfId="8154" xr:uid="{00000000-0005-0000-0000-0000AC7A0000}"/>
    <cellStyle name="Percent 2 2 2 2 2 4 2" xfId="8155" xr:uid="{00000000-0005-0000-0000-0000AD7A0000}"/>
    <cellStyle name="Percent 2 2 2 2 2 4 2 2" xfId="15764" xr:uid="{00000000-0005-0000-0000-0000AE7A0000}"/>
    <cellStyle name="Percent 2 2 2 2 2 4 2 3" xfId="32415" xr:uid="{00000000-0005-0000-0000-0000AF7A0000}"/>
    <cellStyle name="Percent 2 2 2 2 2 4 3" xfId="13929" xr:uid="{00000000-0005-0000-0000-0000B07A0000}"/>
    <cellStyle name="Percent 2 2 2 2 2 4 3 2" xfId="27478" xr:uid="{00000000-0005-0000-0000-0000B17A0000}"/>
    <cellStyle name="Percent 2 2 2 2 2 4 4" xfId="32414" xr:uid="{00000000-0005-0000-0000-0000B27A0000}"/>
    <cellStyle name="Percent 2 2 2 2 2 5" xfId="8156" xr:uid="{00000000-0005-0000-0000-0000B37A0000}"/>
    <cellStyle name="Percent 2 2 2 2 2 5 2" xfId="14510" xr:uid="{00000000-0005-0000-0000-0000B47A0000}"/>
    <cellStyle name="Percent 2 2 2 2 2 5 2 2" xfId="28059" xr:uid="{00000000-0005-0000-0000-0000B57A0000}"/>
    <cellStyle name="Percent 2 2 2 2 2 5 3" xfId="32416" xr:uid="{00000000-0005-0000-0000-0000B67A0000}"/>
    <cellStyle name="Percent 2 2 2 2 2 6" xfId="8157" xr:uid="{00000000-0005-0000-0000-0000B77A0000}"/>
    <cellStyle name="Percent 2 2 2 2 2 6 2" xfId="16396" xr:uid="{00000000-0005-0000-0000-0000B87A0000}"/>
    <cellStyle name="Percent 2 2 2 2 2 6 2 2" xfId="29803" xr:uid="{00000000-0005-0000-0000-0000B97A0000}"/>
    <cellStyle name="Percent 2 2 2 2 2 6 3" xfId="32417" xr:uid="{00000000-0005-0000-0000-0000BA7A0000}"/>
    <cellStyle name="Percent 2 2 2 2 2 7" xfId="10352" xr:uid="{00000000-0005-0000-0000-0000BB7A0000}"/>
    <cellStyle name="Percent 2 2 2 2 2 8" xfId="32408" xr:uid="{00000000-0005-0000-0000-0000BC7A0000}"/>
    <cellStyle name="Percent 2 2 2 2 3" xfId="8158" xr:uid="{00000000-0005-0000-0000-0000BD7A0000}"/>
    <cellStyle name="Percent 2 2 2 2 3 2" xfId="8159" xr:uid="{00000000-0005-0000-0000-0000BE7A0000}"/>
    <cellStyle name="Percent 2 2 2 2 3 2 2" xfId="11659" xr:uid="{00000000-0005-0000-0000-0000BF7A0000}"/>
    <cellStyle name="Percent 2 2 2 2 3 2 3" xfId="32419" xr:uid="{00000000-0005-0000-0000-0000C07A0000}"/>
    <cellStyle name="Percent 2 2 2 2 3 3" xfId="8160" xr:uid="{00000000-0005-0000-0000-0000C17A0000}"/>
    <cellStyle name="Percent 2 2 2 2 3 3 2" xfId="16688" xr:uid="{00000000-0005-0000-0000-0000C27A0000}"/>
    <cellStyle name="Percent 2 2 2 2 3 3 2 2" xfId="30095" xr:uid="{00000000-0005-0000-0000-0000C37A0000}"/>
    <cellStyle name="Percent 2 2 2 2 3 3 3" xfId="32420" xr:uid="{00000000-0005-0000-0000-0000C47A0000}"/>
    <cellStyle name="Percent 2 2 2 2 3 4" xfId="10354" xr:uid="{00000000-0005-0000-0000-0000C57A0000}"/>
    <cellStyle name="Percent 2 2 2 2 3 5" xfId="32418" xr:uid="{00000000-0005-0000-0000-0000C67A0000}"/>
    <cellStyle name="Percent 2 2 2 2 4" xfId="8161" xr:uid="{00000000-0005-0000-0000-0000C77A0000}"/>
    <cellStyle name="Percent 2 2 2 2 4 2" xfId="8162" xr:uid="{00000000-0005-0000-0000-0000C87A0000}"/>
    <cellStyle name="Percent 2 2 2 2 4 2 2" xfId="13335" xr:uid="{00000000-0005-0000-0000-0000C97A0000}"/>
    <cellStyle name="Percent 2 2 2 2 4 2 3" xfId="32422" xr:uid="{00000000-0005-0000-0000-0000CA7A0000}"/>
    <cellStyle name="Percent 2 2 2 2 4 3" xfId="12065" xr:uid="{00000000-0005-0000-0000-0000CB7A0000}"/>
    <cellStyle name="Percent 2 2 2 2 4 3 2" xfId="25780" xr:uid="{00000000-0005-0000-0000-0000CC7A0000}"/>
    <cellStyle name="Percent 2 2 2 2 4 4" xfId="32421" xr:uid="{00000000-0005-0000-0000-0000CD7A0000}"/>
    <cellStyle name="Percent 2 2 2 2 5" xfId="8163" xr:uid="{00000000-0005-0000-0000-0000CE7A0000}"/>
    <cellStyle name="Percent 2 2 2 2 5 2" xfId="8164" xr:uid="{00000000-0005-0000-0000-0000CF7A0000}"/>
    <cellStyle name="Percent 2 2 2 2 5 2 2" xfId="15765" xr:uid="{00000000-0005-0000-0000-0000D07A0000}"/>
    <cellStyle name="Percent 2 2 2 2 5 2 3" xfId="32424" xr:uid="{00000000-0005-0000-0000-0000D17A0000}"/>
    <cellStyle name="Percent 2 2 2 2 5 3" xfId="13640" xr:uid="{00000000-0005-0000-0000-0000D27A0000}"/>
    <cellStyle name="Percent 2 2 2 2 5 3 2" xfId="27189" xr:uid="{00000000-0005-0000-0000-0000D37A0000}"/>
    <cellStyle name="Percent 2 2 2 2 5 4" xfId="32423" xr:uid="{00000000-0005-0000-0000-0000D47A0000}"/>
    <cellStyle name="Percent 2 2 2 2 6" xfId="8165" xr:uid="{00000000-0005-0000-0000-0000D57A0000}"/>
    <cellStyle name="Percent 2 2 2 2 6 2" xfId="14221" xr:uid="{00000000-0005-0000-0000-0000D67A0000}"/>
    <cellStyle name="Percent 2 2 2 2 6 2 2" xfId="27770" xr:uid="{00000000-0005-0000-0000-0000D77A0000}"/>
    <cellStyle name="Percent 2 2 2 2 6 3" xfId="32425" xr:uid="{00000000-0005-0000-0000-0000D87A0000}"/>
    <cellStyle name="Percent 2 2 2 2 7" xfId="8166" xr:uid="{00000000-0005-0000-0000-0000D97A0000}"/>
    <cellStyle name="Percent 2 2 2 2 7 2" xfId="16107" xr:uid="{00000000-0005-0000-0000-0000DA7A0000}"/>
    <cellStyle name="Percent 2 2 2 2 7 2 2" xfId="29514" xr:uid="{00000000-0005-0000-0000-0000DB7A0000}"/>
    <cellStyle name="Percent 2 2 2 2 7 3" xfId="32426" xr:uid="{00000000-0005-0000-0000-0000DC7A0000}"/>
    <cellStyle name="Percent 2 2 2 2 8" xfId="10351" xr:uid="{00000000-0005-0000-0000-0000DD7A0000}"/>
    <cellStyle name="Percent 2 2 2 2 9" xfId="32407" xr:uid="{00000000-0005-0000-0000-0000DE7A0000}"/>
    <cellStyle name="Percent 2 2 2 3" xfId="8167" xr:uid="{00000000-0005-0000-0000-0000DF7A0000}"/>
    <cellStyle name="Percent 2 2 2 3 2" xfId="8168" xr:uid="{00000000-0005-0000-0000-0000E07A0000}"/>
    <cellStyle name="Percent 2 2 2 3 2 2" xfId="8169" xr:uid="{00000000-0005-0000-0000-0000E17A0000}"/>
    <cellStyle name="Percent 2 2 2 3 2 2 2" xfId="11660" xr:uid="{00000000-0005-0000-0000-0000E27A0000}"/>
    <cellStyle name="Percent 2 2 2 3 2 2 3" xfId="32429" xr:uid="{00000000-0005-0000-0000-0000E37A0000}"/>
    <cellStyle name="Percent 2 2 2 3 2 3" xfId="8170" xr:uid="{00000000-0005-0000-0000-0000E47A0000}"/>
    <cellStyle name="Percent 2 2 2 3 2 3 2" xfId="16834" xr:uid="{00000000-0005-0000-0000-0000E57A0000}"/>
    <cellStyle name="Percent 2 2 2 3 2 3 2 2" xfId="30241" xr:uid="{00000000-0005-0000-0000-0000E67A0000}"/>
    <cellStyle name="Percent 2 2 2 3 2 3 3" xfId="32430" xr:uid="{00000000-0005-0000-0000-0000E77A0000}"/>
    <cellStyle name="Percent 2 2 2 3 2 4" xfId="10356" xr:uid="{00000000-0005-0000-0000-0000E87A0000}"/>
    <cellStyle name="Percent 2 2 2 3 2 5" xfId="32428" xr:uid="{00000000-0005-0000-0000-0000E97A0000}"/>
    <cellStyle name="Percent 2 2 2 3 3" xfId="8171" xr:uid="{00000000-0005-0000-0000-0000EA7A0000}"/>
    <cellStyle name="Percent 2 2 2 3 3 2" xfId="8172" xr:uid="{00000000-0005-0000-0000-0000EB7A0000}"/>
    <cellStyle name="Percent 2 2 2 3 3 2 2" xfId="13336" xr:uid="{00000000-0005-0000-0000-0000EC7A0000}"/>
    <cellStyle name="Percent 2 2 2 3 3 2 3" xfId="32432" xr:uid="{00000000-0005-0000-0000-0000ED7A0000}"/>
    <cellStyle name="Percent 2 2 2 3 3 3" xfId="12222" xr:uid="{00000000-0005-0000-0000-0000EE7A0000}"/>
    <cellStyle name="Percent 2 2 2 3 3 3 2" xfId="25934" xr:uid="{00000000-0005-0000-0000-0000EF7A0000}"/>
    <cellStyle name="Percent 2 2 2 3 3 4" xfId="32431" xr:uid="{00000000-0005-0000-0000-0000F07A0000}"/>
    <cellStyle name="Percent 2 2 2 3 4" xfId="8173" xr:uid="{00000000-0005-0000-0000-0000F17A0000}"/>
    <cellStyle name="Percent 2 2 2 3 4 2" xfId="8174" xr:uid="{00000000-0005-0000-0000-0000F27A0000}"/>
    <cellStyle name="Percent 2 2 2 3 4 2 2" xfId="15766" xr:uid="{00000000-0005-0000-0000-0000F37A0000}"/>
    <cellStyle name="Percent 2 2 2 3 4 2 3" xfId="32434" xr:uid="{00000000-0005-0000-0000-0000F47A0000}"/>
    <cellStyle name="Percent 2 2 2 3 4 3" xfId="13786" xr:uid="{00000000-0005-0000-0000-0000F57A0000}"/>
    <cellStyle name="Percent 2 2 2 3 4 3 2" xfId="27335" xr:uid="{00000000-0005-0000-0000-0000F67A0000}"/>
    <cellStyle name="Percent 2 2 2 3 4 4" xfId="32433" xr:uid="{00000000-0005-0000-0000-0000F77A0000}"/>
    <cellStyle name="Percent 2 2 2 3 5" xfId="8175" xr:uid="{00000000-0005-0000-0000-0000F87A0000}"/>
    <cellStyle name="Percent 2 2 2 3 5 2" xfId="14367" xr:uid="{00000000-0005-0000-0000-0000F97A0000}"/>
    <cellStyle name="Percent 2 2 2 3 5 2 2" xfId="27916" xr:uid="{00000000-0005-0000-0000-0000FA7A0000}"/>
    <cellStyle name="Percent 2 2 2 3 5 3" xfId="32435" xr:uid="{00000000-0005-0000-0000-0000FB7A0000}"/>
    <cellStyle name="Percent 2 2 2 3 6" xfId="8176" xr:uid="{00000000-0005-0000-0000-0000FC7A0000}"/>
    <cellStyle name="Percent 2 2 2 3 6 2" xfId="16253" xr:uid="{00000000-0005-0000-0000-0000FD7A0000}"/>
    <cellStyle name="Percent 2 2 2 3 6 2 2" xfId="29660" xr:uid="{00000000-0005-0000-0000-0000FE7A0000}"/>
    <cellStyle name="Percent 2 2 2 3 6 3" xfId="32436" xr:uid="{00000000-0005-0000-0000-0000FF7A0000}"/>
    <cellStyle name="Percent 2 2 2 3 7" xfId="10355" xr:uid="{00000000-0005-0000-0000-0000007B0000}"/>
    <cellStyle name="Percent 2 2 2 3 8" xfId="32427" xr:uid="{00000000-0005-0000-0000-0000017B0000}"/>
    <cellStyle name="Percent 2 2 2 4" xfId="8177" xr:uid="{00000000-0005-0000-0000-0000027B0000}"/>
    <cellStyle name="Percent 2 2 2 4 2" xfId="8178" xr:uid="{00000000-0005-0000-0000-0000037B0000}"/>
    <cellStyle name="Percent 2 2 2 4 2 2" xfId="17181" xr:uid="{00000000-0005-0000-0000-0000047B0000}"/>
    <cellStyle name="Percent 2 2 2 4 2 2 2" xfId="30540" xr:uid="{00000000-0005-0000-0000-0000057B0000}"/>
    <cellStyle name="Percent 2 2 2 4 2 3" xfId="32438" xr:uid="{00000000-0005-0000-0000-0000067B0000}"/>
    <cellStyle name="Percent 2 2 2 4 3" xfId="10357" xr:uid="{00000000-0005-0000-0000-0000077B0000}"/>
    <cellStyle name="Percent 2 2 2 4 4" xfId="32437" xr:uid="{00000000-0005-0000-0000-0000087B0000}"/>
    <cellStyle name="Percent 2 2 2 5" xfId="8179" xr:uid="{00000000-0005-0000-0000-0000097B0000}"/>
    <cellStyle name="Percent 2 2 2 5 2" xfId="8180" xr:uid="{00000000-0005-0000-0000-00000A7B0000}"/>
    <cellStyle name="Percent 2 2 2 5 2 2" xfId="11661" xr:uid="{00000000-0005-0000-0000-00000B7B0000}"/>
    <cellStyle name="Percent 2 2 2 5 2 3" xfId="32440" xr:uid="{00000000-0005-0000-0000-00000C7B0000}"/>
    <cellStyle name="Percent 2 2 2 5 3" xfId="8181" xr:uid="{00000000-0005-0000-0000-00000D7B0000}"/>
    <cellStyle name="Percent 2 2 2 5 3 2" xfId="17270" xr:uid="{00000000-0005-0000-0000-00000E7B0000}"/>
    <cellStyle name="Percent 2 2 2 5 3 2 2" xfId="30629" xr:uid="{00000000-0005-0000-0000-00000F7B0000}"/>
    <cellStyle name="Percent 2 2 2 5 3 3" xfId="32441" xr:uid="{00000000-0005-0000-0000-0000107B0000}"/>
    <cellStyle name="Percent 2 2 2 5 4" xfId="10358" xr:uid="{00000000-0005-0000-0000-0000117B0000}"/>
    <cellStyle name="Percent 2 2 2 5 5" xfId="32439" xr:uid="{00000000-0005-0000-0000-0000127B0000}"/>
    <cellStyle name="Percent 2 2 2 6" xfId="8182" xr:uid="{00000000-0005-0000-0000-0000137B0000}"/>
    <cellStyle name="Percent 2 2 2 6 2" xfId="8183" xr:uid="{00000000-0005-0000-0000-0000147B0000}"/>
    <cellStyle name="Percent 2 2 2 6 2 2" xfId="13337" xr:uid="{00000000-0005-0000-0000-0000157B0000}"/>
    <cellStyle name="Percent 2 2 2 6 2 3" xfId="32443" xr:uid="{00000000-0005-0000-0000-0000167B0000}"/>
    <cellStyle name="Percent 2 2 2 6 3" xfId="8184" xr:uid="{00000000-0005-0000-0000-0000177B0000}"/>
    <cellStyle name="Percent 2 2 2 6 3 2" xfId="16545" xr:uid="{00000000-0005-0000-0000-0000187B0000}"/>
    <cellStyle name="Percent 2 2 2 6 3 2 2" xfId="29952" xr:uid="{00000000-0005-0000-0000-0000197B0000}"/>
    <cellStyle name="Percent 2 2 2 6 3 3" xfId="32444" xr:uid="{00000000-0005-0000-0000-00001A7B0000}"/>
    <cellStyle name="Percent 2 2 2 6 4" xfId="11920" xr:uid="{00000000-0005-0000-0000-00001B7B0000}"/>
    <cellStyle name="Percent 2 2 2 6 4 2" xfId="25635" xr:uid="{00000000-0005-0000-0000-00001C7B0000}"/>
    <cellStyle name="Percent 2 2 2 6 5" xfId="32442" xr:uid="{00000000-0005-0000-0000-00001D7B0000}"/>
    <cellStyle name="Percent 2 2 2 7" xfId="8185" xr:uid="{00000000-0005-0000-0000-00001E7B0000}"/>
    <cellStyle name="Percent 2 2 2 7 2" xfId="8186" xr:uid="{00000000-0005-0000-0000-00001F7B0000}"/>
    <cellStyle name="Percent 2 2 2 7 2 2" xfId="15767" xr:uid="{00000000-0005-0000-0000-0000207B0000}"/>
    <cellStyle name="Percent 2 2 2 7 2 3" xfId="32446" xr:uid="{00000000-0005-0000-0000-0000217B0000}"/>
    <cellStyle name="Percent 2 2 2 7 3" xfId="13497" xr:uid="{00000000-0005-0000-0000-0000227B0000}"/>
    <cellStyle name="Percent 2 2 2 7 3 2" xfId="27046" xr:uid="{00000000-0005-0000-0000-0000237B0000}"/>
    <cellStyle name="Percent 2 2 2 7 4" xfId="32445" xr:uid="{00000000-0005-0000-0000-0000247B0000}"/>
    <cellStyle name="Percent 2 2 2 8" xfId="8187" xr:uid="{00000000-0005-0000-0000-0000257B0000}"/>
    <cellStyle name="Percent 2 2 2 8 2" xfId="14078" xr:uid="{00000000-0005-0000-0000-0000267B0000}"/>
    <cellStyle name="Percent 2 2 2 8 2 2" xfId="27627" xr:uid="{00000000-0005-0000-0000-0000277B0000}"/>
    <cellStyle name="Percent 2 2 2 8 3" xfId="32447" xr:uid="{00000000-0005-0000-0000-0000287B0000}"/>
    <cellStyle name="Percent 2 2 2 9" xfId="8188" xr:uid="{00000000-0005-0000-0000-0000297B0000}"/>
    <cellStyle name="Percent 2 2 2 9 2" xfId="15964" xr:uid="{00000000-0005-0000-0000-00002A7B0000}"/>
    <cellStyle name="Percent 2 2 2 9 2 2" xfId="29371" xr:uid="{00000000-0005-0000-0000-00002B7B0000}"/>
    <cellStyle name="Percent 2 2 2 9 3" xfId="32448" xr:uid="{00000000-0005-0000-0000-00002C7B0000}"/>
    <cellStyle name="Percent 2 2 3" xfId="8189" xr:uid="{00000000-0005-0000-0000-00002D7B0000}"/>
    <cellStyle name="Percent 2 2 3 2" xfId="8190" xr:uid="{00000000-0005-0000-0000-00002E7B0000}"/>
    <cellStyle name="Percent 2 2 3 2 2" xfId="8191" xr:uid="{00000000-0005-0000-0000-00002F7B0000}"/>
    <cellStyle name="Percent 2 2 3 2 2 2" xfId="8192" xr:uid="{00000000-0005-0000-0000-0000307B0000}"/>
    <cellStyle name="Percent 2 2 3 2 2 2 2" xfId="11662" xr:uid="{00000000-0005-0000-0000-0000317B0000}"/>
    <cellStyle name="Percent 2 2 3 2 2 2 3" xfId="32452" xr:uid="{00000000-0005-0000-0000-0000327B0000}"/>
    <cellStyle name="Percent 2 2 3 2 2 3" xfId="8193" xr:uid="{00000000-0005-0000-0000-0000337B0000}"/>
    <cellStyle name="Percent 2 2 3 2 2 3 2" xfId="16931" xr:uid="{00000000-0005-0000-0000-0000347B0000}"/>
    <cellStyle name="Percent 2 2 3 2 2 3 2 2" xfId="30338" xr:uid="{00000000-0005-0000-0000-0000357B0000}"/>
    <cellStyle name="Percent 2 2 3 2 2 3 3" xfId="32453" xr:uid="{00000000-0005-0000-0000-0000367B0000}"/>
    <cellStyle name="Percent 2 2 3 2 2 4" xfId="10361" xr:uid="{00000000-0005-0000-0000-0000377B0000}"/>
    <cellStyle name="Percent 2 2 3 2 2 5" xfId="32451" xr:uid="{00000000-0005-0000-0000-0000387B0000}"/>
    <cellStyle name="Percent 2 2 3 2 3" xfId="8194" xr:uid="{00000000-0005-0000-0000-0000397B0000}"/>
    <cellStyle name="Percent 2 2 3 2 3 2" xfId="8195" xr:uid="{00000000-0005-0000-0000-00003A7B0000}"/>
    <cellStyle name="Percent 2 2 3 2 3 2 2" xfId="13338" xr:uid="{00000000-0005-0000-0000-00003B7B0000}"/>
    <cellStyle name="Percent 2 2 3 2 3 2 3" xfId="32455" xr:uid="{00000000-0005-0000-0000-00003C7B0000}"/>
    <cellStyle name="Percent 2 2 3 2 3 3" xfId="12319" xr:uid="{00000000-0005-0000-0000-00003D7B0000}"/>
    <cellStyle name="Percent 2 2 3 2 3 3 2" xfId="26031" xr:uid="{00000000-0005-0000-0000-00003E7B0000}"/>
    <cellStyle name="Percent 2 2 3 2 3 4" xfId="32454" xr:uid="{00000000-0005-0000-0000-00003F7B0000}"/>
    <cellStyle name="Percent 2 2 3 2 4" xfId="8196" xr:uid="{00000000-0005-0000-0000-0000407B0000}"/>
    <cellStyle name="Percent 2 2 3 2 4 2" xfId="8197" xr:uid="{00000000-0005-0000-0000-0000417B0000}"/>
    <cellStyle name="Percent 2 2 3 2 4 2 2" xfId="15768" xr:uid="{00000000-0005-0000-0000-0000427B0000}"/>
    <cellStyle name="Percent 2 2 3 2 4 2 3" xfId="32457" xr:uid="{00000000-0005-0000-0000-0000437B0000}"/>
    <cellStyle name="Percent 2 2 3 2 4 3" xfId="13883" xr:uid="{00000000-0005-0000-0000-0000447B0000}"/>
    <cellStyle name="Percent 2 2 3 2 4 3 2" xfId="27432" xr:uid="{00000000-0005-0000-0000-0000457B0000}"/>
    <cellStyle name="Percent 2 2 3 2 4 4" xfId="32456" xr:uid="{00000000-0005-0000-0000-0000467B0000}"/>
    <cellStyle name="Percent 2 2 3 2 5" xfId="8198" xr:uid="{00000000-0005-0000-0000-0000477B0000}"/>
    <cellStyle name="Percent 2 2 3 2 5 2" xfId="14464" xr:uid="{00000000-0005-0000-0000-0000487B0000}"/>
    <cellStyle name="Percent 2 2 3 2 5 2 2" xfId="28013" xr:uid="{00000000-0005-0000-0000-0000497B0000}"/>
    <cellStyle name="Percent 2 2 3 2 5 3" xfId="32458" xr:uid="{00000000-0005-0000-0000-00004A7B0000}"/>
    <cellStyle name="Percent 2 2 3 2 6" xfId="8199" xr:uid="{00000000-0005-0000-0000-00004B7B0000}"/>
    <cellStyle name="Percent 2 2 3 2 6 2" xfId="16350" xr:uid="{00000000-0005-0000-0000-00004C7B0000}"/>
    <cellStyle name="Percent 2 2 3 2 6 2 2" xfId="29757" xr:uid="{00000000-0005-0000-0000-00004D7B0000}"/>
    <cellStyle name="Percent 2 2 3 2 6 3" xfId="32459" xr:uid="{00000000-0005-0000-0000-00004E7B0000}"/>
    <cellStyle name="Percent 2 2 3 2 7" xfId="10360" xr:uid="{00000000-0005-0000-0000-00004F7B0000}"/>
    <cellStyle name="Percent 2 2 3 2 8" xfId="32450" xr:uid="{00000000-0005-0000-0000-0000507B0000}"/>
    <cellStyle name="Percent 2 2 3 3" xfId="8200" xr:uid="{00000000-0005-0000-0000-0000517B0000}"/>
    <cellStyle name="Percent 2 2 3 3 2" xfId="8201" xr:uid="{00000000-0005-0000-0000-0000527B0000}"/>
    <cellStyle name="Percent 2 2 3 3 2 2" xfId="11663" xr:uid="{00000000-0005-0000-0000-0000537B0000}"/>
    <cellStyle name="Percent 2 2 3 3 2 3" xfId="32461" xr:uid="{00000000-0005-0000-0000-0000547B0000}"/>
    <cellStyle name="Percent 2 2 3 3 3" xfId="8202" xr:uid="{00000000-0005-0000-0000-0000557B0000}"/>
    <cellStyle name="Percent 2 2 3 3 3 2" xfId="16642" xr:uid="{00000000-0005-0000-0000-0000567B0000}"/>
    <cellStyle name="Percent 2 2 3 3 3 2 2" xfId="30049" xr:uid="{00000000-0005-0000-0000-0000577B0000}"/>
    <cellStyle name="Percent 2 2 3 3 3 3" xfId="32462" xr:uid="{00000000-0005-0000-0000-0000587B0000}"/>
    <cellStyle name="Percent 2 2 3 3 4" xfId="10362" xr:uid="{00000000-0005-0000-0000-0000597B0000}"/>
    <cellStyle name="Percent 2 2 3 3 5" xfId="32460" xr:uid="{00000000-0005-0000-0000-00005A7B0000}"/>
    <cellStyle name="Percent 2 2 3 4" xfId="8203" xr:uid="{00000000-0005-0000-0000-00005B7B0000}"/>
    <cellStyle name="Percent 2 2 3 4 2" xfId="8204" xr:uid="{00000000-0005-0000-0000-00005C7B0000}"/>
    <cellStyle name="Percent 2 2 3 4 2 2" xfId="13339" xr:uid="{00000000-0005-0000-0000-00005D7B0000}"/>
    <cellStyle name="Percent 2 2 3 4 2 3" xfId="32464" xr:uid="{00000000-0005-0000-0000-00005E7B0000}"/>
    <cellStyle name="Percent 2 2 3 4 3" xfId="12019" xr:uid="{00000000-0005-0000-0000-00005F7B0000}"/>
    <cellStyle name="Percent 2 2 3 4 3 2" xfId="25734" xr:uid="{00000000-0005-0000-0000-0000607B0000}"/>
    <cellStyle name="Percent 2 2 3 4 4" xfId="32463" xr:uid="{00000000-0005-0000-0000-0000617B0000}"/>
    <cellStyle name="Percent 2 2 3 5" xfId="8205" xr:uid="{00000000-0005-0000-0000-0000627B0000}"/>
    <cellStyle name="Percent 2 2 3 5 2" xfId="8206" xr:uid="{00000000-0005-0000-0000-0000637B0000}"/>
    <cellStyle name="Percent 2 2 3 5 2 2" xfId="15769" xr:uid="{00000000-0005-0000-0000-0000647B0000}"/>
    <cellStyle name="Percent 2 2 3 5 2 3" xfId="32466" xr:uid="{00000000-0005-0000-0000-0000657B0000}"/>
    <cellStyle name="Percent 2 2 3 5 3" xfId="13594" xr:uid="{00000000-0005-0000-0000-0000667B0000}"/>
    <cellStyle name="Percent 2 2 3 5 3 2" xfId="27143" xr:uid="{00000000-0005-0000-0000-0000677B0000}"/>
    <cellStyle name="Percent 2 2 3 5 4" xfId="32465" xr:uid="{00000000-0005-0000-0000-0000687B0000}"/>
    <cellStyle name="Percent 2 2 3 6" xfId="8207" xr:uid="{00000000-0005-0000-0000-0000697B0000}"/>
    <cellStyle name="Percent 2 2 3 6 2" xfId="14175" xr:uid="{00000000-0005-0000-0000-00006A7B0000}"/>
    <cellStyle name="Percent 2 2 3 6 2 2" xfId="27724" xr:uid="{00000000-0005-0000-0000-00006B7B0000}"/>
    <cellStyle name="Percent 2 2 3 6 3" xfId="32467" xr:uid="{00000000-0005-0000-0000-00006C7B0000}"/>
    <cellStyle name="Percent 2 2 3 7" xfId="8208" xr:uid="{00000000-0005-0000-0000-00006D7B0000}"/>
    <cellStyle name="Percent 2 2 3 7 2" xfId="16061" xr:uid="{00000000-0005-0000-0000-00006E7B0000}"/>
    <cellStyle name="Percent 2 2 3 7 2 2" xfId="29468" xr:uid="{00000000-0005-0000-0000-00006F7B0000}"/>
    <cellStyle name="Percent 2 2 3 7 3" xfId="32468" xr:uid="{00000000-0005-0000-0000-0000707B0000}"/>
    <cellStyle name="Percent 2 2 3 8" xfId="10359" xr:uid="{00000000-0005-0000-0000-0000717B0000}"/>
    <cellStyle name="Percent 2 2 3 9" xfId="32449" xr:uid="{00000000-0005-0000-0000-0000727B0000}"/>
    <cellStyle name="Percent 2 2 4" xfId="8209" xr:uid="{00000000-0005-0000-0000-0000737B0000}"/>
    <cellStyle name="Percent 2 2 4 2" xfId="8210" xr:uid="{00000000-0005-0000-0000-0000747B0000}"/>
    <cellStyle name="Percent 2 2 4 2 2" xfId="8211" xr:uid="{00000000-0005-0000-0000-0000757B0000}"/>
    <cellStyle name="Percent 2 2 4 2 2 2" xfId="11665" xr:uid="{00000000-0005-0000-0000-0000767B0000}"/>
    <cellStyle name="Percent 2 2 4 2 2 3" xfId="32471" xr:uid="{00000000-0005-0000-0000-0000777B0000}"/>
    <cellStyle name="Percent 2 2 4 2 3" xfId="8212" xr:uid="{00000000-0005-0000-0000-0000787B0000}"/>
    <cellStyle name="Percent 2 2 4 2 3 2" xfId="16788" xr:uid="{00000000-0005-0000-0000-0000797B0000}"/>
    <cellStyle name="Percent 2 2 4 2 3 2 2" xfId="30195" xr:uid="{00000000-0005-0000-0000-00007A7B0000}"/>
    <cellStyle name="Percent 2 2 4 2 3 3" xfId="32472" xr:uid="{00000000-0005-0000-0000-00007B7B0000}"/>
    <cellStyle name="Percent 2 2 4 2 4" xfId="10364" xr:uid="{00000000-0005-0000-0000-00007C7B0000}"/>
    <cellStyle name="Percent 2 2 4 2 5" xfId="32470" xr:uid="{00000000-0005-0000-0000-00007D7B0000}"/>
    <cellStyle name="Percent 2 2 4 3" xfId="8213" xr:uid="{00000000-0005-0000-0000-00007E7B0000}"/>
    <cellStyle name="Percent 2 2 4 3 2" xfId="8214" xr:uid="{00000000-0005-0000-0000-00007F7B0000}"/>
    <cellStyle name="Percent 2 2 4 3 2 2" xfId="13340" xr:uid="{00000000-0005-0000-0000-0000807B0000}"/>
    <cellStyle name="Percent 2 2 4 3 2 3" xfId="32474" xr:uid="{00000000-0005-0000-0000-0000817B0000}"/>
    <cellStyle name="Percent 2 2 4 3 3" xfId="12176" xr:uid="{00000000-0005-0000-0000-0000827B0000}"/>
    <cellStyle name="Percent 2 2 4 3 3 2" xfId="25888" xr:uid="{00000000-0005-0000-0000-0000837B0000}"/>
    <cellStyle name="Percent 2 2 4 3 4" xfId="32473" xr:uid="{00000000-0005-0000-0000-0000847B0000}"/>
    <cellStyle name="Percent 2 2 4 4" xfId="8215" xr:uid="{00000000-0005-0000-0000-0000857B0000}"/>
    <cellStyle name="Percent 2 2 4 4 2" xfId="8216" xr:uid="{00000000-0005-0000-0000-0000867B0000}"/>
    <cellStyle name="Percent 2 2 4 4 2 2" xfId="15770" xr:uid="{00000000-0005-0000-0000-0000877B0000}"/>
    <cellStyle name="Percent 2 2 4 4 2 3" xfId="32476" xr:uid="{00000000-0005-0000-0000-0000887B0000}"/>
    <cellStyle name="Percent 2 2 4 4 3" xfId="13740" xr:uid="{00000000-0005-0000-0000-0000897B0000}"/>
    <cellStyle name="Percent 2 2 4 4 3 2" xfId="27289" xr:uid="{00000000-0005-0000-0000-00008A7B0000}"/>
    <cellStyle name="Percent 2 2 4 4 4" xfId="32475" xr:uid="{00000000-0005-0000-0000-00008B7B0000}"/>
    <cellStyle name="Percent 2 2 4 5" xfId="8217" xr:uid="{00000000-0005-0000-0000-00008C7B0000}"/>
    <cellStyle name="Percent 2 2 4 5 2" xfId="14321" xr:uid="{00000000-0005-0000-0000-00008D7B0000}"/>
    <cellStyle name="Percent 2 2 4 5 2 2" xfId="27870" xr:uid="{00000000-0005-0000-0000-00008E7B0000}"/>
    <cellStyle name="Percent 2 2 4 5 3" xfId="32477" xr:uid="{00000000-0005-0000-0000-00008F7B0000}"/>
    <cellStyle name="Percent 2 2 4 6" xfId="8218" xr:uid="{00000000-0005-0000-0000-0000907B0000}"/>
    <cellStyle name="Percent 2 2 4 6 2" xfId="16207" xr:uid="{00000000-0005-0000-0000-0000917B0000}"/>
    <cellStyle name="Percent 2 2 4 6 2 2" xfId="29614" xr:uid="{00000000-0005-0000-0000-0000927B0000}"/>
    <cellStyle name="Percent 2 2 4 6 3" xfId="32478" xr:uid="{00000000-0005-0000-0000-0000937B0000}"/>
    <cellStyle name="Percent 2 2 4 7" xfId="10363" xr:uid="{00000000-0005-0000-0000-0000947B0000}"/>
    <cellStyle name="Percent 2 2 4 8" xfId="32469" xr:uid="{00000000-0005-0000-0000-0000957B0000}"/>
    <cellStyle name="Percent 2 2 5" xfId="8219" xr:uid="{00000000-0005-0000-0000-0000967B0000}"/>
    <cellStyle name="Percent 2 2 5 2" xfId="8220" xr:uid="{00000000-0005-0000-0000-0000977B0000}"/>
    <cellStyle name="Percent 2 2 5 2 2" xfId="8221" xr:uid="{00000000-0005-0000-0000-0000987B0000}"/>
    <cellStyle name="Percent 2 2 5 2 2 2" xfId="11667" xr:uid="{00000000-0005-0000-0000-0000997B0000}"/>
    <cellStyle name="Percent 2 2 5 2 2 3" xfId="32481" xr:uid="{00000000-0005-0000-0000-00009A7B0000}"/>
    <cellStyle name="Percent 2 2 5 2 3" xfId="10366" xr:uid="{00000000-0005-0000-0000-00009B7B0000}"/>
    <cellStyle name="Percent 2 2 5 2 4" xfId="32480" xr:uid="{00000000-0005-0000-0000-00009C7B0000}"/>
    <cellStyle name="Percent 2 2 5 3" xfId="8222" xr:uid="{00000000-0005-0000-0000-00009D7B0000}"/>
    <cellStyle name="Percent 2 2 5 3 2" xfId="11666" xr:uid="{00000000-0005-0000-0000-00009E7B0000}"/>
    <cellStyle name="Percent 2 2 5 3 3" xfId="32482" xr:uid="{00000000-0005-0000-0000-00009F7B0000}"/>
    <cellStyle name="Percent 2 2 5 4" xfId="8223" xr:uid="{00000000-0005-0000-0000-0000A07B0000}"/>
    <cellStyle name="Percent 2 2 5 4 2" xfId="17055" xr:uid="{00000000-0005-0000-0000-0000A17B0000}"/>
    <cellStyle name="Percent 2 2 5 4 2 2" xfId="30454" xr:uid="{00000000-0005-0000-0000-0000A27B0000}"/>
    <cellStyle name="Percent 2 2 5 4 3" xfId="32483" xr:uid="{00000000-0005-0000-0000-0000A37B0000}"/>
    <cellStyle name="Percent 2 2 5 5" xfId="10365" xr:uid="{00000000-0005-0000-0000-0000A47B0000}"/>
    <cellStyle name="Percent 2 2 5 6" xfId="32479" xr:uid="{00000000-0005-0000-0000-0000A57B0000}"/>
    <cellStyle name="Percent 2 2 6" xfId="8224" xr:uid="{00000000-0005-0000-0000-0000A67B0000}"/>
    <cellStyle name="Percent 2 2 6 2" xfId="8225" xr:uid="{00000000-0005-0000-0000-0000A77B0000}"/>
    <cellStyle name="Percent 2 2 6 2 2" xfId="17135" xr:uid="{00000000-0005-0000-0000-0000A87B0000}"/>
    <cellStyle name="Percent 2 2 6 2 2 2" xfId="30494" xr:uid="{00000000-0005-0000-0000-0000A97B0000}"/>
    <cellStyle name="Percent 2 2 6 2 3" xfId="32485" xr:uid="{00000000-0005-0000-0000-0000AA7B0000}"/>
    <cellStyle name="Percent 2 2 6 3" xfId="10367" xr:uid="{00000000-0005-0000-0000-0000AB7B0000}"/>
    <cellStyle name="Percent 2 2 6 4" xfId="32484" xr:uid="{00000000-0005-0000-0000-0000AC7B0000}"/>
    <cellStyle name="Percent 2 2 7" xfId="8226" xr:uid="{00000000-0005-0000-0000-0000AD7B0000}"/>
    <cellStyle name="Percent 2 2 7 2" xfId="8227" xr:uid="{00000000-0005-0000-0000-0000AE7B0000}"/>
    <cellStyle name="Percent 2 2 7 2 2" xfId="11668" xr:uid="{00000000-0005-0000-0000-0000AF7B0000}"/>
    <cellStyle name="Percent 2 2 7 2 3" xfId="32487" xr:uid="{00000000-0005-0000-0000-0000B07B0000}"/>
    <cellStyle name="Percent 2 2 7 3" xfId="8228" xr:uid="{00000000-0005-0000-0000-0000B17B0000}"/>
    <cellStyle name="Percent 2 2 7 3 2" xfId="17224" xr:uid="{00000000-0005-0000-0000-0000B27B0000}"/>
    <cellStyle name="Percent 2 2 7 3 2 2" xfId="30583" xr:uid="{00000000-0005-0000-0000-0000B37B0000}"/>
    <cellStyle name="Percent 2 2 7 3 3" xfId="32488" xr:uid="{00000000-0005-0000-0000-0000B47B0000}"/>
    <cellStyle name="Percent 2 2 7 4" xfId="10368" xr:uid="{00000000-0005-0000-0000-0000B57B0000}"/>
    <cellStyle name="Percent 2 2 7 5" xfId="32486" xr:uid="{00000000-0005-0000-0000-0000B67B0000}"/>
    <cellStyle name="Percent 2 2 8" xfId="8229" xr:uid="{00000000-0005-0000-0000-0000B77B0000}"/>
    <cellStyle name="Percent 2 2 8 2" xfId="8230" xr:uid="{00000000-0005-0000-0000-0000B87B0000}"/>
    <cellStyle name="Percent 2 2 8 2 2" xfId="11669" xr:uid="{00000000-0005-0000-0000-0000B97B0000}"/>
    <cellStyle name="Percent 2 2 8 2 3" xfId="32490" xr:uid="{00000000-0005-0000-0000-0000BA7B0000}"/>
    <cellStyle name="Percent 2 2 8 3" xfId="8231" xr:uid="{00000000-0005-0000-0000-0000BB7B0000}"/>
    <cellStyle name="Percent 2 2 8 3 2" xfId="16499" xr:uid="{00000000-0005-0000-0000-0000BC7B0000}"/>
    <cellStyle name="Percent 2 2 8 3 2 2" xfId="29906" xr:uid="{00000000-0005-0000-0000-0000BD7B0000}"/>
    <cellStyle name="Percent 2 2 8 3 3" xfId="32491" xr:uid="{00000000-0005-0000-0000-0000BE7B0000}"/>
    <cellStyle name="Percent 2 2 8 4" xfId="10369" xr:uid="{00000000-0005-0000-0000-0000BF7B0000}"/>
    <cellStyle name="Percent 2 2 8 5" xfId="32489" xr:uid="{00000000-0005-0000-0000-0000C07B0000}"/>
    <cellStyle name="Percent 2 2 9" xfId="8232" xr:uid="{00000000-0005-0000-0000-0000C17B0000}"/>
    <cellStyle name="Percent 2 2 9 2" xfId="8233" xr:uid="{00000000-0005-0000-0000-0000C27B0000}"/>
    <cellStyle name="Percent 2 2 9 2 2" xfId="13341" xr:uid="{00000000-0005-0000-0000-0000C37B0000}"/>
    <cellStyle name="Percent 2 2 9 2 2 2" xfId="26924" xr:uid="{00000000-0005-0000-0000-0000C47B0000}"/>
    <cellStyle name="Percent 2 2 9 2 3" xfId="32493" xr:uid="{00000000-0005-0000-0000-0000C57B0000}"/>
    <cellStyle name="Percent 2 2 9 3" xfId="8234" xr:uid="{00000000-0005-0000-0000-0000C67B0000}"/>
    <cellStyle name="Percent 2 2 9 3 2" xfId="15771" xr:uid="{00000000-0005-0000-0000-0000C77B0000}"/>
    <cellStyle name="Percent 2 2 9 3 3" xfId="32494" xr:uid="{00000000-0005-0000-0000-0000C87B0000}"/>
    <cellStyle name="Percent 2 2 9 4" xfId="10544" xr:uid="{00000000-0005-0000-0000-0000C97B0000}"/>
    <cellStyle name="Percent 2 2 9 4 2" xfId="24486" xr:uid="{00000000-0005-0000-0000-0000CA7B0000}"/>
    <cellStyle name="Percent 2 2 9 5" xfId="32492" xr:uid="{00000000-0005-0000-0000-0000CB7B0000}"/>
    <cellStyle name="Percent 2 20" xfId="8235" xr:uid="{00000000-0005-0000-0000-0000CC7B0000}"/>
    <cellStyle name="Percent 2 20 2" xfId="8236" xr:uid="{00000000-0005-0000-0000-0000CD7B0000}"/>
    <cellStyle name="Percent 2 20 2 2" xfId="11670" xr:uid="{00000000-0005-0000-0000-0000CE7B0000}"/>
    <cellStyle name="Percent 2 20 2 3" xfId="32496" xr:uid="{00000000-0005-0000-0000-0000CF7B0000}"/>
    <cellStyle name="Percent 2 20 3" xfId="10370" xr:uid="{00000000-0005-0000-0000-0000D07B0000}"/>
    <cellStyle name="Percent 2 20 4" xfId="32495" xr:uid="{00000000-0005-0000-0000-0000D17B0000}"/>
    <cellStyle name="Percent 2 21" xfId="8237" xr:uid="{00000000-0005-0000-0000-0000D27B0000}"/>
    <cellStyle name="Percent 2 21 2" xfId="8238" xr:uid="{00000000-0005-0000-0000-0000D37B0000}"/>
    <cellStyle name="Percent 2 21 2 2" xfId="11726" xr:uid="{00000000-0005-0000-0000-0000D47B0000}"/>
    <cellStyle name="Percent 2 21 2 2 2" xfId="25446" xr:uid="{00000000-0005-0000-0000-0000D57B0000}"/>
    <cellStyle name="Percent 2 21 2 3" xfId="32498" xr:uid="{00000000-0005-0000-0000-0000D67B0000}"/>
    <cellStyle name="Percent 2 21 3" xfId="8239" xr:uid="{00000000-0005-0000-0000-0000D77B0000}"/>
    <cellStyle name="Percent 2 21 3 2" xfId="13342" xr:uid="{00000000-0005-0000-0000-0000D87B0000}"/>
    <cellStyle name="Percent 2 21 3 2 2" xfId="26925" xr:uid="{00000000-0005-0000-0000-0000D97B0000}"/>
    <cellStyle name="Percent 2 21 3 3" xfId="32499" xr:uid="{00000000-0005-0000-0000-0000DA7B0000}"/>
    <cellStyle name="Percent 2 21 4" xfId="8240" xr:uid="{00000000-0005-0000-0000-0000DB7B0000}"/>
    <cellStyle name="Percent 2 21 4 2" xfId="15772" xr:uid="{00000000-0005-0000-0000-0000DC7B0000}"/>
    <cellStyle name="Percent 2 21 4 3" xfId="32500" xr:uid="{00000000-0005-0000-0000-0000DD7B0000}"/>
    <cellStyle name="Percent 2 21 5" xfId="10500" xr:uid="{00000000-0005-0000-0000-0000DE7B0000}"/>
    <cellStyle name="Percent 2 21 5 2" xfId="24450" xr:uid="{00000000-0005-0000-0000-0000DF7B0000}"/>
    <cellStyle name="Percent 2 21 6" xfId="32497" xr:uid="{00000000-0005-0000-0000-0000E07B0000}"/>
    <cellStyle name="Percent 2 22" xfId="8241" xr:uid="{00000000-0005-0000-0000-0000E17B0000}"/>
    <cellStyle name="Percent 2 22 2" xfId="8242" xr:uid="{00000000-0005-0000-0000-0000E27B0000}"/>
    <cellStyle name="Percent 2 22 2 2" xfId="13343" xr:uid="{00000000-0005-0000-0000-0000E37B0000}"/>
    <cellStyle name="Percent 2 22 2 2 2" xfId="26926" xr:uid="{00000000-0005-0000-0000-0000E47B0000}"/>
    <cellStyle name="Percent 2 22 2 3" xfId="32502" xr:uid="{00000000-0005-0000-0000-0000E57B0000}"/>
    <cellStyle name="Percent 2 22 3" xfId="8243" xr:uid="{00000000-0005-0000-0000-0000E67B0000}"/>
    <cellStyle name="Percent 2 22 3 2" xfId="15773" xr:uid="{00000000-0005-0000-0000-0000E77B0000}"/>
    <cellStyle name="Percent 2 22 3 3" xfId="32503" xr:uid="{00000000-0005-0000-0000-0000E87B0000}"/>
    <cellStyle name="Percent 2 22 4" xfId="10527" xr:uid="{00000000-0005-0000-0000-0000E97B0000}"/>
    <cellStyle name="Percent 2 22 4 2" xfId="24469" xr:uid="{00000000-0005-0000-0000-0000EA7B0000}"/>
    <cellStyle name="Percent 2 22 5" xfId="32501" xr:uid="{00000000-0005-0000-0000-0000EB7B0000}"/>
    <cellStyle name="Percent 2 23" xfId="8244" xr:uid="{00000000-0005-0000-0000-0000EC7B0000}"/>
    <cellStyle name="Percent 2 23 2" xfId="11649" xr:uid="{00000000-0005-0000-0000-0000ED7B0000}"/>
    <cellStyle name="Percent 2 23 3" xfId="32504" xr:uid="{00000000-0005-0000-0000-0000EE7B0000}"/>
    <cellStyle name="Percent 2 24" xfId="8245" xr:uid="{00000000-0005-0000-0000-0000EF7B0000}"/>
    <cellStyle name="Percent 2 24 2" xfId="11791" xr:uid="{00000000-0005-0000-0000-0000F07B0000}"/>
    <cellStyle name="Percent 2 24 2 2" xfId="25506" xr:uid="{00000000-0005-0000-0000-0000F17B0000}"/>
    <cellStyle name="Percent 2 24 3" xfId="32505" xr:uid="{00000000-0005-0000-0000-0000F27B0000}"/>
    <cellStyle name="Percent 2 25" xfId="8246" xr:uid="{00000000-0005-0000-0000-0000F37B0000}"/>
    <cellStyle name="Percent 2 25 2" xfId="13394" xr:uid="{00000000-0005-0000-0000-0000F47B0000}"/>
    <cellStyle name="Percent 2 25 2 2" xfId="26943" xr:uid="{00000000-0005-0000-0000-0000F57B0000}"/>
    <cellStyle name="Percent 2 25 3" xfId="32506" xr:uid="{00000000-0005-0000-0000-0000F67B0000}"/>
    <cellStyle name="Percent 2 26" xfId="8247" xr:uid="{00000000-0005-0000-0000-0000F77B0000}"/>
    <cellStyle name="Percent 2 26 2" xfId="13975" xr:uid="{00000000-0005-0000-0000-0000F87B0000}"/>
    <cellStyle name="Percent 2 26 2 2" xfId="27524" xr:uid="{00000000-0005-0000-0000-0000F97B0000}"/>
    <cellStyle name="Percent 2 26 3" xfId="32507" xr:uid="{00000000-0005-0000-0000-0000FA7B0000}"/>
    <cellStyle name="Percent 2 27" xfId="8248" xr:uid="{00000000-0005-0000-0000-0000FB7B0000}"/>
    <cellStyle name="Percent 2 27 2" xfId="15844" xr:uid="{00000000-0005-0000-0000-0000FC7B0000}"/>
    <cellStyle name="Percent 2 27 2 2" xfId="29251" xr:uid="{00000000-0005-0000-0000-0000FD7B0000}"/>
    <cellStyle name="Percent 2 27 3" xfId="32508" xr:uid="{00000000-0005-0000-0000-0000FE7B0000}"/>
    <cellStyle name="Percent 2 28" xfId="8249" xr:uid="{00000000-0005-0000-0000-0000FF7B0000}"/>
    <cellStyle name="Percent 2 28 2" xfId="15861" xr:uid="{00000000-0005-0000-0000-0000007C0000}"/>
    <cellStyle name="Percent 2 28 2 2" xfId="29268" xr:uid="{00000000-0005-0000-0000-0000017C0000}"/>
    <cellStyle name="Percent 2 28 3" xfId="32509" xr:uid="{00000000-0005-0000-0000-0000027C0000}"/>
    <cellStyle name="Percent 2 29" xfId="8654" xr:uid="{00000000-0005-0000-0000-0000037C0000}"/>
    <cellStyle name="Percent 2 29 2" xfId="10337" xr:uid="{00000000-0005-0000-0000-0000047C0000}"/>
    <cellStyle name="Percent 2 3" xfId="8250" xr:uid="{00000000-0005-0000-0000-0000057C0000}"/>
    <cellStyle name="Percent 2 3 10" xfId="8251" xr:uid="{00000000-0005-0000-0000-0000067C0000}"/>
    <cellStyle name="Percent 2 3 10 2" xfId="17351" xr:uid="{00000000-0005-0000-0000-0000077C0000}"/>
    <cellStyle name="Percent 2 3 10 3" xfId="32510" xr:uid="{00000000-0005-0000-0000-0000087C0000}"/>
    <cellStyle name="Percent 2 3 11" xfId="8748" xr:uid="{00000000-0005-0000-0000-0000097C0000}"/>
    <cellStyle name="Percent 2 3 12" xfId="10371" xr:uid="{00000000-0005-0000-0000-00000A7C0000}"/>
    <cellStyle name="Percent 2 3 2" xfId="8252" xr:uid="{00000000-0005-0000-0000-00000B7C0000}"/>
    <cellStyle name="Percent 2 3 2 2" xfId="8253" xr:uid="{00000000-0005-0000-0000-00000C7C0000}"/>
    <cellStyle name="Percent 2 3 2 2 2" xfId="8254" xr:uid="{00000000-0005-0000-0000-00000D7C0000}"/>
    <cellStyle name="Percent 2 3 2 2 2 2" xfId="8255" xr:uid="{00000000-0005-0000-0000-00000E7C0000}"/>
    <cellStyle name="Percent 2 3 2 2 2 2 2" xfId="11671" xr:uid="{00000000-0005-0000-0000-00000F7C0000}"/>
    <cellStyle name="Percent 2 3 2 2 2 2 3" xfId="32514" xr:uid="{00000000-0005-0000-0000-0000107C0000}"/>
    <cellStyle name="Percent 2 3 2 2 2 3" xfId="8256" xr:uid="{00000000-0005-0000-0000-0000117C0000}"/>
    <cellStyle name="Percent 2 3 2 2 2 3 2" xfId="16954" xr:uid="{00000000-0005-0000-0000-0000127C0000}"/>
    <cellStyle name="Percent 2 3 2 2 2 3 2 2" xfId="30361" xr:uid="{00000000-0005-0000-0000-0000137C0000}"/>
    <cellStyle name="Percent 2 3 2 2 2 3 3" xfId="32515" xr:uid="{00000000-0005-0000-0000-0000147C0000}"/>
    <cellStyle name="Percent 2 3 2 2 2 4" xfId="10374" xr:uid="{00000000-0005-0000-0000-0000157C0000}"/>
    <cellStyle name="Percent 2 3 2 2 2 5" xfId="32513" xr:uid="{00000000-0005-0000-0000-0000167C0000}"/>
    <cellStyle name="Percent 2 3 2 2 3" xfId="8257" xr:uid="{00000000-0005-0000-0000-0000177C0000}"/>
    <cellStyle name="Percent 2 3 2 2 3 2" xfId="8258" xr:uid="{00000000-0005-0000-0000-0000187C0000}"/>
    <cellStyle name="Percent 2 3 2 2 3 2 2" xfId="13344" xr:uid="{00000000-0005-0000-0000-0000197C0000}"/>
    <cellStyle name="Percent 2 3 2 2 3 2 3" xfId="32517" xr:uid="{00000000-0005-0000-0000-00001A7C0000}"/>
    <cellStyle name="Percent 2 3 2 2 3 3" xfId="12342" xr:uid="{00000000-0005-0000-0000-00001B7C0000}"/>
    <cellStyle name="Percent 2 3 2 2 3 3 2" xfId="26054" xr:uid="{00000000-0005-0000-0000-00001C7C0000}"/>
    <cellStyle name="Percent 2 3 2 2 3 4" xfId="32516" xr:uid="{00000000-0005-0000-0000-00001D7C0000}"/>
    <cellStyle name="Percent 2 3 2 2 4" xfId="8259" xr:uid="{00000000-0005-0000-0000-00001E7C0000}"/>
    <cellStyle name="Percent 2 3 2 2 4 2" xfId="8260" xr:uid="{00000000-0005-0000-0000-00001F7C0000}"/>
    <cellStyle name="Percent 2 3 2 2 4 2 2" xfId="15774" xr:uid="{00000000-0005-0000-0000-0000207C0000}"/>
    <cellStyle name="Percent 2 3 2 2 4 2 3" xfId="32519" xr:uid="{00000000-0005-0000-0000-0000217C0000}"/>
    <cellStyle name="Percent 2 3 2 2 4 3" xfId="13906" xr:uid="{00000000-0005-0000-0000-0000227C0000}"/>
    <cellStyle name="Percent 2 3 2 2 4 3 2" xfId="27455" xr:uid="{00000000-0005-0000-0000-0000237C0000}"/>
    <cellStyle name="Percent 2 3 2 2 4 4" xfId="32518" xr:uid="{00000000-0005-0000-0000-0000247C0000}"/>
    <cellStyle name="Percent 2 3 2 2 5" xfId="8261" xr:uid="{00000000-0005-0000-0000-0000257C0000}"/>
    <cellStyle name="Percent 2 3 2 2 5 2" xfId="14487" xr:uid="{00000000-0005-0000-0000-0000267C0000}"/>
    <cellStyle name="Percent 2 3 2 2 5 2 2" xfId="28036" xr:uid="{00000000-0005-0000-0000-0000277C0000}"/>
    <cellStyle name="Percent 2 3 2 2 5 3" xfId="32520" xr:uid="{00000000-0005-0000-0000-0000287C0000}"/>
    <cellStyle name="Percent 2 3 2 2 6" xfId="8262" xr:uid="{00000000-0005-0000-0000-0000297C0000}"/>
    <cellStyle name="Percent 2 3 2 2 6 2" xfId="16373" xr:uid="{00000000-0005-0000-0000-00002A7C0000}"/>
    <cellStyle name="Percent 2 3 2 2 6 2 2" xfId="29780" xr:uid="{00000000-0005-0000-0000-00002B7C0000}"/>
    <cellStyle name="Percent 2 3 2 2 6 3" xfId="32521" xr:uid="{00000000-0005-0000-0000-00002C7C0000}"/>
    <cellStyle name="Percent 2 3 2 2 7" xfId="10373" xr:uid="{00000000-0005-0000-0000-00002D7C0000}"/>
    <cellStyle name="Percent 2 3 2 2 8" xfId="32512" xr:uid="{00000000-0005-0000-0000-00002E7C0000}"/>
    <cellStyle name="Percent 2 3 2 3" xfId="8263" xr:uid="{00000000-0005-0000-0000-00002F7C0000}"/>
    <cellStyle name="Percent 2 3 2 3 2" xfId="8264" xr:uid="{00000000-0005-0000-0000-0000307C0000}"/>
    <cellStyle name="Percent 2 3 2 3 2 2" xfId="11672" xr:uid="{00000000-0005-0000-0000-0000317C0000}"/>
    <cellStyle name="Percent 2 3 2 3 2 3" xfId="32523" xr:uid="{00000000-0005-0000-0000-0000327C0000}"/>
    <cellStyle name="Percent 2 3 2 3 3" xfId="8265" xr:uid="{00000000-0005-0000-0000-0000337C0000}"/>
    <cellStyle name="Percent 2 3 2 3 3 2" xfId="16665" xr:uid="{00000000-0005-0000-0000-0000347C0000}"/>
    <cellStyle name="Percent 2 3 2 3 3 2 2" xfId="30072" xr:uid="{00000000-0005-0000-0000-0000357C0000}"/>
    <cellStyle name="Percent 2 3 2 3 3 3" xfId="32524" xr:uid="{00000000-0005-0000-0000-0000367C0000}"/>
    <cellStyle name="Percent 2 3 2 3 4" xfId="10375" xr:uid="{00000000-0005-0000-0000-0000377C0000}"/>
    <cellStyle name="Percent 2 3 2 3 5" xfId="32522" xr:uid="{00000000-0005-0000-0000-0000387C0000}"/>
    <cellStyle name="Percent 2 3 2 4" xfId="8266" xr:uid="{00000000-0005-0000-0000-0000397C0000}"/>
    <cellStyle name="Percent 2 3 2 4 2" xfId="8267" xr:uid="{00000000-0005-0000-0000-00003A7C0000}"/>
    <cellStyle name="Percent 2 3 2 4 2 2" xfId="13345" xr:uid="{00000000-0005-0000-0000-00003B7C0000}"/>
    <cellStyle name="Percent 2 3 2 4 2 3" xfId="32526" xr:uid="{00000000-0005-0000-0000-00003C7C0000}"/>
    <cellStyle name="Percent 2 3 2 4 3" xfId="12042" xr:uid="{00000000-0005-0000-0000-00003D7C0000}"/>
    <cellStyle name="Percent 2 3 2 4 3 2" xfId="25757" xr:uid="{00000000-0005-0000-0000-00003E7C0000}"/>
    <cellStyle name="Percent 2 3 2 4 4" xfId="32525" xr:uid="{00000000-0005-0000-0000-00003F7C0000}"/>
    <cellStyle name="Percent 2 3 2 5" xfId="8268" xr:uid="{00000000-0005-0000-0000-0000407C0000}"/>
    <cellStyle name="Percent 2 3 2 5 2" xfId="8269" xr:uid="{00000000-0005-0000-0000-0000417C0000}"/>
    <cellStyle name="Percent 2 3 2 5 2 2" xfId="15775" xr:uid="{00000000-0005-0000-0000-0000427C0000}"/>
    <cellStyle name="Percent 2 3 2 5 2 3" xfId="32528" xr:uid="{00000000-0005-0000-0000-0000437C0000}"/>
    <cellStyle name="Percent 2 3 2 5 3" xfId="13617" xr:uid="{00000000-0005-0000-0000-0000447C0000}"/>
    <cellStyle name="Percent 2 3 2 5 3 2" xfId="27166" xr:uid="{00000000-0005-0000-0000-0000457C0000}"/>
    <cellStyle name="Percent 2 3 2 5 4" xfId="32527" xr:uid="{00000000-0005-0000-0000-0000467C0000}"/>
    <cellStyle name="Percent 2 3 2 6" xfId="8270" xr:uid="{00000000-0005-0000-0000-0000477C0000}"/>
    <cellStyle name="Percent 2 3 2 6 2" xfId="14198" xr:uid="{00000000-0005-0000-0000-0000487C0000}"/>
    <cellStyle name="Percent 2 3 2 6 2 2" xfId="27747" xr:uid="{00000000-0005-0000-0000-0000497C0000}"/>
    <cellStyle name="Percent 2 3 2 6 3" xfId="32529" xr:uid="{00000000-0005-0000-0000-00004A7C0000}"/>
    <cellStyle name="Percent 2 3 2 7" xfId="8271" xr:uid="{00000000-0005-0000-0000-00004B7C0000}"/>
    <cellStyle name="Percent 2 3 2 7 2" xfId="16084" xr:uid="{00000000-0005-0000-0000-00004C7C0000}"/>
    <cellStyle name="Percent 2 3 2 7 2 2" xfId="29491" xr:uid="{00000000-0005-0000-0000-00004D7C0000}"/>
    <cellStyle name="Percent 2 3 2 7 3" xfId="32530" xr:uid="{00000000-0005-0000-0000-00004E7C0000}"/>
    <cellStyle name="Percent 2 3 2 8" xfId="10372" xr:uid="{00000000-0005-0000-0000-00004F7C0000}"/>
    <cellStyle name="Percent 2 3 2 9" xfId="32511" xr:uid="{00000000-0005-0000-0000-0000507C0000}"/>
    <cellStyle name="Percent 2 3 3" xfId="8272" xr:uid="{00000000-0005-0000-0000-0000517C0000}"/>
    <cellStyle name="Percent 2 3 3 2" xfId="8273" xr:uid="{00000000-0005-0000-0000-0000527C0000}"/>
    <cellStyle name="Percent 2 3 3 2 2" xfId="8274" xr:uid="{00000000-0005-0000-0000-0000537C0000}"/>
    <cellStyle name="Percent 2 3 3 2 2 2" xfId="11673" xr:uid="{00000000-0005-0000-0000-0000547C0000}"/>
    <cellStyle name="Percent 2 3 3 2 2 3" xfId="32533" xr:uid="{00000000-0005-0000-0000-0000557C0000}"/>
    <cellStyle name="Percent 2 3 3 2 3" xfId="8275" xr:uid="{00000000-0005-0000-0000-0000567C0000}"/>
    <cellStyle name="Percent 2 3 3 2 3 2" xfId="16811" xr:uid="{00000000-0005-0000-0000-0000577C0000}"/>
    <cellStyle name="Percent 2 3 3 2 3 2 2" xfId="30218" xr:uid="{00000000-0005-0000-0000-0000587C0000}"/>
    <cellStyle name="Percent 2 3 3 2 3 3" xfId="32534" xr:uid="{00000000-0005-0000-0000-0000597C0000}"/>
    <cellStyle name="Percent 2 3 3 2 4" xfId="10377" xr:uid="{00000000-0005-0000-0000-00005A7C0000}"/>
    <cellStyle name="Percent 2 3 3 2 5" xfId="32532" xr:uid="{00000000-0005-0000-0000-00005B7C0000}"/>
    <cellStyle name="Percent 2 3 3 3" xfId="8276" xr:uid="{00000000-0005-0000-0000-00005C7C0000}"/>
    <cellStyle name="Percent 2 3 3 3 2" xfId="8277" xr:uid="{00000000-0005-0000-0000-00005D7C0000}"/>
    <cellStyle name="Percent 2 3 3 3 2 2" xfId="13346" xr:uid="{00000000-0005-0000-0000-00005E7C0000}"/>
    <cellStyle name="Percent 2 3 3 3 2 3" xfId="32536" xr:uid="{00000000-0005-0000-0000-00005F7C0000}"/>
    <cellStyle name="Percent 2 3 3 3 3" xfId="12199" xr:uid="{00000000-0005-0000-0000-0000607C0000}"/>
    <cellStyle name="Percent 2 3 3 3 3 2" xfId="25911" xr:uid="{00000000-0005-0000-0000-0000617C0000}"/>
    <cellStyle name="Percent 2 3 3 3 4" xfId="32535" xr:uid="{00000000-0005-0000-0000-0000627C0000}"/>
    <cellStyle name="Percent 2 3 3 4" xfId="8278" xr:uid="{00000000-0005-0000-0000-0000637C0000}"/>
    <cellStyle name="Percent 2 3 3 4 2" xfId="8279" xr:uid="{00000000-0005-0000-0000-0000647C0000}"/>
    <cellStyle name="Percent 2 3 3 4 2 2" xfId="15776" xr:uid="{00000000-0005-0000-0000-0000657C0000}"/>
    <cellStyle name="Percent 2 3 3 4 2 3" xfId="32538" xr:uid="{00000000-0005-0000-0000-0000667C0000}"/>
    <cellStyle name="Percent 2 3 3 4 3" xfId="13763" xr:uid="{00000000-0005-0000-0000-0000677C0000}"/>
    <cellStyle name="Percent 2 3 3 4 3 2" xfId="27312" xr:uid="{00000000-0005-0000-0000-0000687C0000}"/>
    <cellStyle name="Percent 2 3 3 4 4" xfId="32537" xr:uid="{00000000-0005-0000-0000-0000697C0000}"/>
    <cellStyle name="Percent 2 3 3 5" xfId="8280" xr:uid="{00000000-0005-0000-0000-00006A7C0000}"/>
    <cellStyle name="Percent 2 3 3 5 2" xfId="14344" xr:uid="{00000000-0005-0000-0000-00006B7C0000}"/>
    <cellStyle name="Percent 2 3 3 5 2 2" xfId="27893" xr:uid="{00000000-0005-0000-0000-00006C7C0000}"/>
    <cellStyle name="Percent 2 3 3 5 3" xfId="32539" xr:uid="{00000000-0005-0000-0000-00006D7C0000}"/>
    <cellStyle name="Percent 2 3 3 6" xfId="8281" xr:uid="{00000000-0005-0000-0000-00006E7C0000}"/>
    <cellStyle name="Percent 2 3 3 6 2" xfId="16230" xr:uid="{00000000-0005-0000-0000-00006F7C0000}"/>
    <cellStyle name="Percent 2 3 3 6 2 2" xfId="29637" xr:uid="{00000000-0005-0000-0000-0000707C0000}"/>
    <cellStyle name="Percent 2 3 3 6 3" xfId="32540" xr:uid="{00000000-0005-0000-0000-0000717C0000}"/>
    <cellStyle name="Percent 2 3 3 7" xfId="10376" xr:uid="{00000000-0005-0000-0000-0000727C0000}"/>
    <cellStyle name="Percent 2 3 3 8" xfId="32531" xr:uid="{00000000-0005-0000-0000-0000737C0000}"/>
    <cellStyle name="Percent 2 3 4" xfId="8282" xr:uid="{00000000-0005-0000-0000-0000747C0000}"/>
    <cellStyle name="Percent 2 3 4 2" xfId="8283" xr:uid="{00000000-0005-0000-0000-0000757C0000}"/>
    <cellStyle name="Percent 2 3 4 2 2" xfId="13347" xr:uid="{00000000-0005-0000-0000-0000767C0000}"/>
    <cellStyle name="Percent 2 3 4 2 3" xfId="32542" xr:uid="{00000000-0005-0000-0000-0000777C0000}"/>
    <cellStyle name="Percent 2 3 4 3" xfId="8284" xr:uid="{00000000-0005-0000-0000-0000787C0000}"/>
    <cellStyle name="Percent 2 3 4 3 2" xfId="17158" xr:uid="{00000000-0005-0000-0000-0000797C0000}"/>
    <cellStyle name="Percent 2 3 4 3 2 2" xfId="30517" xr:uid="{00000000-0005-0000-0000-00007A7C0000}"/>
    <cellStyle name="Percent 2 3 4 3 3" xfId="32543" xr:uid="{00000000-0005-0000-0000-00007B7C0000}"/>
    <cellStyle name="Percent 2 3 4 4" xfId="10378" xr:uid="{00000000-0005-0000-0000-00007C7C0000}"/>
    <cellStyle name="Percent 2 3 4 5" xfId="32541" xr:uid="{00000000-0005-0000-0000-00007D7C0000}"/>
    <cellStyle name="Percent 2 3 5" xfId="8285" xr:uid="{00000000-0005-0000-0000-00007E7C0000}"/>
    <cellStyle name="Percent 2 3 5 2" xfId="8286" xr:uid="{00000000-0005-0000-0000-00007F7C0000}"/>
    <cellStyle name="Percent 2 3 5 2 2" xfId="11674" xr:uid="{00000000-0005-0000-0000-0000807C0000}"/>
    <cellStyle name="Percent 2 3 5 2 3" xfId="32545" xr:uid="{00000000-0005-0000-0000-0000817C0000}"/>
    <cellStyle name="Percent 2 3 5 3" xfId="8287" xr:uid="{00000000-0005-0000-0000-0000827C0000}"/>
    <cellStyle name="Percent 2 3 5 3 2" xfId="17247" xr:uid="{00000000-0005-0000-0000-0000837C0000}"/>
    <cellStyle name="Percent 2 3 5 3 2 2" xfId="30606" xr:uid="{00000000-0005-0000-0000-0000847C0000}"/>
    <cellStyle name="Percent 2 3 5 3 3" xfId="32546" xr:uid="{00000000-0005-0000-0000-0000857C0000}"/>
    <cellStyle name="Percent 2 3 5 4" xfId="10379" xr:uid="{00000000-0005-0000-0000-0000867C0000}"/>
    <cellStyle name="Percent 2 3 5 5" xfId="32544" xr:uid="{00000000-0005-0000-0000-0000877C0000}"/>
    <cellStyle name="Percent 2 3 6" xfId="8288" xr:uid="{00000000-0005-0000-0000-0000887C0000}"/>
    <cellStyle name="Percent 2 3 6 2" xfId="8289" xr:uid="{00000000-0005-0000-0000-0000897C0000}"/>
    <cellStyle name="Percent 2 3 6 2 2" xfId="15777" xr:uid="{00000000-0005-0000-0000-00008A7C0000}"/>
    <cellStyle name="Percent 2 3 6 2 3" xfId="32548" xr:uid="{00000000-0005-0000-0000-00008B7C0000}"/>
    <cellStyle name="Percent 2 3 6 3" xfId="8290" xr:uid="{00000000-0005-0000-0000-00008C7C0000}"/>
    <cellStyle name="Percent 2 3 6 3 2" xfId="16522" xr:uid="{00000000-0005-0000-0000-00008D7C0000}"/>
    <cellStyle name="Percent 2 3 6 3 2 2" xfId="29929" xr:uid="{00000000-0005-0000-0000-00008E7C0000}"/>
    <cellStyle name="Percent 2 3 6 3 3" xfId="32549" xr:uid="{00000000-0005-0000-0000-00008F7C0000}"/>
    <cellStyle name="Percent 2 3 6 4" xfId="11897" xr:uid="{00000000-0005-0000-0000-0000907C0000}"/>
    <cellStyle name="Percent 2 3 6 4 2" xfId="25612" xr:uid="{00000000-0005-0000-0000-0000917C0000}"/>
    <cellStyle name="Percent 2 3 6 5" xfId="32547" xr:uid="{00000000-0005-0000-0000-0000927C0000}"/>
    <cellStyle name="Percent 2 3 7" xfId="8291" xr:uid="{00000000-0005-0000-0000-0000937C0000}"/>
    <cellStyle name="Percent 2 3 7 2" xfId="13474" xr:uid="{00000000-0005-0000-0000-0000947C0000}"/>
    <cellStyle name="Percent 2 3 7 2 2" xfId="27023" xr:uid="{00000000-0005-0000-0000-0000957C0000}"/>
    <cellStyle name="Percent 2 3 7 3" xfId="32550" xr:uid="{00000000-0005-0000-0000-0000967C0000}"/>
    <cellStyle name="Percent 2 3 8" xfId="8292" xr:uid="{00000000-0005-0000-0000-0000977C0000}"/>
    <cellStyle name="Percent 2 3 8 2" xfId="14055" xr:uid="{00000000-0005-0000-0000-0000987C0000}"/>
    <cellStyle name="Percent 2 3 8 2 2" xfId="27604" xr:uid="{00000000-0005-0000-0000-0000997C0000}"/>
    <cellStyle name="Percent 2 3 8 3" xfId="32551" xr:uid="{00000000-0005-0000-0000-00009A7C0000}"/>
    <cellStyle name="Percent 2 3 9" xfId="8293" xr:uid="{00000000-0005-0000-0000-00009B7C0000}"/>
    <cellStyle name="Percent 2 3 9 2" xfId="15941" xr:uid="{00000000-0005-0000-0000-00009C7C0000}"/>
    <cellStyle name="Percent 2 3 9 2 2" xfId="29348" xr:uid="{00000000-0005-0000-0000-00009D7C0000}"/>
    <cellStyle name="Percent 2 3 9 3" xfId="32552" xr:uid="{00000000-0005-0000-0000-00009E7C0000}"/>
    <cellStyle name="Percent 2 30" xfId="33030" xr:uid="{00000000-0005-0000-0000-00009F7C0000}"/>
    <cellStyle name="Percent 2 31" xfId="8109" xr:uid="{00000000-0005-0000-0000-0000A07C0000}"/>
    <cellStyle name="Percent 2 4" xfId="8294" xr:uid="{00000000-0005-0000-0000-0000A17C0000}"/>
    <cellStyle name="Percent 2 4 10" xfId="10380" xr:uid="{00000000-0005-0000-0000-0000A27C0000}"/>
    <cellStyle name="Percent 2 4 11" xfId="32553" xr:uid="{00000000-0005-0000-0000-0000A37C0000}"/>
    <cellStyle name="Percent 2 4 2" xfId="8295" xr:uid="{00000000-0005-0000-0000-0000A47C0000}"/>
    <cellStyle name="Percent 2 4 2 2" xfId="8296" xr:uid="{00000000-0005-0000-0000-0000A57C0000}"/>
    <cellStyle name="Percent 2 4 2 2 2" xfId="8297" xr:uid="{00000000-0005-0000-0000-0000A67C0000}"/>
    <cellStyle name="Percent 2 4 2 2 2 2" xfId="8298" xr:uid="{00000000-0005-0000-0000-0000A77C0000}"/>
    <cellStyle name="Percent 2 4 2 2 2 2 2" xfId="11675" xr:uid="{00000000-0005-0000-0000-0000A87C0000}"/>
    <cellStyle name="Percent 2 4 2 2 2 2 3" xfId="32557" xr:uid="{00000000-0005-0000-0000-0000A97C0000}"/>
    <cellStyle name="Percent 2 4 2 2 2 3" xfId="8299" xr:uid="{00000000-0005-0000-0000-0000AA7C0000}"/>
    <cellStyle name="Percent 2 4 2 2 2 3 2" xfId="16908" xr:uid="{00000000-0005-0000-0000-0000AB7C0000}"/>
    <cellStyle name="Percent 2 4 2 2 2 3 2 2" xfId="30315" xr:uid="{00000000-0005-0000-0000-0000AC7C0000}"/>
    <cellStyle name="Percent 2 4 2 2 2 3 3" xfId="32558" xr:uid="{00000000-0005-0000-0000-0000AD7C0000}"/>
    <cellStyle name="Percent 2 4 2 2 2 4" xfId="10383" xr:uid="{00000000-0005-0000-0000-0000AE7C0000}"/>
    <cellStyle name="Percent 2 4 2 2 2 5" xfId="32556" xr:uid="{00000000-0005-0000-0000-0000AF7C0000}"/>
    <cellStyle name="Percent 2 4 2 2 3" xfId="8300" xr:uid="{00000000-0005-0000-0000-0000B07C0000}"/>
    <cellStyle name="Percent 2 4 2 2 3 2" xfId="8301" xr:uid="{00000000-0005-0000-0000-0000B17C0000}"/>
    <cellStyle name="Percent 2 4 2 2 3 2 2" xfId="13348" xr:uid="{00000000-0005-0000-0000-0000B27C0000}"/>
    <cellStyle name="Percent 2 4 2 2 3 2 3" xfId="32560" xr:uid="{00000000-0005-0000-0000-0000B37C0000}"/>
    <cellStyle name="Percent 2 4 2 2 3 3" xfId="12296" xr:uid="{00000000-0005-0000-0000-0000B47C0000}"/>
    <cellStyle name="Percent 2 4 2 2 3 3 2" xfId="26008" xr:uid="{00000000-0005-0000-0000-0000B57C0000}"/>
    <cellStyle name="Percent 2 4 2 2 3 4" xfId="32559" xr:uid="{00000000-0005-0000-0000-0000B67C0000}"/>
    <cellStyle name="Percent 2 4 2 2 4" xfId="8302" xr:uid="{00000000-0005-0000-0000-0000B77C0000}"/>
    <cellStyle name="Percent 2 4 2 2 4 2" xfId="8303" xr:uid="{00000000-0005-0000-0000-0000B87C0000}"/>
    <cellStyle name="Percent 2 4 2 2 4 2 2" xfId="15778" xr:uid="{00000000-0005-0000-0000-0000B97C0000}"/>
    <cellStyle name="Percent 2 4 2 2 4 2 3" xfId="32562" xr:uid="{00000000-0005-0000-0000-0000BA7C0000}"/>
    <cellStyle name="Percent 2 4 2 2 4 3" xfId="13860" xr:uid="{00000000-0005-0000-0000-0000BB7C0000}"/>
    <cellStyle name="Percent 2 4 2 2 4 3 2" xfId="27409" xr:uid="{00000000-0005-0000-0000-0000BC7C0000}"/>
    <cellStyle name="Percent 2 4 2 2 4 4" xfId="32561" xr:uid="{00000000-0005-0000-0000-0000BD7C0000}"/>
    <cellStyle name="Percent 2 4 2 2 5" xfId="8304" xr:uid="{00000000-0005-0000-0000-0000BE7C0000}"/>
    <cellStyle name="Percent 2 4 2 2 5 2" xfId="14441" xr:uid="{00000000-0005-0000-0000-0000BF7C0000}"/>
    <cellStyle name="Percent 2 4 2 2 5 2 2" xfId="27990" xr:uid="{00000000-0005-0000-0000-0000C07C0000}"/>
    <cellStyle name="Percent 2 4 2 2 5 3" xfId="32563" xr:uid="{00000000-0005-0000-0000-0000C17C0000}"/>
    <cellStyle name="Percent 2 4 2 2 6" xfId="8305" xr:uid="{00000000-0005-0000-0000-0000C27C0000}"/>
    <cellStyle name="Percent 2 4 2 2 6 2" xfId="16327" xr:uid="{00000000-0005-0000-0000-0000C37C0000}"/>
    <cellStyle name="Percent 2 4 2 2 6 2 2" xfId="29734" xr:uid="{00000000-0005-0000-0000-0000C47C0000}"/>
    <cellStyle name="Percent 2 4 2 2 6 3" xfId="32564" xr:uid="{00000000-0005-0000-0000-0000C57C0000}"/>
    <cellStyle name="Percent 2 4 2 2 7" xfId="10382" xr:uid="{00000000-0005-0000-0000-0000C67C0000}"/>
    <cellStyle name="Percent 2 4 2 2 8" xfId="32555" xr:uid="{00000000-0005-0000-0000-0000C77C0000}"/>
    <cellStyle name="Percent 2 4 2 3" xfId="8306" xr:uid="{00000000-0005-0000-0000-0000C87C0000}"/>
    <cellStyle name="Percent 2 4 2 3 2" xfId="8307" xr:uid="{00000000-0005-0000-0000-0000C97C0000}"/>
    <cellStyle name="Percent 2 4 2 3 2 2" xfId="11676" xr:uid="{00000000-0005-0000-0000-0000CA7C0000}"/>
    <cellStyle name="Percent 2 4 2 3 2 3" xfId="32566" xr:uid="{00000000-0005-0000-0000-0000CB7C0000}"/>
    <cellStyle name="Percent 2 4 2 3 3" xfId="8308" xr:uid="{00000000-0005-0000-0000-0000CC7C0000}"/>
    <cellStyle name="Percent 2 4 2 3 3 2" xfId="16619" xr:uid="{00000000-0005-0000-0000-0000CD7C0000}"/>
    <cellStyle name="Percent 2 4 2 3 3 2 2" xfId="30026" xr:uid="{00000000-0005-0000-0000-0000CE7C0000}"/>
    <cellStyle name="Percent 2 4 2 3 3 3" xfId="32567" xr:uid="{00000000-0005-0000-0000-0000CF7C0000}"/>
    <cellStyle name="Percent 2 4 2 3 4" xfId="10384" xr:uid="{00000000-0005-0000-0000-0000D07C0000}"/>
    <cellStyle name="Percent 2 4 2 3 5" xfId="32565" xr:uid="{00000000-0005-0000-0000-0000D17C0000}"/>
    <cellStyle name="Percent 2 4 2 4" xfId="8309" xr:uid="{00000000-0005-0000-0000-0000D27C0000}"/>
    <cellStyle name="Percent 2 4 2 4 2" xfId="8310" xr:uid="{00000000-0005-0000-0000-0000D37C0000}"/>
    <cellStyle name="Percent 2 4 2 4 2 2" xfId="13349" xr:uid="{00000000-0005-0000-0000-0000D47C0000}"/>
    <cellStyle name="Percent 2 4 2 4 2 3" xfId="32569" xr:uid="{00000000-0005-0000-0000-0000D57C0000}"/>
    <cellStyle name="Percent 2 4 2 4 3" xfId="11996" xr:uid="{00000000-0005-0000-0000-0000D67C0000}"/>
    <cellStyle name="Percent 2 4 2 4 3 2" xfId="25711" xr:uid="{00000000-0005-0000-0000-0000D77C0000}"/>
    <cellStyle name="Percent 2 4 2 4 4" xfId="32568" xr:uid="{00000000-0005-0000-0000-0000D87C0000}"/>
    <cellStyle name="Percent 2 4 2 5" xfId="8311" xr:uid="{00000000-0005-0000-0000-0000D97C0000}"/>
    <cellStyle name="Percent 2 4 2 5 2" xfId="8312" xr:uid="{00000000-0005-0000-0000-0000DA7C0000}"/>
    <cellStyle name="Percent 2 4 2 5 2 2" xfId="15779" xr:uid="{00000000-0005-0000-0000-0000DB7C0000}"/>
    <cellStyle name="Percent 2 4 2 5 2 3" xfId="32571" xr:uid="{00000000-0005-0000-0000-0000DC7C0000}"/>
    <cellStyle name="Percent 2 4 2 5 3" xfId="13571" xr:uid="{00000000-0005-0000-0000-0000DD7C0000}"/>
    <cellStyle name="Percent 2 4 2 5 3 2" xfId="27120" xr:uid="{00000000-0005-0000-0000-0000DE7C0000}"/>
    <cellStyle name="Percent 2 4 2 5 4" xfId="32570" xr:uid="{00000000-0005-0000-0000-0000DF7C0000}"/>
    <cellStyle name="Percent 2 4 2 6" xfId="8313" xr:uid="{00000000-0005-0000-0000-0000E07C0000}"/>
    <cellStyle name="Percent 2 4 2 6 2" xfId="14152" xr:uid="{00000000-0005-0000-0000-0000E17C0000}"/>
    <cellStyle name="Percent 2 4 2 6 2 2" xfId="27701" xr:uid="{00000000-0005-0000-0000-0000E27C0000}"/>
    <cellStyle name="Percent 2 4 2 6 3" xfId="32572" xr:uid="{00000000-0005-0000-0000-0000E37C0000}"/>
    <cellStyle name="Percent 2 4 2 7" xfId="8314" xr:uid="{00000000-0005-0000-0000-0000E47C0000}"/>
    <cellStyle name="Percent 2 4 2 7 2" xfId="16038" xr:uid="{00000000-0005-0000-0000-0000E57C0000}"/>
    <cellStyle name="Percent 2 4 2 7 2 2" xfId="29445" xr:uid="{00000000-0005-0000-0000-0000E67C0000}"/>
    <cellStyle name="Percent 2 4 2 7 3" xfId="32573" xr:uid="{00000000-0005-0000-0000-0000E77C0000}"/>
    <cellStyle name="Percent 2 4 2 8" xfId="10381" xr:uid="{00000000-0005-0000-0000-0000E87C0000}"/>
    <cellStyle name="Percent 2 4 2 9" xfId="32554" xr:uid="{00000000-0005-0000-0000-0000E97C0000}"/>
    <cellStyle name="Percent 2 4 3" xfId="8315" xr:uid="{00000000-0005-0000-0000-0000EA7C0000}"/>
    <cellStyle name="Percent 2 4 3 2" xfId="8316" xr:uid="{00000000-0005-0000-0000-0000EB7C0000}"/>
    <cellStyle name="Percent 2 4 3 2 2" xfId="8317" xr:uid="{00000000-0005-0000-0000-0000EC7C0000}"/>
    <cellStyle name="Percent 2 4 3 2 2 2" xfId="11677" xr:uid="{00000000-0005-0000-0000-0000ED7C0000}"/>
    <cellStyle name="Percent 2 4 3 2 2 3" xfId="32576" xr:uid="{00000000-0005-0000-0000-0000EE7C0000}"/>
    <cellStyle name="Percent 2 4 3 2 3" xfId="8318" xr:uid="{00000000-0005-0000-0000-0000EF7C0000}"/>
    <cellStyle name="Percent 2 4 3 2 3 2" xfId="16768" xr:uid="{00000000-0005-0000-0000-0000F07C0000}"/>
    <cellStyle name="Percent 2 4 3 2 3 2 2" xfId="30175" xr:uid="{00000000-0005-0000-0000-0000F17C0000}"/>
    <cellStyle name="Percent 2 4 3 2 3 3" xfId="32577" xr:uid="{00000000-0005-0000-0000-0000F27C0000}"/>
    <cellStyle name="Percent 2 4 3 2 4" xfId="10386" xr:uid="{00000000-0005-0000-0000-0000F37C0000}"/>
    <cellStyle name="Percent 2 4 3 2 5" xfId="32575" xr:uid="{00000000-0005-0000-0000-0000F47C0000}"/>
    <cellStyle name="Percent 2 4 3 3" xfId="8319" xr:uid="{00000000-0005-0000-0000-0000F57C0000}"/>
    <cellStyle name="Percent 2 4 3 3 2" xfId="8320" xr:uid="{00000000-0005-0000-0000-0000F67C0000}"/>
    <cellStyle name="Percent 2 4 3 3 2 2" xfId="13350" xr:uid="{00000000-0005-0000-0000-0000F77C0000}"/>
    <cellStyle name="Percent 2 4 3 3 2 3" xfId="32579" xr:uid="{00000000-0005-0000-0000-0000F87C0000}"/>
    <cellStyle name="Percent 2 4 3 3 3" xfId="12156" xr:uid="{00000000-0005-0000-0000-0000F97C0000}"/>
    <cellStyle name="Percent 2 4 3 3 3 2" xfId="25868" xr:uid="{00000000-0005-0000-0000-0000FA7C0000}"/>
    <cellStyle name="Percent 2 4 3 3 4" xfId="32578" xr:uid="{00000000-0005-0000-0000-0000FB7C0000}"/>
    <cellStyle name="Percent 2 4 3 4" xfId="8321" xr:uid="{00000000-0005-0000-0000-0000FC7C0000}"/>
    <cellStyle name="Percent 2 4 3 4 2" xfId="8322" xr:uid="{00000000-0005-0000-0000-0000FD7C0000}"/>
    <cellStyle name="Percent 2 4 3 4 2 2" xfId="15780" xr:uid="{00000000-0005-0000-0000-0000FE7C0000}"/>
    <cellStyle name="Percent 2 4 3 4 2 3" xfId="32581" xr:uid="{00000000-0005-0000-0000-0000FF7C0000}"/>
    <cellStyle name="Percent 2 4 3 4 3" xfId="13720" xr:uid="{00000000-0005-0000-0000-0000007D0000}"/>
    <cellStyle name="Percent 2 4 3 4 3 2" xfId="27269" xr:uid="{00000000-0005-0000-0000-0000017D0000}"/>
    <cellStyle name="Percent 2 4 3 4 4" xfId="32580" xr:uid="{00000000-0005-0000-0000-0000027D0000}"/>
    <cellStyle name="Percent 2 4 3 5" xfId="8323" xr:uid="{00000000-0005-0000-0000-0000037D0000}"/>
    <cellStyle name="Percent 2 4 3 5 2" xfId="14301" xr:uid="{00000000-0005-0000-0000-0000047D0000}"/>
    <cellStyle name="Percent 2 4 3 5 2 2" xfId="27850" xr:uid="{00000000-0005-0000-0000-0000057D0000}"/>
    <cellStyle name="Percent 2 4 3 5 3" xfId="32582" xr:uid="{00000000-0005-0000-0000-0000067D0000}"/>
    <cellStyle name="Percent 2 4 3 6" xfId="8324" xr:uid="{00000000-0005-0000-0000-0000077D0000}"/>
    <cellStyle name="Percent 2 4 3 6 2" xfId="16187" xr:uid="{00000000-0005-0000-0000-0000087D0000}"/>
    <cellStyle name="Percent 2 4 3 6 2 2" xfId="29594" xr:uid="{00000000-0005-0000-0000-0000097D0000}"/>
    <cellStyle name="Percent 2 4 3 6 3" xfId="32583" xr:uid="{00000000-0005-0000-0000-00000A7D0000}"/>
    <cellStyle name="Percent 2 4 3 7" xfId="10385" xr:uid="{00000000-0005-0000-0000-00000B7D0000}"/>
    <cellStyle name="Percent 2 4 3 8" xfId="32574" xr:uid="{00000000-0005-0000-0000-00000C7D0000}"/>
    <cellStyle name="Percent 2 4 4" xfId="8325" xr:uid="{00000000-0005-0000-0000-00000D7D0000}"/>
    <cellStyle name="Percent 2 4 4 2" xfId="8326" xr:uid="{00000000-0005-0000-0000-00000E7D0000}"/>
    <cellStyle name="Percent 2 4 4 2 2" xfId="16476" xr:uid="{00000000-0005-0000-0000-00000F7D0000}"/>
    <cellStyle name="Percent 2 4 4 2 2 2" xfId="29883" xr:uid="{00000000-0005-0000-0000-0000107D0000}"/>
    <cellStyle name="Percent 2 4 4 2 3" xfId="32585" xr:uid="{00000000-0005-0000-0000-0000117D0000}"/>
    <cellStyle name="Percent 2 4 4 3" xfId="10387" xr:uid="{00000000-0005-0000-0000-0000127D0000}"/>
    <cellStyle name="Percent 2 4 4 4" xfId="32584" xr:uid="{00000000-0005-0000-0000-0000137D0000}"/>
    <cellStyle name="Percent 2 4 5" xfId="8327" xr:uid="{00000000-0005-0000-0000-0000147D0000}"/>
    <cellStyle name="Percent 2 4 5 2" xfId="8328" xr:uid="{00000000-0005-0000-0000-0000157D0000}"/>
    <cellStyle name="Percent 2 4 5 2 2" xfId="11678" xr:uid="{00000000-0005-0000-0000-0000167D0000}"/>
    <cellStyle name="Percent 2 4 5 2 3" xfId="32587" xr:uid="{00000000-0005-0000-0000-0000177D0000}"/>
    <cellStyle name="Percent 2 4 5 3" xfId="10388" xr:uid="{00000000-0005-0000-0000-0000187D0000}"/>
    <cellStyle name="Percent 2 4 5 4" xfId="32586" xr:uid="{00000000-0005-0000-0000-0000197D0000}"/>
    <cellStyle name="Percent 2 4 6" xfId="8329" xr:uid="{00000000-0005-0000-0000-00001A7D0000}"/>
    <cellStyle name="Percent 2 4 6 2" xfId="8330" xr:uid="{00000000-0005-0000-0000-00001B7D0000}"/>
    <cellStyle name="Percent 2 4 6 2 2" xfId="13351" xr:uid="{00000000-0005-0000-0000-00001C7D0000}"/>
    <cellStyle name="Percent 2 4 6 2 3" xfId="32589" xr:uid="{00000000-0005-0000-0000-00001D7D0000}"/>
    <cellStyle name="Percent 2 4 6 3" xfId="11827" xr:uid="{00000000-0005-0000-0000-00001E7D0000}"/>
    <cellStyle name="Percent 2 4 6 3 2" xfId="25542" xr:uid="{00000000-0005-0000-0000-00001F7D0000}"/>
    <cellStyle name="Percent 2 4 6 4" xfId="32588" xr:uid="{00000000-0005-0000-0000-0000207D0000}"/>
    <cellStyle name="Percent 2 4 7" xfId="8331" xr:uid="{00000000-0005-0000-0000-0000217D0000}"/>
    <cellStyle name="Percent 2 4 7 2" xfId="8332" xr:uid="{00000000-0005-0000-0000-0000227D0000}"/>
    <cellStyle name="Percent 2 4 7 2 2" xfId="15781" xr:uid="{00000000-0005-0000-0000-0000237D0000}"/>
    <cellStyle name="Percent 2 4 7 2 3" xfId="32591" xr:uid="{00000000-0005-0000-0000-0000247D0000}"/>
    <cellStyle name="Percent 2 4 7 3" xfId="13428" xr:uid="{00000000-0005-0000-0000-0000257D0000}"/>
    <cellStyle name="Percent 2 4 7 3 2" xfId="26977" xr:uid="{00000000-0005-0000-0000-0000267D0000}"/>
    <cellStyle name="Percent 2 4 7 4" xfId="32590" xr:uid="{00000000-0005-0000-0000-0000277D0000}"/>
    <cellStyle name="Percent 2 4 8" xfId="8333" xr:uid="{00000000-0005-0000-0000-0000287D0000}"/>
    <cellStyle name="Percent 2 4 8 2" xfId="14009" xr:uid="{00000000-0005-0000-0000-0000297D0000}"/>
    <cellStyle name="Percent 2 4 8 2 2" xfId="27558" xr:uid="{00000000-0005-0000-0000-00002A7D0000}"/>
    <cellStyle name="Percent 2 4 8 3" xfId="32592" xr:uid="{00000000-0005-0000-0000-00002B7D0000}"/>
    <cellStyle name="Percent 2 4 9" xfId="8334" xr:uid="{00000000-0005-0000-0000-00002C7D0000}"/>
    <cellStyle name="Percent 2 4 9 2" xfId="15895" xr:uid="{00000000-0005-0000-0000-00002D7D0000}"/>
    <cellStyle name="Percent 2 4 9 2 2" xfId="29302" xr:uid="{00000000-0005-0000-0000-00002E7D0000}"/>
    <cellStyle name="Percent 2 4 9 3" xfId="32593" xr:uid="{00000000-0005-0000-0000-00002F7D0000}"/>
    <cellStyle name="Percent 2 5" xfId="8335" xr:uid="{00000000-0005-0000-0000-0000307D0000}"/>
    <cellStyle name="Percent 2 5 10" xfId="10389" xr:uid="{00000000-0005-0000-0000-0000317D0000}"/>
    <cellStyle name="Percent 2 5 11" xfId="32594" xr:uid="{00000000-0005-0000-0000-0000327D0000}"/>
    <cellStyle name="Percent 2 5 2" xfId="8336" xr:uid="{00000000-0005-0000-0000-0000337D0000}"/>
    <cellStyle name="Percent 2 5 2 2" xfId="8337" xr:uid="{00000000-0005-0000-0000-0000347D0000}"/>
    <cellStyle name="Percent 2 5 2 2 2" xfId="8338" xr:uid="{00000000-0005-0000-0000-0000357D0000}"/>
    <cellStyle name="Percent 2 5 2 2 2 2" xfId="8339" xr:uid="{00000000-0005-0000-0000-0000367D0000}"/>
    <cellStyle name="Percent 2 5 2 2 2 2 2" xfId="11679" xr:uid="{00000000-0005-0000-0000-0000377D0000}"/>
    <cellStyle name="Percent 2 5 2 2 2 2 3" xfId="32598" xr:uid="{00000000-0005-0000-0000-0000387D0000}"/>
    <cellStyle name="Percent 2 5 2 2 2 3" xfId="8340" xr:uid="{00000000-0005-0000-0000-0000397D0000}"/>
    <cellStyle name="Percent 2 5 2 2 2 3 2" xfId="16891" xr:uid="{00000000-0005-0000-0000-00003A7D0000}"/>
    <cellStyle name="Percent 2 5 2 2 2 3 2 2" xfId="30298" xr:uid="{00000000-0005-0000-0000-00003B7D0000}"/>
    <cellStyle name="Percent 2 5 2 2 2 3 3" xfId="32599" xr:uid="{00000000-0005-0000-0000-00003C7D0000}"/>
    <cellStyle name="Percent 2 5 2 2 2 4" xfId="10392" xr:uid="{00000000-0005-0000-0000-00003D7D0000}"/>
    <cellStyle name="Percent 2 5 2 2 2 5" xfId="32597" xr:uid="{00000000-0005-0000-0000-00003E7D0000}"/>
    <cellStyle name="Percent 2 5 2 2 3" xfId="8341" xr:uid="{00000000-0005-0000-0000-00003F7D0000}"/>
    <cellStyle name="Percent 2 5 2 2 3 2" xfId="8342" xr:uid="{00000000-0005-0000-0000-0000407D0000}"/>
    <cellStyle name="Percent 2 5 2 2 3 2 2" xfId="13352" xr:uid="{00000000-0005-0000-0000-0000417D0000}"/>
    <cellStyle name="Percent 2 5 2 2 3 2 3" xfId="32601" xr:uid="{00000000-0005-0000-0000-0000427D0000}"/>
    <cellStyle name="Percent 2 5 2 2 3 3" xfId="12279" xr:uid="{00000000-0005-0000-0000-0000437D0000}"/>
    <cellStyle name="Percent 2 5 2 2 3 3 2" xfId="25991" xr:uid="{00000000-0005-0000-0000-0000447D0000}"/>
    <cellStyle name="Percent 2 5 2 2 3 4" xfId="32600" xr:uid="{00000000-0005-0000-0000-0000457D0000}"/>
    <cellStyle name="Percent 2 5 2 2 4" xfId="8343" xr:uid="{00000000-0005-0000-0000-0000467D0000}"/>
    <cellStyle name="Percent 2 5 2 2 4 2" xfId="8344" xr:uid="{00000000-0005-0000-0000-0000477D0000}"/>
    <cellStyle name="Percent 2 5 2 2 4 2 2" xfId="15782" xr:uid="{00000000-0005-0000-0000-0000487D0000}"/>
    <cellStyle name="Percent 2 5 2 2 4 2 3" xfId="32603" xr:uid="{00000000-0005-0000-0000-0000497D0000}"/>
    <cellStyle name="Percent 2 5 2 2 4 3" xfId="13843" xr:uid="{00000000-0005-0000-0000-00004A7D0000}"/>
    <cellStyle name="Percent 2 5 2 2 4 3 2" xfId="27392" xr:uid="{00000000-0005-0000-0000-00004B7D0000}"/>
    <cellStyle name="Percent 2 5 2 2 4 4" xfId="32602" xr:uid="{00000000-0005-0000-0000-00004C7D0000}"/>
    <cellStyle name="Percent 2 5 2 2 5" xfId="8345" xr:uid="{00000000-0005-0000-0000-00004D7D0000}"/>
    <cellStyle name="Percent 2 5 2 2 5 2" xfId="14424" xr:uid="{00000000-0005-0000-0000-00004E7D0000}"/>
    <cellStyle name="Percent 2 5 2 2 5 2 2" xfId="27973" xr:uid="{00000000-0005-0000-0000-00004F7D0000}"/>
    <cellStyle name="Percent 2 5 2 2 5 3" xfId="32604" xr:uid="{00000000-0005-0000-0000-0000507D0000}"/>
    <cellStyle name="Percent 2 5 2 2 6" xfId="8346" xr:uid="{00000000-0005-0000-0000-0000517D0000}"/>
    <cellStyle name="Percent 2 5 2 2 6 2" xfId="16310" xr:uid="{00000000-0005-0000-0000-0000527D0000}"/>
    <cellStyle name="Percent 2 5 2 2 6 2 2" xfId="29717" xr:uid="{00000000-0005-0000-0000-0000537D0000}"/>
    <cellStyle name="Percent 2 5 2 2 6 3" xfId="32605" xr:uid="{00000000-0005-0000-0000-0000547D0000}"/>
    <cellStyle name="Percent 2 5 2 2 7" xfId="10391" xr:uid="{00000000-0005-0000-0000-0000557D0000}"/>
    <cellStyle name="Percent 2 5 2 2 8" xfId="32596" xr:uid="{00000000-0005-0000-0000-0000567D0000}"/>
    <cellStyle name="Percent 2 5 2 3" xfId="8347" xr:uid="{00000000-0005-0000-0000-0000577D0000}"/>
    <cellStyle name="Percent 2 5 2 3 2" xfId="8348" xr:uid="{00000000-0005-0000-0000-0000587D0000}"/>
    <cellStyle name="Percent 2 5 2 3 2 2" xfId="11680" xr:uid="{00000000-0005-0000-0000-0000597D0000}"/>
    <cellStyle name="Percent 2 5 2 3 2 3" xfId="32607" xr:uid="{00000000-0005-0000-0000-00005A7D0000}"/>
    <cellStyle name="Percent 2 5 2 3 3" xfId="8349" xr:uid="{00000000-0005-0000-0000-00005B7D0000}"/>
    <cellStyle name="Percent 2 5 2 3 3 2" xfId="16602" xr:uid="{00000000-0005-0000-0000-00005C7D0000}"/>
    <cellStyle name="Percent 2 5 2 3 3 2 2" xfId="30009" xr:uid="{00000000-0005-0000-0000-00005D7D0000}"/>
    <cellStyle name="Percent 2 5 2 3 3 3" xfId="32608" xr:uid="{00000000-0005-0000-0000-00005E7D0000}"/>
    <cellStyle name="Percent 2 5 2 3 4" xfId="10393" xr:uid="{00000000-0005-0000-0000-00005F7D0000}"/>
    <cellStyle name="Percent 2 5 2 3 5" xfId="32606" xr:uid="{00000000-0005-0000-0000-0000607D0000}"/>
    <cellStyle name="Percent 2 5 2 4" xfId="8350" xr:uid="{00000000-0005-0000-0000-0000617D0000}"/>
    <cellStyle name="Percent 2 5 2 4 2" xfId="8351" xr:uid="{00000000-0005-0000-0000-0000627D0000}"/>
    <cellStyle name="Percent 2 5 2 4 2 2" xfId="13353" xr:uid="{00000000-0005-0000-0000-0000637D0000}"/>
    <cellStyle name="Percent 2 5 2 4 2 3" xfId="32610" xr:uid="{00000000-0005-0000-0000-0000647D0000}"/>
    <cellStyle name="Percent 2 5 2 4 3" xfId="11979" xr:uid="{00000000-0005-0000-0000-0000657D0000}"/>
    <cellStyle name="Percent 2 5 2 4 3 2" xfId="25694" xr:uid="{00000000-0005-0000-0000-0000667D0000}"/>
    <cellStyle name="Percent 2 5 2 4 4" xfId="32609" xr:uid="{00000000-0005-0000-0000-0000677D0000}"/>
    <cellStyle name="Percent 2 5 2 5" xfId="8352" xr:uid="{00000000-0005-0000-0000-0000687D0000}"/>
    <cellStyle name="Percent 2 5 2 5 2" xfId="8353" xr:uid="{00000000-0005-0000-0000-0000697D0000}"/>
    <cellStyle name="Percent 2 5 2 5 2 2" xfId="15783" xr:uid="{00000000-0005-0000-0000-00006A7D0000}"/>
    <cellStyle name="Percent 2 5 2 5 2 3" xfId="32612" xr:uid="{00000000-0005-0000-0000-00006B7D0000}"/>
    <cellStyle name="Percent 2 5 2 5 3" xfId="13554" xr:uid="{00000000-0005-0000-0000-00006C7D0000}"/>
    <cellStyle name="Percent 2 5 2 5 3 2" xfId="27103" xr:uid="{00000000-0005-0000-0000-00006D7D0000}"/>
    <cellStyle name="Percent 2 5 2 5 4" xfId="32611" xr:uid="{00000000-0005-0000-0000-00006E7D0000}"/>
    <cellStyle name="Percent 2 5 2 6" xfId="8354" xr:uid="{00000000-0005-0000-0000-00006F7D0000}"/>
    <cellStyle name="Percent 2 5 2 6 2" xfId="14135" xr:uid="{00000000-0005-0000-0000-0000707D0000}"/>
    <cellStyle name="Percent 2 5 2 6 2 2" xfId="27684" xr:uid="{00000000-0005-0000-0000-0000717D0000}"/>
    <cellStyle name="Percent 2 5 2 6 3" xfId="32613" xr:uid="{00000000-0005-0000-0000-0000727D0000}"/>
    <cellStyle name="Percent 2 5 2 7" xfId="8355" xr:uid="{00000000-0005-0000-0000-0000737D0000}"/>
    <cellStyle name="Percent 2 5 2 7 2" xfId="16021" xr:uid="{00000000-0005-0000-0000-0000747D0000}"/>
    <cellStyle name="Percent 2 5 2 7 2 2" xfId="29428" xr:uid="{00000000-0005-0000-0000-0000757D0000}"/>
    <cellStyle name="Percent 2 5 2 7 3" xfId="32614" xr:uid="{00000000-0005-0000-0000-0000767D0000}"/>
    <cellStyle name="Percent 2 5 2 8" xfId="10390" xr:uid="{00000000-0005-0000-0000-0000777D0000}"/>
    <cellStyle name="Percent 2 5 2 9" xfId="32595" xr:uid="{00000000-0005-0000-0000-0000787D0000}"/>
    <cellStyle name="Percent 2 5 3" xfId="8356" xr:uid="{00000000-0005-0000-0000-0000797D0000}"/>
    <cellStyle name="Percent 2 5 3 2" xfId="8357" xr:uid="{00000000-0005-0000-0000-00007A7D0000}"/>
    <cellStyle name="Percent 2 5 3 2 2" xfId="8358" xr:uid="{00000000-0005-0000-0000-00007B7D0000}"/>
    <cellStyle name="Percent 2 5 3 2 2 2" xfId="11681" xr:uid="{00000000-0005-0000-0000-00007C7D0000}"/>
    <cellStyle name="Percent 2 5 3 2 2 3" xfId="32617" xr:uid="{00000000-0005-0000-0000-00007D7D0000}"/>
    <cellStyle name="Percent 2 5 3 2 3" xfId="8359" xr:uid="{00000000-0005-0000-0000-00007E7D0000}"/>
    <cellStyle name="Percent 2 5 3 2 3 2" xfId="16751" xr:uid="{00000000-0005-0000-0000-00007F7D0000}"/>
    <cellStyle name="Percent 2 5 3 2 3 2 2" xfId="30158" xr:uid="{00000000-0005-0000-0000-0000807D0000}"/>
    <cellStyle name="Percent 2 5 3 2 3 3" xfId="32618" xr:uid="{00000000-0005-0000-0000-0000817D0000}"/>
    <cellStyle name="Percent 2 5 3 2 4" xfId="10395" xr:uid="{00000000-0005-0000-0000-0000827D0000}"/>
    <cellStyle name="Percent 2 5 3 2 5" xfId="32616" xr:uid="{00000000-0005-0000-0000-0000837D0000}"/>
    <cellStyle name="Percent 2 5 3 3" xfId="8360" xr:uid="{00000000-0005-0000-0000-0000847D0000}"/>
    <cellStyle name="Percent 2 5 3 3 2" xfId="8361" xr:uid="{00000000-0005-0000-0000-0000857D0000}"/>
    <cellStyle name="Percent 2 5 3 3 2 2" xfId="13354" xr:uid="{00000000-0005-0000-0000-0000867D0000}"/>
    <cellStyle name="Percent 2 5 3 3 2 3" xfId="32620" xr:uid="{00000000-0005-0000-0000-0000877D0000}"/>
    <cellStyle name="Percent 2 5 3 3 3" xfId="12139" xr:uid="{00000000-0005-0000-0000-0000887D0000}"/>
    <cellStyle name="Percent 2 5 3 3 3 2" xfId="25851" xr:uid="{00000000-0005-0000-0000-0000897D0000}"/>
    <cellStyle name="Percent 2 5 3 3 4" xfId="32619" xr:uid="{00000000-0005-0000-0000-00008A7D0000}"/>
    <cellStyle name="Percent 2 5 3 4" xfId="8362" xr:uid="{00000000-0005-0000-0000-00008B7D0000}"/>
    <cellStyle name="Percent 2 5 3 4 2" xfId="8363" xr:uid="{00000000-0005-0000-0000-00008C7D0000}"/>
    <cellStyle name="Percent 2 5 3 4 2 2" xfId="15784" xr:uid="{00000000-0005-0000-0000-00008D7D0000}"/>
    <cellStyle name="Percent 2 5 3 4 2 3" xfId="32622" xr:uid="{00000000-0005-0000-0000-00008E7D0000}"/>
    <cellStyle name="Percent 2 5 3 4 3" xfId="13703" xr:uid="{00000000-0005-0000-0000-00008F7D0000}"/>
    <cellStyle name="Percent 2 5 3 4 3 2" xfId="27252" xr:uid="{00000000-0005-0000-0000-0000907D0000}"/>
    <cellStyle name="Percent 2 5 3 4 4" xfId="32621" xr:uid="{00000000-0005-0000-0000-0000917D0000}"/>
    <cellStyle name="Percent 2 5 3 5" xfId="8364" xr:uid="{00000000-0005-0000-0000-0000927D0000}"/>
    <cellStyle name="Percent 2 5 3 5 2" xfId="14284" xr:uid="{00000000-0005-0000-0000-0000937D0000}"/>
    <cellStyle name="Percent 2 5 3 5 2 2" xfId="27833" xr:uid="{00000000-0005-0000-0000-0000947D0000}"/>
    <cellStyle name="Percent 2 5 3 5 3" xfId="32623" xr:uid="{00000000-0005-0000-0000-0000957D0000}"/>
    <cellStyle name="Percent 2 5 3 6" xfId="8365" xr:uid="{00000000-0005-0000-0000-0000967D0000}"/>
    <cellStyle name="Percent 2 5 3 6 2" xfId="16170" xr:uid="{00000000-0005-0000-0000-0000977D0000}"/>
    <cellStyle name="Percent 2 5 3 6 2 2" xfId="29577" xr:uid="{00000000-0005-0000-0000-0000987D0000}"/>
    <cellStyle name="Percent 2 5 3 6 3" xfId="32624" xr:uid="{00000000-0005-0000-0000-0000997D0000}"/>
    <cellStyle name="Percent 2 5 3 7" xfId="10394" xr:uid="{00000000-0005-0000-0000-00009A7D0000}"/>
    <cellStyle name="Percent 2 5 3 8" xfId="32615" xr:uid="{00000000-0005-0000-0000-00009B7D0000}"/>
    <cellStyle name="Percent 2 5 4" xfId="8366" xr:uid="{00000000-0005-0000-0000-00009C7D0000}"/>
    <cellStyle name="Percent 2 5 4 2" xfId="8367" xr:uid="{00000000-0005-0000-0000-00009D7D0000}"/>
    <cellStyle name="Percent 2 5 4 2 2" xfId="16459" xr:uid="{00000000-0005-0000-0000-00009E7D0000}"/>
    <cellStyle name="Percent 2 5 4 2 2 2" xfId="29866" xr:uid="{00000000-0005-0000-0000-00009F7D0000}"/>
    <cellStyle name="Percent 2 5 4 2 3" xfId="32626" xr:uid="{00000000-0005-0000-0000-0000A07D0000}"/>
    <cellStyle name="Percent 2 5 4 3" xfId="10396" xr:uid="{00000000-0005-0000-0000-0000A17D0000}"/>
    <cellStyle name="Percent 2 5 4 4" xfId="32625" xr:uid="{00000000-0005-0000-0000-0000A27D0000}"/>
    <cellStyle name="Percent 2 5 5" xfId="8368" xr:uid="{00000000-0005-0000-0000-0000A37D0000}"/>
    <cellStyle name="Percent 2 5 5 2" xfId="8369" xr:uid="{00000000-0005-0000-0000-0000A47D0000}"/>
    <cellStyle name="Percent 2 5 5 2 2" xfId="11682" xr:uid="{00000000-0005-0000-0000-0000A57D0000}"/>
    <cellStyle name="Percent 2 5 5 2 3" xfId="32628" xr:uid="{00000000-0005-0000-0000-0000A67D0000}"/>
    <cellStyle name="Percent 2 5 5 3" xfId="10397" xr:uid="{00000000-0005-0000-0000-0000A77D0000}"/>
    <cellStyle name="Percent 2 5 5 4" xfId="32627" xr:uid="{00000000-0005-0000-0000-0000A87D0000}"/>
    <cellStyle name="Percent 2 5 6" xfId="8370" xr:uid="{00000000-0005-0000-0000-0000A97D0000}"/>
    <cellStyle name="Percent 2 5 6 2" xfId="8371" xr:uid="{00000000-0005-0000-0000-0000AA7D0000}"/>
    <cellStyle name="Percent 2 5 6 2 2" xfId="13355" xr:uid="{00000000-0005-0000-0000-0000AB7D0000}"/>
    <cellStyle name="Percent 2 5 6 2 3" xfId="32630" xr:uid="{00000000-0005-0000-0000-0000AC7D0000}"/>
    <cellStyle name="Percent 2 5 6 3" xfId="11810" xr:uid="{00000000-0005-0000-0000-0000AD7D0000}"/>
    <cellStyle name="Percent 2 5 6 3 2" xfId="25525" xr:uid="{00000000-0005-0000-0000-0000AE7D0000}"/>
    <cellStyle name="Percent 2 5 6 4" xfId="32629" xr:uid="{00000000-0005-0000-0000-0000AF7D0000}"/>
    <cellStyle name="Percent 2 5 7" xfId="8372" xr:uid="{00000000-0005-0000-0000-0000B07D0000}"/>
    <cellStyle name="Percent 2 5 7 2" xfId="8373" xr:uid="{00000000-0005-0000-0000-0000B17D0000}"/>
    <cellStyle name="Percent 2 5 7 2 2" xfId="15785" xr:uid="{00000000-0005-0000-0000-0000B27D0000}"/>
    <cellStyle name="Percent 2 5 7 2 3" xfId="32632" xr:uid="{00000000-0005-0000-0000-0000B37D0000}"/>
    <cellStyle name="Percent 2 5 7 3" xfId="13411" xr:uid="{00000000-0005-0000-0000-0000B47D0000}"/>
    <cellStyle name="Percent 2 5 7 3 2" xfId="26960" xr:uid="{00000000-0005-0000-0000-0000B57D0000}"/>
    <cellStyle name="Percent 2 5 7 4" xfId="32631" xr:uid="{00000000-0005-0000-0000-0000B67D0000}"/>
    <cellStyle name="Percent 2 5 8" xfId="8374" xr:uid="{00000000-0005-0000-0000-0000B77D0000}"/>
    <cellStyle name="Percent 2 5 8 2" xfId="13992" xr:uid="{00000000-0005-0000-0000-0000B87D0000}"/>
    <cellStyle name="Percent 2 5 8 2 2" xfId="27541" xr:uid="{00000000-0005-0000-0000-0000B97D0000}"/>
    <cellStyle name="Percent 2 5 8 3" xfId="32633" xr:uid="{00000000-0005-0000-0000-0000BA7D0000}"/>
    <cellStyle name="Percent 2 5 9" xfId="8375" xr:uid="{00000000-0005-0000-0000-0000BB7D0000}"/>
    <cellStyle name="Percent 2 5 9 2" xfId="15878" xr:uid="{00000000-0005-0000-0000-0000BC7D0000}"/>
    <cellStyle name="Percent 2 5 9 2 2" xfId="29285" xr:uid="{00000000-0005-0000-0000-0000BD7D0000}"/>
    <cellStyle name="Percent 2 5 9 3" xfId="32634" xr:uid="{00000000-0005-0000-0000-0000BE7D0000}"/>
    <cellStyle name="Percent 2 6" xfId="8376" xr:uid="{00000000-0005-0000-0000-0000BF7D0000}"/>
    <cellStyle name="Percent 2 6 10" xfId="10398" xr:uid="{00000000-0005-0000-0000-0000C07D0000}"/>
    <cellStyle name="Percent 2 6 11" xfId="32635" xr:uid="{00000000-0005-0000-0000-0000C17D0000}"/>
    <cellStyle name="Percent 2 6 2" xfId="8377" xr:uid="{00000000-0005-0000-0000-0000C27D0000}"/>
    <cellStyle name="Percent 2 6 2 2" xfId="8378" xr:uid="{00000000-0005-0000-0000-0000C37D0000}"/>
    <cellStyle name="Percent 2 6 2 2 2" xfId="8379" xr:uid="{00000000-0005-0000-0000-0000C47D0000}"/>
    <cellStyle name="Percent 2 6 2 2 2 2" xfId="8380" xr:uid="{00000000-0005-0000-0000-0000C57D0000}"/>
    <cellStyle name="Percent 2 6 2 2 2 2 2" xfId="11683" xr:uid="{00000000-0005-0000-0000-0000C67D0000}"/>
    <cellStyle name="Percent 2 6 2 2 2 2 3" xfId="32639" xr:uid="{00000000-0005-0000-0000-0000C77D0000}"/>
    <cellStyle name="Percent 2 6 2 2 2 3" xfId="8381" xr:uid="{00000000-0005-0000-0000-0000C87D0000}"/>
    <cellStyle name="Percent 2 6 2 2 2 3 2" xfId="16997" xr:uid="{00000000-0005-0000-0000-0000C97D0000}"/>
    <cellStyle name="Percent 2 6 2 2 2 3 2 2" xfId="30404" xr:uid="{00000000-0005-0000-0000-0000CA7D0000}"/>
    <cellStyle name="Percent 2 6 2 2 2 3 3" xfId="32640" xr:uid="{00000000-0005-0000-0000-0000CB7D0000}"/>
    <cellStyle name="Percent 2 6 2 2 2 4" xfId="10401" xr:uid="{00000000-0005-0000-0000-0000CC7D0000}"/>
    <cellStyle name="Percent 2 6 2 2 2 5" xfId="32638" xr:uid="{00000000-0005-0000-0000-0000CD7D0000}"/>
    <cellStyle name="Percent 2 6 2 2 3" xfId="8382" xr:uid="{00000000-0005-0000-0000-0000CE7D0000}"/>
    <cellStyle name="Percent 2 6 2 2 3 2" xfId="8383" xr:uid="{00000000-0005-0000-0000-0000CF7D0000}"/>
    <cellStyle name="Percent 2 6 2 2 3 2 2" xfId="13356" xr:uid="{00000000-0005-0000-0000-0000D07D0000}"/>
    <cellStyle name="Percent 2 6 2 2 3 2 3" xfId="32642" xr:uid="{00000000-0005-0000-0000-0000D17D0000}"/>
    <cellStyle name="Percent 2 6 2 2 3 3" xfId="12385" xr:uid="{00000000-0005-0000-0000-0000D27D0000}"/>
    <cellStyle name="Percent 2 6 2 2 3 3 2" xfId="26097" xr:uid="{00000000-0005-0000-0000-0000D37D0000}"/>
    <cellStyle name="Percent 2 6 2 2 3 4" xfId="32641" xr:uid="{00000000-0005-0000-0000-0000D47D0000}"/>
    <cellStyle name="Percent 2 6 2 2 4" xfId="8384" xr:uid="{00000000-0005-0000-0000-0000D57D0000}"/>
    <cellStyle name="Percent 2 6 2 2 4 2" xfId="8385" xr:uid="{00000000-0005-0000-0000-0000D67D0000}"/>
    <cellStyle name="Percent 2 6 2 2 4 2 2" xfId="15786" xr:uid="{00000000-0005-0000-0000-0000D77D0000}"/>
    <cellStyle name="Percent 2 6 2 2 4 2 3" xfId="32644" xr:uid="{00000000-0005-0000-0000-0000D87D0000}"/>
    <cellStyle name="Percent 2 6 2 2 4 3" xfId="13949" xr:uid="{00000000-0005-0000-0000-0000D97D0000}"/>
    <cellStyle name="Percent 2 6 2 2 4 3 2" xfId="27498" xr:uid="{00000000-0005-0000-0000-0000DA7D0000}"/>
    <cellStyle name="Percent 2 6 2 2 4 4" xfId="32643" xr:uid="{00000000-0005-0000-0000-0000DB7D0000}"/>
    <cellStyle name="Percent 2 6 2 2 5" xfId="8386" xr:uid="{00000000-0005-0000-0000-0000DC7D0000}"/>
    <cellStyle name="Percent 2 6 2 2 5 2" xfId="14530" xr:uid="{00000000-0005-0000-0000-0000DD7D0000}"/>
    <cellStyle name="Percent 2 6 2 2 5 2 2" xfId="28079" xr:uid="{00000000-0005-0000-0000-0000DE7D0000}"/>
    <cellStyle name="Percent 2 6 2 2 5 3" xfId="32645" xr:uid="{00000000-0005-0000-0000-0000DF7D0000}"/>
    <cellStyle name="Percent 2 6 2 2 6" xfId="8387" xr:uid="{00000000-0005-0000-0000-0000E07D0000}"/>
    <cellStyle name="Percent 2 6 2 2 6 2" xfId="16416" xr:uid="{00000000-0005-0000-0000-0000E17D0000}"/>
    <cellStyle name="Percent 2 6 2 2 6 2 2" xfId="29823" xr:uid="{00000000-0005-0000-0000-0000E27D0000}"/>
    <cellStyle name="Percent 2 6 2 2 6 3" xfId="32646" xr:uid="{00000000-0005-0000-0000-0000E37D0000}"/>
    <cellStyle name="Percent 2 6 2 2 7" xfId="10400" xr:uid="{00000000-0005-0000-0000-0000E47D0000}"/>
    <cellStyle name="Percent 2 6 2 2 8" xfId="32637" xr:uid="{00000000-0005-0000-0000-0000E57D0000}"/>
    <cellStyle name="Percent 2 6 2 3" xfId="8388" xr:uid="{00000000-0005-0000-0000-0000E67D0000}"/>
    <cellStyle name="Percent 2 6 2 3 2" xfId="8389" xr:uid="{00000000-0005-0000-0000-0000E77D0000}"/>
    <cellStyle name="Percent 2 6 2 3 2 2" xfId="11684" xr:uid="{00000000-0005-0000-0000-0000E87D0000}"/>
    <cellStyle name="Percent 2 6 2 3 2 3" xfId="32648" xr:uid="{00000000-0005-0000-0000-0000E97D0000}"/>
    <cellStyle name="Percent 2 6 2 3 3" xfId="8390" xr:uid="{00000000-0005-0000-0000-0000EA7D0000}"/>
    <cellStyle name="Percent 2 6 2 3 3 2" xfId="16708" xr:uid="{00000000-0005-0000-0000-0000EB7D0000}"/>
    <cellStyle name="Percent 2 6 2 3 3 2 2" xfId="30115" xr:uid="{00000000-0005-0000-0000-0000EC7D0000}"/>
    <cellStyle name="Percent 2 6 2 3 3 3" xfId="32649" xr:uid="{00000000-0005-0000-0000-0000ED7D0000}"/>
    <cellStyle name="Percent 2 6 2 3 4" xfId="10402" xr:uid="{00000000-0005-0000-0000-0000EE7D0000}"/>
    <cellStyle name="Percent 2 6 2 3 5" xfId="32647" xr:uid="{00000000-0005-0000-0000-0000EF7D0000}"/>
    <cellStyle name="Percent 2 6 2 4" xfId="8391" xr:uid="{00000000-0005-0000-0000-0000F07D0000}"/>
    <cellStyle name="Percent 2 6 2 4 2" xfId="8392" xr:uid="{00000000-0005-0000-0000-0000F17D0000}"/>
    <cellStyle name="Percent 2 6 2 4 2 2" xfId="13357" xr:uid="{00000000-0005-0000-0000-0000F27D0000}"/>
    <cellStyle name="Percent 2 6 2 4 2 3" xfId="32651" xr:uid="{00000000-0005-0000-0000-0000F37D0000}"/>
    <cellStyle name="Percent 2 6 2 4 3" xfId="12085" xr:uid="{00000000-0005-0000-0000-0000F47D0000}"/>
    <cellStyle name="Percent 2 6 2 4 3 2" xfId="25800" xr:uid="{00000000-0005-0000-0000-0000F57D0000}"/>
    <cellStyle name="Percent 2 6 2 4 4" xfId="32650" xr:uid="{00000000-0005-0000-0000-0000F67D0000}"/>
    <cellStyle name="Percent 2 6 2 5" xfId="8393" xr:uid="{00000000-0005-0000-0000-0000F77D0000}"/>
    <cellStyle name="Percent 2 6 2 5 2" xfId="8394" xr:uid="{00000000-0005-0000-0000-0000F87D0000}"/>
    <cellStyle name="Percent 2 6 2 5 2 2" xfId="15787" xr:uid="{00000000-0005-0000-0000-0000F97D0000}"/>
    <cellStyle name="Percent 2 6 2 5 2 3" xfId="32653" xr:uid="{00000000-0005-0000-0000-0000FA7D0000}"/>
    <cellStyle name="Percent 2 6 2 5 3" xfId="13660" xr:uid="{00000000-0005-0000-0000-0000FB7D0000}"/>
    <cellStyle name="Percent 2 6 2 5 3 2" xfId="27209" xr:uid="{00000000-0005-0000-0000-0000FC7D0000}"/>
    <cellStyle name="Percent 2 6 2 5 4" xfId="32652" xr:uid="{00000000-0005-0000-0000-0000FD7D0000}"/>
    <cellStyle name="Percent 2 6 2 6" xfId="8395" xr:uid="{00000000-0005-0000-0000-0000FE7D0000}"/>
    <cellStyle name="Percent 2 6 2 6 2" xfId="14241" xr:uid="{00000000-0005-0000-0000-0000FF7D0000}"/>
    <cellStyle name="Percent 2 6 2 6 2 2" xfId="27790" xr:uid="{00000000-0005-0000-0000-0000007E0000}"/>
    <cellStyle name="Percent 2 6 2 6 3" xfId="32654" xr:uid="{00000000-0005-0000-0000-0000017E0000}"/>
    <cellStyle name="Percent 2 6 2 7" xfId="8396" xr:uid="{00000000-0005-0000-0000-0000027E0000}"/>
    <cellStyle name="Percent 2 6 2 7 2" xfId="16127" xr:uid="{00000000-0005-0000-0000-0000037E0000}"/>
    <cellStyle name="Percent 2 6 2 7 2 2" xfId="29534" xr:uid="{00000000-0005-0000-0000-0000047E0000}"/>
    <cellStyle name="Percent 2 6 2 7 3" xfId="32655" xr:uid="{00000000-0005-0000-0000-0000057E0000}"/>
    <cellStyle name="Percent 2 6 2 8" xfId="10399" xr:uid="{00000000-0005-0000-0000-0000067E0000}"/>
    <cellStyle name="Percent 2 6 2 9" xfId="32636" xr:uid="{00000000-0005-0000-0000-0000077E0000}"/>
    <cellStyle name="Percent 2 6 3" xfId="8397" xr:uid="{00000000-0005-0000-0000-0000087E0000}"/>
    <cellStyle name="Percent 2 6 3 2" xfId="8398" xr:uid="{00000000-0005-0000-0000-0000097E0000}"/>
    <cellStyle name="Percent 2 6 3 2 2" xfId="8399" xr:uid="{00000000-0005-0000-0000-00000A7E0000}"/>
    <cellStyle name="Percent 2 6 3 2 2 2" xfId="11685" xr:uid="{00000000-0005-0000-0000-00000B7E0000}"/>
    <cellStyle name="Percent 2 6 3 2 2 3" xfId="32658" xr:uid="{00000000-0005-0000-0000-00000C7E0000}"/>
    <cellStyle name="Percent 2 6 3 2 3" xfId="8400" xr:uid="{00000000-0005-0000-0000-00000D7E0000}"/>
    <cellStyle name="Percent 2 6 3 2 3 2" xfId="16854" xr:uid="{00000000-0005-0000-0000-00000E7E0000}"/>
    <cellStyle name="Percent 2 6 3 2 3 2 2" xfId="30261" xr:uid="{00000000-0005-0000-0000-00000F7E0000}"/>
    <cellStyle name="Percent 2 6 3 2 3 3" xfId="32659" xr:uid="{00000000-0005-0000-0000-0000107E0000}"/>
    <cellStyle name="Percent 2 6 3 2 4" xfId="10404" xr:uid="{00000000-0005-0000-0000-0000117E0000}"/>
    <cellStyle name="Percent 2 6 3 2 5" xfId="32657" xr:uid="{00000000-0005-0000-0000-0000127E0000}"/>
    <cellStyle name="Percent 2 6 3 3" xfId="8401" xr:uid="{00000000-0005-0000-0000-0000137E0000}"/>
    <cellStyle name="Percent 2 6 3 3 2" xfId="8402" xr:uid="{00000000-0005-0000-0000-0000147E0000}"/>
    <cellStyle name="Percent 2 6 3 3 2 2" xfId="13358" xr:uid="{00000000-0005-0000-0000-0000157E0000}"/>
    <cellStyle name="Percent 2 6 3 3 2 3" xfId="32661" xr:uid="{00000000-0005-0000-0000-0000167E0000}"/>
    <cellStyle name="Percent 2 6 3 3 3" xfId="12242" xr:uid="{00000000-0005-0000-0000-0000177E0000}"/>
    <cellStyle name="Percent 2 6 3 3 3 2" xfId="25954" xr:uid="{00000000-0005-0000-0000-0000187E0000}"/>
    <cellStyle name="Percent 2 6 3 3 4" xfId="32660" xr:uid="{00000000-0005-0000-0000-0000197E0000}"/>
    <cellStyle name="Percent 2 6 3 4" xfId="8403" xr:uid="{00000000-0005-0000-0000-00001A7E0000}"/>
    <cellStyle name="Percent 2 6 3 4 2" xfId="8404" xr:uid="{00000000-0005-0000-0000-00001B7E0000}"/>
    <cellStyle name="Percent 2 6 3 4 2 2" xfId="15788" xr:uid="{00000000-0005-0000-0000-00001C7E0000}"/>
    <cellStyle name="Percent 2 6 3 4 2 3" xfId="32663" xr:uid="{00000000-0005-0000-0000-00001D7E0000}"/>
    <cellStyle name="Percent 2 6 3 4 3" xfId="13806" xr:uid="{00000000-0005-0000-0000-00001E7E0000}"/>
    <cellStyle name="Percent 2 6 3 4 3 2" xfId="27355" xr:uid="{00000000-0005-0000-0000-00001F7E0000}"/>
    <cellStyle name="Percent 2 6 3 4 4" xfId="32662" xr:uid="{00000000-0005-0000-0000-0000207E0000}"/>
    <cellStyle name="Percent 2 6 3 5" xfId="8405" xr:uid="{00000000-0005-0000-0000-0000217E0000}"/>
    <cellStyle name="Percent 2 6 3 5 2" xfId="14387" xr:uid="{00000000-0005-0000-0000-0000227E0000}"/>
    <cellStyle name="Percent 2 6 3 5 2 2" xfId="27936" xr:uid="{00000000-0005-0000-0000-0000237E0000}"/>
    <cellStyle name="Percent 2 6 3 5 3" xfId="32664" xr:uid="{00000000-0005-0000-0000-0000247E0000}"/>
    <cellStyle name="Percent 2 6 3 6" xfId="8406" xr:uid="{00000000-0005-0000-0000-0000257E0000}"/>
    <cellStyle name="Percent 2 6 3 6 2" xfId="16273" xr:uid="{00000000-0005-0000-0000-0000267E0000}"/>
    <cellStyle name="Percent 2 6 3 6 2 2" xfId="29680" xr:uid="{00000000-0005-0000-0000-0000277E0000}"/>
    <cellStyle name="Percent 2 6 3 6 3" xfId="32665" xr:uid="{00000000-0005-0000-0000-0000287E0000}"/>
    <cellStyle name="Percent 2 6 3 7" xfId="10403" xr:uid="{00000000-0005-0000-0000-0000297E0000}"/>
    <cellStyle name="Percent 2 6 3 8" xfId="32656" xr:uid="{00000000-0005-0000-0000-00002A7E0000}"/>
    <cellStyle name="Percent 2 6 4" xfId="8407" xr:uid="{00000000-0005-0000-0000-00002B7E0000}"/>
    <cellStyle name="Percent 2 6 4 2" xfId="8408" xr:uid="{00000000-0005-0000-0000-00002C7E0000}"/>
    <cellStyle name="Percent 2 6 4 2 2" xfId="16565" xr:uid="{00000000-0005-0000-0000-00002D7E0000}"/>
    <cellStyle name="Percent 2 6 4 2 2 2" xfId="29972" xr:uid="{00000000-0005-0000-0000-00002E7E0000}"/>
    <cellStyle name="Percent 2 6 4 2 3" xfId="32667" xr:uid="{00000000-0005-0000-0000-00002F7E0000}"/>
    <cellStyle name="Percent 2 6 4 3" xfId="10405" xr:uid="{00000000-0005-0000-0000-0000307E0000}"/>
    <cellStyle name="Percent 2 6 4 4" xfId="32666" xr:uid="{00000000-0005-0000-0000-0000317E0000}"/>
    <cellStyle name="Percent 2 6 5" xfId="8409" xr:uid="{00000000-0005-0000-0000-0000327E0000}"/>
    <cellStyle name="Percent 2 6 5 2" xfId="8410" xr:uid="{00000000-0005-0000-0000-0000337E0000}"/>
    <cellStyle name="Percent 2 6 5 2 2" xfId="11686" xr:uid="{00000000-0005-0000-0000-0000347E0000}"/>
    <cellStyle name="Percent 2 6 5 2 3" xfId="32669" xr:uid="{00000000-0005-0000-0000-0000357E0000}"/>
    <cellStyle name="Percent 2 6 5 3" xfId="10406" xr:uid="{00000000-0005-0000-0000-0000367E0000}"/>
    <cellStyle name="Percent 2 6 5 4" xfId="32668" xr:uid="{00000000-0005-0000-0000-0000377E0000}"/>
    <cellStyle name="Percent 2 6 6" xfId="8411" xr:uid="{00000000-0005-0000-0000-0000387E0000}"/>
    <cellStyle name="Percent 2 6 6 2" xfId="8412" xr:uid="{00000000-0005-0000-0000-0000397E0000}"/>
    <cellStyle name="Percent 2 6 6 2 2" xfId="13359" xr:uid="{00000000-0005-0000-0000-00003A7E0000}"/>
    <cellStyle name="Percent 2 6 6 2 3" xfId="32671" xr:uid="{00000000-0005-0000-0000-00003B7E0000}"/>
    <cellStyle name="Percent 2 6 6 3" xfId="11940" xr:uid="{00000000-0005-0000-0000-00003C7E0000}"/>
    <cellStyle name="Percent 2 6 6 3 2" xfId="25655" xr:uid="{00000000-0005-0000-0000-00003D7E0000}"/>
    <cellStyle name="Percent 2 6 6 4" xfId="32670" xr:uid="{00000000-0005-0000-0000-00003E7E0000}"/>
    <cellStyle name="Percent 2 6 7" xfId="8413" xr:uid="{00000000-0005-0000-0000-00003F7E0000}"/>
    <cellStyle name="Percent 2 6 7 2" xfId="8414" xr:uid="{00000000-0005-0000-0000-0000407E0000}"/>
    <cellStyle name="Percent 2 6 7 2 2" xfId="15789" xr:uid="{00000000-0005-0000-0000-0000417E0000}"/>
    <cellStyle name="Percent 2 6 7 2 3" xfId="32673" xr:uid="{00000000-0005-0000-0000-0000427E0000}"/>
    <cellStyle name="Percent 2 6 7 3" xfId="13517" xr:uid="{00000000-0005-0000-0000-0000437E0000}"/>
    <cellStyle name="Percent 2 6 7 3 2" xfId="27066" xr:uid="{00000000-0005-0000-0000-0000447E0000}"/>
    <cellStyle name="Percent 2 6 7 4" xfId="32672" xr:uid="{00000000-0005-0000-0000-0000457E0000}"/>
    <cellStyle name="Percent 2 6 8" xfId="8415" xr:uid="{00000000-0005-0000-0000-0000467E0000}"/>
    <cellStyle name="Percent 2 6 8 2" xfId="14098" xr:uid="{00000000-0005-0000-0000-0000477E0000}"/>
    <cellStyle name="Percent 2 6 8 2 2" xfId="27647" xr:uid="{00000000-0005-0000-0000-0000487E0000}"/>
    <cellStyle name="Percent 2 6 8 3" xfId="32674" xr:uid="{00000000-0005-0000-0000-0000497E0000}"/>
    <cellStyle name="Percent 2 6 9" xfId="8416" xr:uid="{00000000-0005-0000-0000-00004A7E0000}"/>
    <cellStyle name="Percent 2 6 9 2" xfId="15984" xr:uid="{00000000-0005-0000-0000-00004B7E0000}"/>
    <cellStyle name="Percent 2 6 9 2 2" xfId="29391" xr:uid="{00000000-0005-0000-0000-00004C7E0000}"/>
    <cellStyle name="Percent 2 6 9 3" xfId="32675" xr:uid="{00000000-0005-0000-0000-00004D7E0000}"/>
    <cellStyle name="Percent 2 7" xfId="8417" xr:uid="{00000000-0005-0000-0000-00004E7E0000}"/>
    <cellStyle name="Percent 2 7 2" xfId="8418" xr:uid="{00000000-0005-0000-0000-00004F7E0000}"/>
    <cellStyle name="Percent 2 7 2 2" xfId="8419" xr:uid="{00000000-0005-0000-0000-0000507E0000}"/>
    <cellStyle name="Percent 2 7 2 2 2" xfId="8420" xr:uid="{00000000-0005-0000-0000-0000517E0000}"/>
    <cellStyle name="Percent 2 7 2 2 2 2" xfId="11687" xr:uid="{00000000-0005-0000-0000-0000527E0000}"/>
    <cellStyle name="Percent 2 7 2 2 2 3" xfId="32679" xr:uid="{00000000-0005-0000-0000-0000537E0000}"/>
    <cellStyle name="Percent 2 7 2 2 3" xfId="8421" xr:uid="{00000000-0005-0000-0000-0000547E0000}"/>
    <cellStyle name="Percent 2 7 2 2 3 2" xfId="16874" xr:uid="{00000000-0005-0000-0000-0000557E0000}"/>
    <cellStyle name="Percent 2 7 2 2 3 2 2" xfId="30281" xr:uid="{00000000-0005-0000-0000-0000567E0000}"/>
    <cellStyle name="Percent 2 7 2 2 3 3" xfId="32680" xr:uid="{00000000-0005-0000-0000-0000577E0000}"/>
    <cellStyle name="Percent 2 7 2 2 4" xfId="10409" xr:uid="{00000000-0005-0000-0000-0000587E0000}"/>
    <cellStyle name="Percent 2 7 2 2 5" xfId="32678" xr:uid="{00000000-0005-0000-0000-0000597E0000}"/>
    <cellStyle name="Percent 2 7 2 3" xfId="8422" xr:uid="{00000000-0005-0000-0000-00005A7E0000}"/>
    <cellStyle name="Percent 2 7 2 3 2" xfId="8423" xr:uid="{00000000-0005-0000-0000-00005B7E0000}"/>
    <cellStyle name="Percent 2 7 2 3 2 2" xfId="13360" xr:uid="{00000000-0005-0000-0000-00005C7E0000}"/>
    <cellStyle name="Percent 2 7 2 3 2 3" xfId="32682" xr:uid="{00000000-0005-0000-0000-00005D7E0000}"/>
    <cellStyle name="Percent 2 7 2 3 3" xfId="12262" xr:uid="{00000000-0005-0000-0000-00005E7E0000}"/>
    <cellStyle name="Percent 2 7 2 3 3 2" xfId="25974" xr:uid="{00000000-0005-0000-0000-00005F7E0000}"/>
    <cellStyle name="Percent 2 7 2 3 4" xfId="32681" xr:uid="{00000000-0005-0000-0000-0000607E0000}"/>
    <cellStyle name="Percent 2 7 2 4" xfId="8424" xr:uid="{00000000-0005-0000-0000-0000617E0000}"/>
    <cellStyle name="Percent 2 7 2 4 2" xfId="8425" xr:uid="{00000000-0005-0000-0000-0000627E0000}"/>
    <cellStyle name="Percent 2 7 2 4 2 2" xfId="15790" xr:uid="{00000000-0005-0000-0000-0000637E0000}"/>
    <cellStyle name="Percent 2 7 2 4 2 3" xfId="32684" xr:uid="{00000000-0005-0000-0000-0000647E0000}"/>
    <cellStyle name="Percent 2 7 2 4 3" xfId="13826" xr:uid="{00000000-0005-0000-0000-0000657E0000}"/>
    <cellStyle name="Percent 2 7 2 4 3 2" xfId="27375" xr:uid="{00000000-0005-0000-0000-0000667E0000}"/>
    <cellStyle name="Percent 2 7 2 4 4" xfId="32683" xr:uid="{00000000-0005-0000-0000-0000677E0000}"/>
    <cellStyle name="Percent 2 7 2 5" xfId="8426" xr:uid="{00000000-0005-0000-0000-0000687E0000}"/>
    <cellStyle name="Percent 2 7 2 5 2" xfId="14407" xr:uid="{00000000-0005-0000-0000-0000697E0000}"/>
    <cellStyle name="Percent 2 7 2 5 2 2" xfId="27956" xr:uid="{00000000-0005-0000-0000-00006A7E0000}"/>
    <cellStyle name="Percent 2 7 2 5 3" xfId="32685" xr:uid="{00000000-0005-0000-0000-00006B7E0000}"/>
    <cellStyle name="Percent 2 7 2 6" xfId="8427" xr:uid="{00000000-0005-0000-0000-00006C7E0000}"/>
    <cellStyle name="Percent 2 7 2 6 2" xfId="16293" xr:uid="{00000000-0005-0000-0000-00006D7E0000}"/>
    <cellStyle name="Percent 2 7 2 6 2 2" xfId="29700" xr:uid="{00000000-0005-0000-0000-00006E7E0000}"/>
    <cellStyle name="Percent 2 7 2 6 3" xfId="32686" xr:uid="{00000000-0005-0000-0000-00006F7E0000}"/>
    <cellStyle name="Percent 2 7 2 7" xfId="10408" xr:uid="{00000000-0005-0000-0000-0000707E0000}"/>
    <cellStyle name="Percent 2 7 2 8" xfId="32677" xr:uid="{00000000-0005-0000-0000-0000717E0000}"/>
    <cellStyle name="Percent 2 7 3" xfId="8428" xr:uid="{00000000-0005-0000-0000-0000727E0000}"/>
    <cellStyle name="Percent 2 7 3 2" xfId="8429" xr:uid="{00000000-0005-0000-0000-0000737E0000}"/>
    <cellStyle name="Percent 2 7 3 2 2" xfId="11688" xr:uid="{00000000-0005-0000-0000-0000747E0000}"/>
    <cellStyle name="Percent 2 7 3 2 3" xfId="32688" xr:uid="{00000000-0005-0000-0000-0000757E0000}"/>
    <cellStyle name="Percent 2 7 3 3" xfId="8430" xr:uid="{00000000-0005-0000-0000-0000767E0000}"/>
    <cellStyle name="Percent 2 7 3 3 2" xfId="16585" xr:uid="{00000000-0005-0000-0000-0000777E0000}"/>
    <cellStyle name="Percent 2 7 3 3 2 2" xfId="29992" xr:uid="{00000000-0005-0000-0000-0000787E0000}"/>
    <cellStyle name="Percent 2 7 3 3 3" xfId="32689" xr:uid="{00000000-0005-0000-0000-0000797E0000}"/>
    <cellStyle name="Percent 2 7 3 4" xfId="10410" xr:uid="{00000000-0005-0000-0000-00007A7E0000}"/>
    <cellStyle name="Percent 2 7 3 5" xfId="32687" xr:uid="{00000000-0005-0000-0000-00007B7E0000}"/>
    <cellStyle name="Percent 2 7 4" xfId="8431" xr:uid="{00000000-0005-0000-0000-00007C7E0000}"/>
    <cellStyle name="Percent 2 7 4 2" xfId="8432" xr:uid="{00000000-0005-0000-0000-00007D7E0000}"/>
    <cellStyle name="Percent 2 7 4 2 2" xfId="13361" xr:uid="{00000000-0005-0000-0000-00007E7E0000}"/>
    <cellStyle name="Percent 2 7 4 2 3" xfId="32691" xr:uid="{00000000-0005-0000-0000-00007F7E0000}"/>
    <cellStyle name="Percent 2 7 4 3" xfId="11962" xr:uid="{00000000-0005-0000-0000-0000807E0000}"/>
    <cellStyle name="Percent 2 7 4 3 2" xfId="25677" xr:uid="{00000000-0005-0000-0000-0000817E0000}"/>
    <cellStyle name="Percent 2 7 4 4" xfId="32690" xr:uid="{00000000-0005-0000-0000-0000827E0000}"/>
    <cellStyle name="Percent 2 7 5" xfId="8433" xr:uid="{00000000-0005-0000-0000-0000837E0000}"/>
    <cellStyle name="Percent 2 7 5 2" xfId="8434" xr:uid="{00000000-0005-0000-0000-0000847E0000}"/>
    <cellStyle name="Percent 2 7 5 2 2" xfId="15791" xr:uid="{00000000-0005-0000-0000-0000857E0000}"/>
    <cellStyle name="Percent 2 7 5 2 3" xfId="32693" xr:uid="{00000000-0005-0000-0000-0000867E0000}"/>
    <cellStyle name="Percent 2 7 5 3" xfId="13537" xr:uid="{00000000-0005-0000-0000-0000877E0000}"/>
    <cellStyle name="Percent 2 7 5 3 2" xfId="27086" xr:uid="{00000000-0005-0000-0000-0000887E0000}"/>
    <cellStyle name="Percent 2 7 5 4" xfId="32692" xr:uid="{00000000-0005-0000-0000-0000897E0000}"/>
    <cellStyle name="Percent 2 7 6" xfId="8435" xr:uid="{00000000-0005-0000-0000-00008A7E0000}"/>
    <cellStyle name="Percent 2 7 6 2" xfId="14118" xr:uid="{00000000-0005-0000-0000-00008B7E0000}"/>
    <cellStyle name="Percent 2 7 6 2 2" xfId="27667" xr:uid="{00000000-0005-0000-0000-00008C7E0000}"/>
    <cellStyle name="Percent 2 7 6 3" xfId="32694" xr:uid="{00000000-0005-0000-0000-00008D7E0000}"/>
    <cellStyle name="Percent 2 7 7" xfId="8436" xr:uid="{00000000-0005-0000-0000-00008E7E0000}"/>
    <cellStyle name="Percent 2 7 7 2" xfId="16004" xr:uid="{00000000-0005-0000-0000-00008F7E0000}"/>
    <cellStyle name="Percent 2 7 7 2 2" xfId="29411" xr:uid="{00000000-0005-0000-0000-0000907E0000}"/>
    <cellStyle name="Percent 2 7 7 3" xfId="32695" xr:uid="{00000000-0005-0000-0000-0000917E0000}"/>
    <cellStyle name="Percent 2 7 8" xfId="10407" xr:uid="{00000000-0005-0000-0000-0000927E0000}"/>
    <cellStyle name="Percent 2 7 9" xfId="32676" xr:uid="{00000000-0005-0000-0000-0000937E0000}"/>
    <cellStyle name="Percent 2 8" xfId="8437" xr:uid="{00000000-0005-0000-0000-0000947E0000}"/>
    <cellStyle name="Percent 2 8 2" xfId="8438" xr:uid="{00000000-0005-0000-0000-0000957E0000}"/>
    <cellStyle name="Percent 2 8 2 2" xfId="8439" xr:uid="{00000000-0005-0000-0000-0000967E0000}"/>
    <cellStyle name="Percent 2 8 2 2 2" xfId="11689" xr:uid="{00000000-0005-0000-0000-0000977E0000}"/>
    <cellStyle name="Percent 2 8 2 2 3" xfId="32698" xr:uid="{00000000-0005-0000-0000-0000987E0000}"/>
    <cellStyle name="Percent 2 8 2 3" xfId="8440" xr:uid="{00000000-0005-0000-0000-0000997E0000}"/>
    <cellStyle name="Percent 2 8 2 3 2" xfId="16731" xr:uid="{00000000-0005-0000-0000-00009A7E0000}"/>
    <cellStyle name="Percent 2 8 2 3 2 2" xfId="30138" xr:uid="{00000000-0005-0000-0000-00009B7E0000}"/>
    <cellStyle name="Percent 2 8 2 3 3" xfId="32699" xr:uid="{00000000-0005-0000-0000-00009C7E0000}"/>
    <cellStyle name="Percent 2 8 2 4" xfId="10412" xr:uid="{00000000-0005-0000-0000-00009D7E0000}"/>
    <cellStyle name="Percent 2 8 2 5" xfId="32697" xr:uid="{00000000-0005-0000-0000-00009E7E0000}"/>
    <cellStyle name="Percent 2 8 3" xfId="8441" xr:uid="{00000000-0005-0000-0000-00009F7E0000}"/>
    <cellStyle name="Percent 2 8 3 2" xfId="8442" xr:uid="{00000000-0005-0000-0000-0000A07E0000}"/>
    <cellStyle name="Percent 2 8 3 2 2" xfId="13362" xr:uid="{00000000-0005-0000-0000-0000A17E0000}"/>
    <cellStyle name="Percent 2 8 3 2 3" xfId="32701" xr:uid="{00000000-0005-0000-0000-0000A27E0000}"/>
    <cellStyle name="Percent 2 8 3 3" xfId="12119" xr:uid="{00000000-0005-0000-0000-0000A37E0000}"/>
    <cellStyle name="Percent 2 8 3 3 2" xfId="25831" xr:uid="{00000000-0005-0000-0000-0000A47E0000}"/>
    <cellStyle name="Percent 2 8 3 4" xfId="32700" xr:uid="{00000000-0005-0000-0000-0000A57E0000}"/>
    <cellStyle name="Percent 2 8 4" xfId="8443" xr:uid="{00000000-0005-0000-0000-0000A67E0000}"/>
    <cellStyle name="Percent 2 8 4 2" xfId="8444" xr:uid="{00000000-0005-0000-0000-0000A77E0000}"/>
    <cellStyle name="Percent 2 8 4 2 2" xfId="15792" xr:uid="{00000000-0005-0000-0000-0000A87E0000}"/>
    <cellStyle name="Percent 2 8 4 2 3" xfId="32703" xr:uid="{00000000-0005-0000-0000-0000A97E0000}"/>
    <cellStyle name="Percent 2 8 4 3" xfId="13683" xr:uid="{00000000-0005-0000-0000-0000AA7E0000}"/>
    <cellStyle name="Percent 2 8 4 3 2" xfId="27232" xr:uid="{00000000-0005-0000-0000-0000AB7E0000}"/>
    <cellStyle name="Percent 2 8 4 4" xfId="32702" xr:uid="{00000000-0005-0000-0000-0000AC7E0000}"/>
    <cellStyle name="Percent 2 8 5" xfId="8445" xr:uid="{00000000-0005-0000-0000-0000AD7E0000}"/>
    <cellStyle name="Percent 2 8 5 2" xfId="14264" xr:uid="{00000000-0005-0000-0000-0000AE7E0000}"/>
    <cellStyle name="Percent 2 8 5 2 2" xfId="27813" xr:uid="{00000000-0005-0000-0000-0000AF7E0000}"/>
    <cellStyle name="Percent 2 8 5 3" xfId="32704" xr:uid="{00000000-0005-0000-0000-0000B07E0000}"/>
    <cellStyle name="Percent 2 8 6" xfId="8446" xr:uid="{00000000-0005-0000-0000-0000B17E0000}"/>
    <cellStyle name="Percent 2 8 6 2" xfId="16150" xr:uid="{00000000-0005-0000-0000-0000B27E0000}"/>
    <cellStyle name="Percent 2 8 6 2 2" xfId="29557" xr:uid="{00000000-0005-0000-0000-0000B37E0000}"/>
    <cellStyle name="Percent 2 8 6 3" xfId="32705" xr:uid="{00000000-0005-0000-0000-0000B47E0000}"/>
    <cellStyle name="Percent 2 8 7" xfId="10411" xr:uid="{00000000-0005-0000-0000-0000B57E0000}"/>
    <cellStyle name="Percent 2 8 8" xfId="32696" xr:uid="{00000000-0005-0000-0000-0000B67E0000}"/>
    <cellStyle name="Percent 2 9" xfId="8447" xr:uid="{00000000-0005-0000-0000-0000B77E0000}"/>
    <cellStyle name="Percent 2 9 2" xfId="8448" xr:uid="{00000000-0005-0000-0000-0000B87E0000}"/>
    <cellStyle name="Percent 2 9 2 2" xfId="8449" xr:uid="{00000000-0005-0000-0000-0000B97E0000}"/>
    <cellStyle name="Percent 2 9 2 2 2" xfId="11690" xr:uid="{00000000-0005-0000-0000-0000BA7E0000}"/>
    <cellStyle name="Percent 2 9 2 2 3" xfId="32708" xr:uid="{00000000-0005-0000-0000-0000BB7E0000}"/>
    <cellStyle name="Percent 2 9 2 3" xfId="8450" xr:uid="{00000000-0005-0000-0000-0000BC7E0000}"/>
    <cellStyle name="Percent 2 9 2 3 2" xfId="16736" xr:uid="{00000000-0005-0000-0000-0000BD7E0000}"/>
    <cellStyle name="Percent 2 9 2 3 2 2" xfId="30143" xr:uid="{00000000-0005-0000-0000-0000BE7E0000}"/>
    <cellStyle name="Percent 2 9 2 3 3" xfId="32709" xr:uid="{00000000-0005-0000-0000-0000BF7E0000}"/>
    <cellStyle name="Percent 2 9 2 4" xfId="10414" xr:uid="{00000000-0005-0000-0000-0000C07E0000}"/>
    <cellStyle name="Percent 2 9 2 5" xfId="32707" xr:uid="{00000000-0005-0000-0000-0000C17E0000}"/>
    <cellStyle name="Percent 2 9 3" xfId="8451" xr:uid="{00000000-0005-0000-0000-0000C27E0000}"/>
    <cellStyle name="Percent 2 9 3 2" xfId="8452" xr:uid="{00000000-0005-0000-0000-0000C37E0000}"/>
    <cellStyle name="Percent 2 9 3 2 2" xfId="13363" xr:uid="{00000000-0005-0000-0000-0000C47E0000}"/>
    <cellStyle name="Percent 2 9 3 2 3" xfId="32711" xr:uid="{00000000-0005-0000-0000-0000C57E0000}"/>
    <cellStyle name="Percent 2 9 3 3" xfId="12124" xr:uid="{00000000-0005-0000-0000-0000C67E0000}"/>
    <cellStyle name="Percent 2 9 3 3 2" xfId="25836" xr:uid="{00000000-0005-0000-0000-0000C77E0000}"/>
    <cellStyle name="Percent 2 9 3 4" xfId="32710" xr:uid="{00000000-0005-0000-0000-0000C87E0000}"/>
    <cellStyle name="Percent 2 9 4" xfId="8453" xr:uid="{00000000-0005-0000-0000-0000C97E0000}"/>
    <cellStyle name="Percent 2 9 4 2" xfId="8454" xr:uid="{00000000-0005-0000-0000-0000CA7E0000}"/>
    <cellStyle name="Percent 2 9 4 2 2" xfId="15793" xr:uid="{00000000-0005-0000-0000-0000CB7E0000}"/>
    <cellStyle name="Percent 2 9 4 2 3" xfId="32713" xr:uid="{00000000-0005-0000-0000-0000CC7E0000}"/>
    <cellStyle name="Percent 2 9 4 3" xfId="13688" xr:uid="{00000000-0005-0000-0000-0000CD7E0000}"/>
    <cellStyle name="Percent 2 9 4 3 2" xfId="27237" xr:uid="{00000000-0005-0000-0000-0000CE7E0000}"/>
    <cellStyle name="Percent 2 9 4 4" xfId="32712" xr:uid="{00000000-0005-0000-0000-0000CF7E0000}"/>
    <cellStyle name="Percent 2 9 5" xfId="8455" xr:uid="{00000000-0005-0000-0000-0000D07E0000}"/>
    <cellStyle name="Percent 2 9 5 2" xfId="14269" xr:uid="{00000000-0005-0000-0000-0000D17E0000}"/>
    <cellStyle name="Percent 2 9 5 2 2" xfId="27818" xr:uid="{00000000-0005-0000-0000-0000D27E0000}"/>
    <cellStyle name="Percent 2 9 5 3" xfId="32714" xr:uid="{00000000-0005-0000-0000-0000D37E0000}"/>
    <cellStyle name="Percent 2 9 6" xfId="8456" xr:uid="{00000000-0005-0000-0000-0000D47E0000}"/>
    <cellStyle name="Percent 2 9 6 2" xfId="16155" xr:uid="{00000000-0005-0000-0000-0000D57E0000}"/>
    <cellStyle name="Percent 2 9 6 2 2" xfId="29562" xr:uid="{00000000-0005-0000-0000-0000D67E0000}"/>
    <cellStyle name="Percent 2 9 6 3" xfId="32715" xr:uid="{00000000-0005-0000-0000-0000D77E0000}"/>
    <cellStyle name="Percent 2 9 7" xfId="10413" xr:uid="{00000000-0005-0000-0000-0000D87E0000}"/>
    <cellStyle name="Percent 2 9 8" xfId="32706" xr:uid="{00000000-0005-0000-0000-0000D97E0000}"/>
    <cellStyle name="Percent 3" xfId="8457" xr:uid="{00000000-0005-0000-0000-0000DA7E0000}"/>
    <cellStyle name="Percent 3 2" xfId="8458" xr:uid="{00000000-0005-0000-0000-0000DB7E0000}"/>
    <cellStyle name="Percent 3 2 2" xfId="8719" xr:uid="{00000000-0005-0000-0000-0000DC7E0000}"/>
    <cellStyle name="Percent 3 2 3" xfId="32717" xr:uid="{00000000-0005-0000-0000-0000DD7E0000}"/>
    <cellStyle name="Percent 3 2 4" xfId="32914" xr:uid="{00000000-0005-0000-0000-0000DE7E0000}"/>
    <cellStyle name="Percent 3 3" xfId="8459" xr:uid="{00000000-0005-0000-0000-0000DF7E0000}"/>
    <cellStyle name="Percent 3 3 2" xfId="8460" xr:uid="{00000000-0005-0000-0000-0000E07E0000}"/>
    <cellStyle name="Percent 3 3 2 2" xfId="17352" xr:uid="{00000000-0005-0000-0000-0000E17E0000}"/>
    <cellStyle name="Percent 3 3 2 3" xfId="32719" xr:uid="{00000000-0005-0000-0000-0000E27E0000}"/>
    <cellStyle name="Percent 3 3 3" xfId="8749" xr:uid="{00000000-0005-0000-0000-0000E37E0000}"/>
    <cellStyle name="Percent 3 3 4" xfId="10416" xr:uid="{00000000-0005-0000-0000-0000E47E0000}"/>
    <cellStyle name="Percent 3 3 5" xfId="32718" xr:uid="{00000000-0005-0000-0000-0000E57E0000}"/>
    <cellStyle name="Percent 3 4" xfId="8657" xr:uid="{00000000-0005-0000-0000-0000E67E0000}"/>
    <cellStyle name="Percent 3 4 2" xfId="10415" xr:uid="{00000000-0005-0000-0000-0000E77E0000}"/>
    <cellStyle name="Percent 3 5" xfId="32716" xr:uid="{00000000-0005-0000-0000-0000E87E0000}"/>
    <cellStyle name="Percent 3 6" xfId="32913" xr:uid="{00000000-0005-0000-0000-0000E97E0000}"/>
    <cellStyle name="Percent 3 7" xfId="33096" xr:uid="{00000000-0005-0000-0000-0000EA7E0000}"/>
    <cellStyle name="Percent 4" xfId="8461" xr:uid="{00000000-0005-0000-0000-0000EB7E0000}"/>
    <cellStyle name="Percent 4 2" xfId="8462" xr:uid="{00000000-0005-0000-0000-0000EC7E0000}"/>
    <cellStyle name="Percent 4 2 2" xfId="10418" xr:uid="{00000000-0005-0000-0000-0000ED7E0000}"/>
    <cellStyle name="Percent 4 2 3" xfId="32721" xr:uid="{00000000-0005-0000-0000-0000EE7E0000}"/>
    <cellStyle name="Percent 4 3" xfId="8463" xr:uid="{00000000-0005-0000-0000-0000EF7E0000}"/>
    <cellStyle name="Percent 4 3 2" xfId="13364" xr:uid="{00000000-0005-0000-0000-0000F07E0000}"/>
    <cellStyle name="Percent 4 3 3" xfId="32722" xr:uid="{00000000-0005-0000-0000-0000F17E0000}"/>
    <cellStyle name="Percent 4 4" xfId="8464" xr:uid="{00000000-0005-0000-0000-0000F27E0000}"/>
    <cellStyle name="Percent 4 4 2" xfId="10417" xr:uid="{00000000-0005-0000-0000-0000F37E0000}"/>
    <cellStyle name="Percent 4 4 3" xfId="32723" xr:uid="{00000000-0005-0000-0000-0000F47E0000}"/>
    <cellStyle name="Percent 4 5" xfId="8674" xr:uid="{00000000-0005-0000-0000-0000F57E0000}"/>
    <cellStyle name="Percent 4 6" xfId="32720" xr:uid="{00000000-0005-0000-0000-0000F67E0000}"/>
    <cellStyle name="Percent 4 7" xfId="32915" xr:uid="{00000000-0005-0000-0000-0000F77E0000}"/>
    <cellStyle name="Percent 5" xfId="8465" xr:uid="{00000000-0005-0000-0000-0000F87E0000}"/>
    <cellStyle name="Percent 5 2" xfId="8466" xr:uid="{00000000-0005-0000-0000-0000F97E0000}"/>
    <cellStyle name="Percent 5 2 2" xfId="17353" xr:uid="{00000000-0005-0000-0000-0000FA7E0000}"/>
    <cellStyle name="Percent 5 2 3" xfId="32725" xr:uid="{00000000-0005-0000-0000-0000FB7E0000}"/>
    <cellStyle name="Percent 5 2 4" xfId="32945" xr:uid="{00000000-0005-0000-0000-0000FC7E0000}"/>
    <cellStyle name="Percent 5 2 5" xfId="33003" xr:uid="{00000000-0005-0000-0000-0000FD7E0000}"/>
    <cellStyle name="Percent 5 3" xfId="8750" xr:uid="{00000000-0005-0000-0000-0000FE7E0000}"/>
    <cellStyle name="Percent 5 4" xfId="32724" xr:uid="{00000000-0005-0000-0000-0000FF7E0000}"/>
    <cellStyle name="Percent 5 5" xfId="32916" xr:uid="{00000000-0005-0000-0000-0000007F0000}"/>
    <cellStyle name="Percent 5 6" xfId="32976" xr:uid="{00000000-0005-0000-0000-0000017F0000}"/>
    <cellStyle name="Percent 6" xfId="8467" xr:uid="{00000000-0005-0000-0000-0000027F0000}"/>
    <cellStyle name="Percent 6 10" xfId="8751" xr:uid="{00000000-0005-0000-0000-0000037F0000}"/>
    <cellStyle name="Percent 6 11" xfId="10419" xr:uid="{00000000-0005-0000-0000-0000047F0000}"/>
    <cellStyle name="Percent 6 12" xfId="32726" xr:uid="{00000000-0005-0000-0000-0000057F0000}"/>
    <cellStyle name="Percent 6 2" xfId="8468" xr:uid="{00000000-0005-0000-0000-0000067F0000}"/>
    <cellStyle name="Percent 6 2 2" xfId="8469" xr:uid="{00000000-0005-0000-0000-0000077F0000}"/>
    <cellStyle name="Percent 6 2 2 2" xfId="8470" xr:uid="{00000000-0005-0000-0000-0000087F0000}"/>
    <cellStyle name="Percent 6 2 2 2 2" xfId="8471" xr:uid="{00000000-0005-0000-0000-0000097F0000}"/>
    <cellStyle name="Percent 6 2 2 2 2 2" xfId="11695" xr:uid="{00000000-0005-0000-0000-00000A7F0000}"/>
    <cellStyle name="Percent 6 2 2 2 2 3" xfId="32730" xr:uid="{00000000-0005-0000-0000-00000B7F0000}"/>
    <cellStyle name="Percent 6 2 2 2 3" xfId="8472" xr:uid="{00000000-0005-0000-0000-00000C7F0000}"/>
    <cellStyle name="Percent 6 2 2 2 3 2" xfId="16937" xr:uid="{00000000-0005-0000-0000-00000D7F0000}"/>
    <cellStyle name="Percent 6 2 2 2 3 2 2" xfId="30344" xr:uid="{00000000-0005-0000-0000-00000E7F0000}"/>
    <cellStyle name="Percent 6 2 2 2 3 3" xfId="32731" xr:uid="{00000000-0005-0000-0000-00000F7F0000}"/>
    <cellStyle name="Percent 6 2 2 2 4" xfId="10422" xr:uid="{00000000-0005-0000-0000-0000107F0000}"/>
    <cellStyle name="Percent 6 2 2 2 5" xfId="32729" xr:uid="{00000000-0005-0000-0000-0000117F0000}"/>
    <cellStyle name="Percent 6 2 2 3" xfId="8473" xr:uid="{00000000-0005-0000-0000-0000127F0000}"/>
    <cellStyle name="Percent 6 2 2 3 2" xfId="8474" xr:uid="{00000000-0005-0000-0000-0000137F0000}"/>
    <cellStyle name="Percent 6 2 2 3 2 2" xfId="13365" xr:uid="{00000000-0005-0000-0000-0000147F0000}"/>
    <cellStyle name="Percent 6 2 2 3 2 3" xfId="32733" xr:uid="{00000000-0005-0000-0000-0000157F0000}"/>
    <cellStyle name="Percent 6 2 2 3 3" xfId="12325" xr:uid="{00000000-0005-0000-0000-0000167F0000}"/>
    <cellStyle name="Percent 6 2 2 3 3 2" xfId="26037" xr:uid="{00000000-0005-0000-0000-0000177F0000}"/>
    <cellStyle name="Percent 6 2 2 3 4" xfId="32732" xr:uid="{00000000-0005-0000-0000-0000187F0000}"/>
    <cellStyle name="Percent 6 2 2 4" xfId="8475" xr:uid="{00000000-0005-0000-0000-0000197F0000}"/>
    <cellStyle name="Percent 6 2 2 4 2" xfId="8476" xr:uid="{00000000-0005-0000-0000-00001A7F0000}"/>
    <cellStyle name="Percent 6 2 2 4 2 2" xfId="15794" xr:uid="{00000000-0005-0000-0000-00001B7F0000}"/>
    <cellStyle name="Percent 6 2 2 4 2 3" xfId="32735" xr:uid="{00000000-0005-0000-0000-00001C7F0000}"/>
    <cellStyle name="Percent 6 2 2 4 3" xfId="13889" xr:uid="{00000000-0005-0000-0000-00001D7F0000}"/>
    <cellStyle name="Percent 6 2 2 4 3 2" xfId="27438" xr:uid="{00000000-0005-0000-0000-00001E7F0000}"/>
    <cellStyle name="Percent 6 2 2 4 4" xfId="32734" xr:uid="{00000000-0005-0000-0000-00001F7F0000}"/>
    <cellStyle name="Percent 6 2 2 5" xfId="8477" xr:uid="{00000000-0005-0000-0000-0000207F0000}"/>
    <cellStyle name="Percent 6 2 2 5 2" xfId="14470" xr:uid="{00000000-0005-0000-0000-0000217F0000}"/>
    <cellStyle name="Percent 6 2 2 5 2 2" xfId="28019" xr:uid="{00000000-0005-0000-0000-0000227F0000}"/>
    <cellStyle name="Percent 6 2 2 5 3" xfId="32736" xr:uid="{00000000-0005-0000-0000-0000237F0000}"/>
    <cellStyle name="Percent 6 2 2 6" xfId="8478" xr:uid="{00000000-0005-0000-0000-0000247F0000}"/>
    <cellStyle name="Percent 6 2 2 6 2" xfId="16356" xr:uid="{00000000-0005-0000-0000-0000257F0000}"/>
    <cellStyle name="Percent 6 2 2 6 2 2" xfId="29763" xr:uid="{00000000-0005-0000-0000-0000267F0000}"/>
    <cellStyle name="Percent 6 2 2 6 3" xfId="32737" xr:uid="{00000000-0005-0000-0000-0000277F0000}"/>
    <cellStyle name="Percent 6 2 2 7" xfId="10421" xr:uid="{00000000-0005-0000-0000-0000287F0000}"/>
    <cellStyle name="Percent 6 2 2 8" xfId="32728" xr:uid="{00000000-0005-0000-0000-0000297F0000}"/>
    <cellStyle name="Percent 6 2 3" xfId="8479" xr:uid="{00000000-0005-0000-0000-00002A7F0000}"/>
    <cellStyle name="Percent 6 2 3 2" xfId="8480" xr:uid="{00000000-0005-0000-0000-00002B7F0000}"/>
    <cellStyle name="Percent 6 2 3 2 2" xfId="11696" xr:uid="{00000000-0005-0000-0000-00002C7F0000}"/>
    <cellStyle name="Percent 6 2 3 2 3" xfId="32739" xr:uid="{00000000-0005-0000-0000-00002D7F0000}"/>
    <cellStyle name="Percent 6 2 3 3" xfId="8481" xr:uid="{00000000-0005-0000-0000-00002E7F0000}"/>
    <cellStyle name="Percent 6 2 3 3 2" xfId="16648" xr:uid="{00000000-0005-0000-0000-00002F7F0000}"/>
    <cellStyle name="Percent 6 2 3 3 2 2" xfId="30055" xr:uid="{00000000-0005-0000-0000-0000307F0000}"/>
    <cellStyle name="Percent 6 2 3 3 3" xfId="32740" xr:uid="{00000000-0005-0000-0000-0000317F0000}"/>
    <cellStyle name="Percent 6 2 3 4" xfId="10423" xr:uid="{00000000-0005-0000-0000-0000327F0000}"/>
    <cellStyle name="Percent 6 2 3 5" xfId="32738" xr:uid="{00000000-0005-0000-0000-0000337F0000}"/>
    <cellStyle name="Percent 6 2 4" xfId="8482" xr:uid="{00000000-0005-0000-0000-0000347F0000}"/>
    <cellStyle name="Percent 6 2 4 2" xfId="8483" xr:uid="{00000000-0005-0000-0000-0000357F0000}"/>
    <cellStyle name="Percent 6 2 4 2 2" xfId="13366" xr:uid="{00000000-0005-0000-0000-0000367F0000}"/>
    <cellStyle name="Percent 6 2 4 2 3" xfId="32742" xr:uid="{00000000-0005-0000-0000-0000377F0000}"/>
    <cellStyle name="Percent 6 2 4 3" xfId="12025" xr:uid="{00000000-0005-0000-0000-0000387F0000}"/>
    <cellStyle name="Percent 6 2 4 3 2" xfId="25740" xr:uid="{00000000-0005-0000-0000-0000397F0000}"/>
    <cellStyle name="Percent 6 2 4 4" xfId="32741" xr:uid="{00000000-0005-0000-0000-00003A7F0000}"/>
    <cellStyle name="Percent 6 2 5" xfId="8484" xr:uid="{00000000-0005-0000-0000-00003B7F0000}"/>
    <cellStyle name="Percent 6 2 5 2" xfId="8485" xr:uid="{00000000-0005-0000-0000-00003C7F0000}"/>
    <cellStyle name="Percent 6 2 5 2 2" xfId="15795" xr:uid="{00000000-0005-0000-0000-00003D7F0000}"/>
    <cellStyle name="Percent 6 2 5 2 3" xfId="32744" xr:uid="{00000000-0005-0000-0000-00003E7F0000}"/>
    <cellStyle name="Percent 6 2 5 3" xfId="13600" xr:uid="{00000000-0005-0000-0000-00003F7F0000}"/>
    <cellStyle name="Percent 6 2 5 3 2" xfId="27149" xr:uid="{00000000-0005-0000-0000-0000407F0000}"/>
    <cellStyle name="Percent 6 2 5 4" xfId="32743" xr:uid="{00000000-0005-0000-0000-0000417F0000}"/>
    <cellStyle name="Percent 6 2 6" xfId="8486" xr:uid="{00000000-0005-0000-0000-0000427F0000}"/>
    <cellStyle name="Percent 6 2 6 2" xfId="14181" xr:uid="{00000000-0005-0000-0000-0000437F0000}"/>
    <cellStyle name="Percent 6 2 6 2 2" xfId="27730" xr:uid="{00000000-0005-0000-0000-0000447F0000}"/>
    <cellStyle name="Percent 6 2 6 3" xfId="32745" xr:uid="{00000000-0005-0000-0000-0000457F0000}"/>
    <cellStyle name="Percent 6 2 7" xfId="8487" xr:uid="{00000000-0005-0000-0000-0000467F0000}"/>
    <cellStyle name="Percent 6 2 7 2" xfId="16067" xr:uid="{00000000-0005-0000-0000-0000477F0000}"/>
    <cellStyle name="Percent 6 2 7 2 2" xfId="29474" xr:uid="{00000000-0005-0000-0000-0000487F0000}"/>
    <cellStyle name="Percent 6 2 7 3" xfId="32746" xr:uid="{00000000-0005-0000-0000-0000497F0000}"/>
    <cellStyle name="Percent 6 2 8" xfId="10420" xr:uid="{00000000-0005-0000-0000-00004A7F0000}"/>
    <cellStyle name="Percent 6 2 9" xfId="32727" xr:uid="{00000000-0005-0000-0000-00004B7F0000}"/>
    <cellStyle name="Percent 6 3" xfId="8488" xr:uid="{00000000-0005-0000-0000-00004C7F0000}"/>
    <cellStyle name="Percent 6 3 2" xfId="8489" xr:uid="{00000000-0005-0000-0000-00004D7F0000}"/>
    <cellStyle name="Percent 6 3 2 2" xfId="8490" xr:uid="{00000000-0005-0000-0000-00004E7F0000}"/>
    <cellStyle name="Percent 6 3 2 2 2" xfId="11697" xr:uid="{00000000-0005-0000-0000-00004F7F0000}"/>
    <cellStyle name="Percent 6 3 2 2 3" xfId="32749" xr:uid="{00000000-0005-0000-0000-0000507F0000}"/>
    <cellStyle name="Percent 6 3 2 3" xfId="8491" xr:uid="{00000000-0005-0000-0000-0000517F0000}"/>
    <cellStyle name="Percent 6 3 2 3 2" xfId="16794" xr:uid="{00000000-0005-0000-0000-0000527F0000}"/>
    <cellStyle name="Percent 6 3 2 3 2 2" xfId="30201" xr:uid="{00000000-0005-0000-0000-0000537F0000}"/>
    <cellStyle name="Percent 6 3 2 3 3" xfId="32750" xr:uid="{00000000-0005-0000-0000-0000547F0000}"/>
    <cellStyle name="Percent 6 3 2 4" xfId="10425" xr:uid="{00000000-0005-0000-0000-0000557F0000}"/>
    <cellStyle name="Percent 6 3 2 5" xfId="32748" xr:uid="{00000000-0005-0000-0000-0000567F0000}"/>
    <cellStyle name="Percent 6 3 3" xfId="8492" xr:uid="{00000000-0005-0000-0000-0000577F0000}"/>
    <cellStyle name="Percent 6 3 3 2" xfId="8493" xr:uid="{00000000-0005-0000-0000-0000587F0000}"/>
    <cellStyle name="Percent 6 3 3 2 2" xfId="13367" xr:uid="{00000000-0005-0000-0000-0000597F0000}"/>
    <cellStyle name="Percent 6 3 3 2 3" xfId="32752" xr:uid="{00000000-0005-0000-0000-00005A7F0000}"/>
    <cellStyle name="Percent 6 3 3 3" xfId="12182" xr:uid="{00000000-0005-0000-0000-00005B7F0000}"/>
    <cellStyle name="Percent 6 3 3 3 2" xfId="25894" xr:uid="{00000000-0005-0000-0000-00005C7F0000}"/>
    <cellStyle name="Percent 6 3 3 4" xfId="32751" xr:uid="{00000000-0005-0000-0000-00005D7F0000}"/>
    <cellStyle name="Percent 6 3 4" xfId="8494" xr:uid="{00000000-0005-0000-0000-00005E7F0000}"/>
    <cellStyle name="Percent 6 3 4 2" xfId="8495" xr:uid="{00000000-0005-0000-0000-00005F7F0000}"/>
    <cellStyle name="Percent 6 3 4 2 2" xfId="15796" xr:uid="{00000000-0005-0000-0000-0000607F0000}"/>
    <cellStyle name="Percent 6 3 4 2 3" xfId="32754" xr:uid="{00000000-0005-0000-0000-0000617F0000}"/>
    <cellStyle name="Percent 6 3 4 3" xfId="13746" xr:uid="{00000000-0005-0000-0000-0000627F0000}"/>
    <cellStyle name="Percent 6 3 4 3 2" xfId="27295" xr:uid="{00000000-0005-0000-0000-0000637F0000}"/>
    <cellStyle name="Percent 6 3 4 4" xfId="32753" xr:uid="{00000000-0005-0000-0000-0000647F0000}"/>
    <cellStyle name="Percent 6 3 5" xfId="8496" xr:uid="{00000000-0005-0000-0000-0000657F0000}"/>
    <cellStyle name="Percent 6 3 5 2" xfId="14327" xr:uid="{00000000-0005-0000-0000-0000667F0000}"/>
    <cellStyle name="Percent 6 3 5 2 2" xfId="27876" xr:uid="{00000000-0005-0000-0000-0000677F0000}"/>
    <cellStyle name="Percent 6 3 5 3" xfId="32755" xr:uid="{00000000-0005-0000-0000-0000687F0000}"/>
    <cellStyle name="Percent 6 3 6" xfId="8497" xr:uid="{00000000-0005-0000-0000-0000697F0000}"/>
    <cellStyle name="Percent 6 3 6 2" xfId="16213" xr:uid="{00000000-0005-0000-0000-00006A7F0000}"/>
    <cellStyle name="Percent 6 3 6 2 2" xfId="29620" xr:uid="{00000000-0005-0000-0000-00006B7F0000}"/>
    <cellStyle name="Percent 6 3 6 3" xfId="32756" xr:uid="{00000000-0005-0000-0000-00006C7F0000}"/>
    <cellStyle name="Percent 6 3 7" xfId="10424" xr:uid="{00000000-0005-0000-0000-00006D7F0000}"/>
    <cellStyle name="Percent 6 3 8" xfId="32747" xr:uid="{00000000-0005-0000-0000-00006E7F0000}"/>
    <cellStyle name="Percent 6 4" xfId="8498" xr:uid="{00000000-0005-0000-0000-00006F7F0000}"/>
    <cellStyle name="Percent 6 4 2" xfId="8499" xr:uid="{00000000-0005-0000-0000-0000707F0000}"/>
    <cellStyle name="Percent 6 4 2 2" xfId="11698" xr:uid="{00000000-0005-0000-0000-0000717F0000}"/>
    <cellStyle name="Percent 6 4 2 3" xfId="32758" xr:uid="{00000000-0005-0000-0000-0000727F0000}"/>
    <cellStyle name="Percent 6 4 3" xfId="8500" xr:uid="{00000000-0005-0000-0000-0000737F0000}"/>
    <cellStyle name="Percent 6 4 3 2" xfId="17141" xr:uid="{00000000-0005-0000-0000-0000747F0000}"/>
    <cellStyle name="Percent 6 4 3 2 2" xfId="30500" xr:uid="{00000000-0005-0000-0000-0000757F0000}"/>
    <cellStyle name="Percent 6 4 3 3" xfId="32759" xr:uid="{00000000-0005-0000-0000-0000767F0000}"/>
    <cellStyle name="Percent 6 4 4" xfId="10426" xr:uid="{00000000-0005-0000-0000-0000777F0000}"/>
    <cellStyle name="Percent 6 4 5" xfId="32757" xr:uid="{00000000-0005-0000-0000-0000787F0000}"/>
    <cellStyle name="Percent 6 5" xfId="8501" xr:uid="{00000000-0005-0000-0000-0000797F0000}"/>
    <cellStyle name="Percent 6 5 2" xfId="8502" xr:uid="{00000000-0005-0000-0000-00007A7F0000}"/>
    <cellStyle name="Percent 6 5 2 2" xfId="13368" xr:uid="{00000000-0005-0000-0000-00007B7F0000}"/>
    <cellStyle name="Percent 6 5 2 3" xfId="32761" xr:uid="{00000000-0005-0000-0000-00007C7F0000}"/>
    <cellStyle name="Percent 6 5 3" xfId="8503" xr:uid="{00000000-0005-0000-0000-00007D7F0000}"/>
    <cellStyle name="Percent 6 5 3 2" xfId="17230" xr:uid="{00000000-0005-0000-0000-00007E7F0000}"/>
    <cellStyle name="Percent 6 5 3 2 2" xfId="30589" xr:uid="{00000000-0005-0000-0000-00007F7F0000}"/>
    <cellStyle name="Percent 6 5 3 3" xfId="32762" xr:uid="{00000000-0005-0000-0000-0000807F0000}"/>
    <cellStyle name="Percent 6 5 4" xfId="11877" xr:uid="{00000000-0005-0000-0000-0000817F0000}"/>
    <cellStyle name="Percent 6 5 4 2" xfId="25592" xr:uid="{00000000-0005-0000-0000-0000827F0000}"/>
    <cellStyle name="Percent 6 5 5" xfId="32760" xr:uid="{00000000-0005-0000-0000-0000837F0000}"/>
    <cellStyle name="Percent 6 6" xfId="8504" xr:uid="{00000000-0005-0000-0000-0000847F0000}"/>
    <cellStyle name="Percent 6 6 2" xfId="8505" xr:uid="{00000000-0005-0000-0000-0000857F0000}"/>
    <cellStyle name="Percent 6 6 2 2" xfId="15797" xr:uid="{00000000-0005-0000-0000-0000867F0000}"/>
    <cellStyle name="Percent 6 6 2 3" xfId="32764" xr:uid="{00000000-0005-0000-0000-0000877F0000}"/>
    <cellStyle name="Percent 6 6 3" xfId="8506" xr:uid="{00000000-0005-0000-0000-0000887F0000}"/>
    <cellStyle name="Percent 6 6 3 2" xfId="16505" xr:uid="{00000000-0005-0000-0000-0000897F0000}"/>
    <cellStyle name="Percent 6 6 3 2 2" xfId="29912" xr:uid="{00000000-0005-0000-0000-00008A7F0000}"/>
    <cellStyle name="Percent 6 6 3 3" xfId="32765" xr:uid="{00000000-0005-0000-0000-00008B7F0000}"/>
    <cellStyle name="Percent 6 6 4" xfId="13457" xr:uid="{00000000-0005-0000-0000-00008C7F0000}"/>
    <cellStyle name="Percent 6 6 4 2" xfId="27006" xr:uid="{00000000-0005-0000-0000-00008D7F0000}"/>
    <cellStyle name="Percent 6 6 5" xfId="32763" xr:uid="{00000000-0005-0000-0000-00008E7F0000}"/>
    <cellStyle name="Percent 6 7" xfId="8507" xr:uid="{00000000-0005-0000-0000-00008F7F0000}"/>
    <cellStyle name="Percent 6 7 2" xfId="14038" xr:uid="{00000000-0005-0000-0000-0000907F0000}"/>
    <cellStyle name="Percent 6 7 2 2" xfId="27587" xr:uid="{00000000-0005-0000-0000-0000917F0000}"/>
    <cellStyle name="Percent 6 7 3" xfId="32766" xr:uid="{00000000-0005-0000-0000-0000927F0000}"/>
    <cellStyle name="Percent 6 8" xfId="8508" xr:uid="{00000000-0005-0000-0000-0000937F0000}"/>
    <cellStyle name="Percent 6 8 2" xfId="15924" xr:uid="{00000000-0005-0000-0000-0000947F0000}"/>
    <cellStyle name="Percent 6 8 2 2" xfId="29331" xr:uid="{00000000-0005-0000-0000-0000957F0000}"/>
    <cellStyle name="Percent 6 8 3" xfId="32767" xr:uid="{00000000-0005-0000-0000-0000967F0000}"/>
    <cellStyle name="Percent 6 9" xfId="8509" xr:uid="{00000000-0005-0000-0000-0000977F0000}"/>
    <cellStyle name="Percent 6 9 2" xfId="17354" xr:uid="{00000000-0005-0000-0000-0000987F0000}"/>
    <cellStyle name="Percent 6 9 3" xfId="32768" xr:uid="{00000000-0005-0000-0000-0000997F0000}"/>
    <cellStyle name="Percent 7" xfId="8510" xr:uid="{00000000-0005-0000-0000-00009A7F0000}"/>
    <cellStyle name="Percent 7 2" xfId="10427" xr:uid="{00000000-0005-0000-0000-00009B7F0000}"/>
    <cellStyle name="Percent 7 3" xfId="32769" xr:uid="{00000000-0005-0000-0000-00009C7F0000}"/>
    <cellStyle name="Percent 8" xfId="8511" xr:uid="{00000000-0005-0000-0000-00009D7F0000}"/>
    <cellStyle name="Percent 8 2" xfId="8512" xr:uid="{00000000-0005-0000-0000-00009E7F0000}"/>
    <cellStyle name="Percent 8 2 2" xfId="10429" xr:uid="{00000000-0005-0000-0000-00009F7F0000}"/>
    <cellStyle name="Percent 8 2 3" xfId="32771" xr:uid="{00000000-0005-0000-0000-0000A07F0000}"/>
    <cellStyle name="Percent 8 3" xfId="8513" xr:uid="{00000000-0005-0000-0000-0000A17F0000}"/>
    <cellStyle name="Percent 8 3 2" xfId="13369" xr:uid="{00000000-0005-0000-0000-0000A27F0000}"/>
    <cellStyle name="Percent 8 3 3" xfId="32772" xr:uid="{00000000-0005-0000-0000-0000A37F0000}"/>
    <cellStyle name="Percent 8 4" xfId="10428" xr:uid="{00000000-0005-0000-0000-0000A47F0000}"/>
    <cellStyle name="Percent 8 5" xfId="32770" xr:uid="{00000000-0005-0000-0000-0000A57F0000}"/>
    <cellStyle name="Percent 9" xfId="8514" xr:uid="{00000000-0005-0000-0000-0000A67F0000}"/>
    <cellStyle name="Percent 9 2" xfId="8515" xr:uid="{00000000-0005-0000-0000-0000A77F0000}"/>
    <cellStyle name="Percent 9 2 2" xfId="13371" xr:uid="{00000000-0005-0000-0000-0000A87F0000}"/>
    <cellStyle name="Percent 9 2 3" xfId="32774" xr:uid="{00000000-0005-0000-0000-0000A97F0000}"/>
    <cellStyle name="Percent 9 3" xfId="8516" xr:uid="{00000000-0005-0000-0000-0000AA7F0000}"/>
    <cellStyle name="Percent 9 3 2" xfId="13370" xr:uid="{00000000-0005-0000-0000-0000AB7F0000}"/>
    <cellStyle name="Percent 9 3 3" xfId="32775" xr:uid="{00000000-0005-0000-0000-0000AC7F0000}"/>
    <cellStyle name="Percent 9 4" xfId="10525" xr:uid="{00000000-0005-0000-0000-0000AD7F0000}"/>
    <cellStyle name="Percent 9 5" xfId="32773" xr:uid="{00000000-0005-0000-0000-0000AE7F0000}"/>
    <cellStyle name="SAPBEXaggData" xfId="8517" xr:uid="{00000000-0005-0000-0000-0000AF7F0000}"/>
    <cellStyle name="SAPBEXaggData 2" xfId="17056" xr:uid="{00000000-0005-0000-0000-0000B07F0000}"/>
    <cellStyle name="SAPBEXaggData 3" xfId="32776" xr:uid="{00000000-0005-0000-0000-0000B17F0000}"/>
    <cellStyle name="SAPBEXaggDataEmph" xfId="8518" xr:uid="{00000000-0005-0000-0000-0000B27F0000}"/>
    <cellStyle name="SAPBEXaggDataEmph 2" xfId="17057" xr:uid="{00000000-0005-0000-0000-0000B37F0000}"/>
    <cellStyle name="SAPBEXaggDataEmph 3" xfId="32777" xr:uid="{00000000-0005-0000-0000-0000B47F0000}"/>
    <cellStyle name="SAPBEXaggItem" xfId="8519" xr:uid="{00000000-0005-0000-0000-0000B57F0000}"/>
    <cellStyle name="SAPBEXaggItem 2" xfId="17058" xr:uid="{00000000-0005-0000-0000-0000B67F0000}"/>
    <cellStyle name="SAPBEXaggItem 3" xfId="32778" xr:uid="{00000000-0005-0000-0000-0000B77F0000}"/>
    <cellStyle name="SAPBEXaggItemX" xfId="8520" xr:uid="{00000000-0005-0000-0000-0000B87F0000}"/>
    <cellStyle name="SAPBEXaggItemX 2" xfId="17059" xr:uid="{00000000-0005-0000-0000-0000B97F0000}"/>
    <cellStyle name="SAPBEXaggItemX 3" xfId="32779" xr:uid="{00000000-0005-0000-0000-0000BA7F0000}"/>
    <cellStyle name="SAPBEXchaText" xfId="8521" xr:uid="{00000000-0005-0000-0000-0000BB7F0000}"/>
    <cellStyle name="SAPBEXchaText 2" xfId="17060" xr:uid="{00000000-0005-0000-0000-0000BC7F0000}"/>
    <cellStyle name="SAPBEXchaText 3" xfId="32780" xr:uid="{00000000-0005-0000-0000-0000BD7F0000}"/>
    <cellStyle name="SAPBEXexcBad7" xfId="8522" xr:uid="{00000000-0005-0000-0000-0000BE7F0000}"/>
    <cellStyle name="SAPBEXexcBad7 2" xfId="17061" xr:uid="{00000000-0005-0000-0000-0000BF7F0000}"/>
    <cellStyle name="SAPBEXexcBad7 3" xfId="32781" xr:uid="{00000000-0005-0000-0000-0000C07F0000}"/>
    <cellStyle name="SAPBEXexcBad8" xfId="8523" xr:uid="{00000000-0005-0000-0000-0000C17F0000}"/>
    <cellStyle name="SAPBEXexcBad8 2" xfId="17062" xr:uid="{00000000-0005-0000-0000-0000C27F0000}"/>
    <cellStyle name="SAPBEXexcBad8 3" xfId="32782" xr:uid="{00000000-0005-0000-0000-0000C37F0000}"/>
    <cellStyle name="SAPBEXexcBad9" xfId="8524" xr:uid="{00000000-0005-0000-0000-0000C47F0000}"/>
    <cellStyle name="SAPBEXexcBad9 2" xfId="17063" xr:uid="{00000000-0005-0000-0000-0000C57F0000}"/>
    <cellStyle name="SAPBEXexcBad9 3" xfId="32783" xr:uid="{00000000-0005-0000-0000-0000C67F0000}"/>
    <cellStyle name="SAPBEXexcCritical4" xfId="8525" xr:uid="{00000000-0005-0000-0000-0000C77F0000}"/>
    <cellStyle name="SAPBEXexcCritical4 2" xfId="17064" xr:uid="{00000000-0005-0000-0000-0000C87F0000}"/>
    <cellStyle name="SAPBEXexcCritical4 3" xfId="32784" xr:uid="{00000000-0005-0000-0000-0000C97F0000}"/>
    <cellStyle name="SAPBEXexcCritical5" xfId="8526" xr:uid="{00000000-0005-0000-0000-0000CA7F0000}"/>
    <cellStyle name="SAPBEXexcCritical5 2" xfId="17065" xr:uid="{00000000-0005-0000-0000-0000CB7F0000}"/>
    <cellStyle name="SAPBEXexcCritical5 3" xfId="32785" xr:uid="{00000000-0005-0000-0000-0000CC7F0000}"/>
    <cellStyle name="SAPBEXexcCritical6" xfId="8527" xr:uid="{00000000-0005-0000-0000-0000CD7F0000}"/>
    <cellStyle name="SAPBEXexcCritical6 2" xfId="17066" xr:uid="{00000000-0005-0000-0000-0000CE7F0000}"/>
    <cellStyle name="SAPBEXexcCritical6 3" xfId="32786" xr:uid="{00000000-0005-0000-0000-0000CF7F0000}"/>
    <cellStyle name="SAPBEXexcGood1" xfId="8528" xr:uid="{00000000-0005-0000-0000-0000D07F0000}"/>
    <cellStyle name="SAPBEXexcGood1 2" xfId="17067" xr:uid="{00000000-0005-0000-0000-0000D17F0000}"/>
    <cellStyle name="SAPBEXexcGood1 3" xfId="32787" xr:uid="{00000000-0005-0000-0000-0000D27F0000}"/>
    <cellStyle name="SAPBEXexcGood2" xfId="8529" xr:uid="{00000000-0005-0000-0000-0000D37F0000}"/>
    <cellStyle name="SAPBEXexcGood2 2" xfId="17068" xr:uid="{00000000-0005-0000-0000-0000D47F0000}"/>
    <cellStyle name="SAPBEXexcGood2 3" xfId="32788" xr:uid="{00000000-0005-0000-0000-0000D57F0000}"/>
    <cellStyle name="SAPBEXexcGood3" xfId="8530" xr:uid="{00000000-0005-0000-0000-0000D67F0000}"/>
    <cellStyle name="SAPBEXexcGood3 2" xfId="17069" xr:uid="{00000000-0005-0000-0000-0000D77F0000}"/>
    <cellStyle name="SAPBEXexcGood3 3" xfId="32789" xr:uid="{00000000-0005-0000-0000-0000D87F0000}"/>
    <cellStyle name="SAPBEXfilterDrill" xfId="8531" xr:uid="{00000000-0005-0000-0000-0000D97F0000}"/>
    <cellStyle name="SAPBEXfilterDrill 2" xfId="17070" xr:uid="{00000000-0005-0000-0000-0000DA7F0000}"/>
    <cellStyle name="SAPBEXfilterDrill 3" xfId="32790" xr:uid="{00000000-0005-0000-0000-0000DB7F0000}"/>
    <cellStyle name="SAPBEXfilterItem" xfId="8532" xr:uid="{00000000-0005-0000-0000-0000DC7F0000}"/>
    <cellStyle name="SAPBEXfilterItem 2" xfId="17071" xr:uid="{00000000-0005-0000-0000-0000DD7F0000}"/>
    <cellStyle name="SAPBEXfilterItem 3" xfId="32791" xr:uid="{00000000-0005-0000-0000-0000DE7F0000}"/>
    <cellStyle name="SAPBEXfilterText" xfId="8533" xr:uid="{00000000-0005-0000-0000-0000DF7F0000}"/>
    <cellStyle name="SAPBEXfilterText 2" xfId="17072" xr:uid="{00000000-0005-0000-0000-0000E07F0000}"/>
    <cellStyle name="SAPBEXfilterText 3" xfId="32792" xr:uid="{00000000-0005-0000-0000-0000E17F0000}"/>
    <cellStyle name="SAPBEXformats" xfId="8534" xr:uid="{00000000-0005-0000-0000-0000E27F0000}"/>
    <cellStyle name="SAPBEXformats 2" xfId="17073" xr:uid="{00000000-0005-0000-0000-0000E37F0000}"/>
    <cellStyle name="SAPBEXformats 3" xfId="32793" xr:uid="{00000000-0005-0000-0000-0000E47F0000}"/>
    <cellStyle name="SAPBEXheaderItem" xfId="8535" xr:uid="{00000000-0005-0000-0000-0000E57F0000}"/>
    <cellStyle name="SAPBEXheaderItem 2" xfId="17074" xr:uid="{00000000-0005-0000-0000-0000E67F0000}"/>
    <cellStyle name="SAPBEXheaderItem 3" xfId="32794" xr:uid="{00000000-0005-0000-0000-0000E77F0000}"/>
    <cellStyle name="SAPBEXheaderText" xfId="8536" xr:uid="{00000000-0005-0000-0000-0000E87F0000}"/>
    <cellStyle name="SAPBEXheaderText 2" xfId="17075" xr:uid="{00000000-0005-0000-0000-0000E97F0000}"/>
    <cellStyle name="SAPBEXheaderText 3" xfId="32795" xr:uid="{00000000-0005-0000-0000-0000EA7F0000}"/>
    <cellStyle name="SAPBEXHLevel0" xfId="8537" xr:uid="{00000000-0005-0000-0000-0000EB7F0000}"/>
    <cellStyle name="SAPBEXHLevel0 2" xfId="17076" xr:uid="{00000000-0005-0000-0000-0000EC7F0000}"/>
    <cellStyle name="SAPBEXHLevel0 3" xfId="32796" xr:uid="{00000000-0005-0000-0000-0000ED7F0000}"/>
    <cellStyle name="SAPBEXHLevel0X" xfId="8538" xr:uid="{00000000-0005-0000-0000-0000EE7F0000}"/>
    <cellStyle name="SAPBEXHLevel0X 2" xfId="17077" xr:uid="{00000000-0005-0000-0000-0000EF7F0000}"/>
    <cellStyle name="SAPBEXHLevel0X 3" xfId="32797" xr:uid="{00000000-0005-0000-0000-0000F07F0000}"/>
    <cellStyle name="SAPBEXHLevel1" xfId="8539" xr:uid="{00000000-0005-0000-0000-0000F17F0000}"/>
    <cellStyle name="SAPBEXHLevel1 2" xfId="17078" xr:uid="{00000000-0005-0000-0000-0000F27F0000}"/>
    <cellStyle name="SAPBEXHLevel1 3" xfId="32798" xr:uid="{00000000-0005-0000-0000-0000F37F0000}"/>
    <cellStyle name="SAPBEXHLevel1X" xfId="8540" xr:uid="{00000000-0005-0000-0000-0000F47F0000}"/>
    <cellStyle name="SAPBEXHLevel1X 2" xfId="17079" xr:uid="{00000000-0005-0000-0000-0000F57F0000}"/>
    <cellStyle name="SAPBEXHLevel1X 3" xfId="32799" xr:uid="{00000000-0005-0000-0000-0000F67F0000}"/>
    <cellStyle name="SAPBEXHLevel2" xfId="8541" xr:uid="{00000000-0005-0000-0000-0000F77F0000}"/>
    <cellStyle name="SAPBEXHLevel2 2" xfId="17080" xr:uid="{00000000-0005-0000-0000-0000F87F0000}"/>
    <cellStyle name="SAPBEXHLevel2 3" xfId="32800" xr:uid="{00000000-0005-0000-0000-0000F97F0000}"/>
    <cellStyle name="SAPBEXHLevel2X" xfId="8542" xr:uid="{00000000-0005-0000-0000-0000FA7F0000}"/>
    <cellStyle name="SAPBEXHLevel2X 2" xfId="17081" xr:uid="{00000000-0005-0000-0000-0000FB7F0000}"/>
    <cellStyle name="SAPBEXHLevel2X 3" xfId="32801" xr:uid="{00000000-0005-0000-0000-0000FC7F0000}"/>
    <cellStyle name="SAPBEXHLevel3" xfId="8543" xr:uid="{00000000-0005-0000-0000-0000FD7F0000}"/>
    <cellStyle name="SAPBEXHLevel3 2" xfId="17082" xr:uid="{00000000-0005-0000-0000-0000FE7F0000}"/>
    <cellStyle name="SAPBEXHLevel3 3" xfId="32802" xr:uid="{00000000-0005-0000-0000-0000FF7F0000}"/>
    <cellStyle name="SAPBEXHLevel3X" xfId="8544" xr:uid="{00000000-0005-0000-0000-000000800000}"/>
    <cellStyle name="SAPBEXHLevel3X 2" xfId="17083" xr:uid="{00000000-0005-0000-0000-000001800000}"/>
    <cellStyle name="SAPBEXHLevel3X 3" xfId="32803" xr:uid="{00000000-0005-0000-0000-000002800000}"/>
    <cellStyle name="SAPBEXinputData" xfId="8545" xr:uid="{00000000-0005-0000-0000-000003800000}"/>
    <cellStyle name="SAPBEXinputData 2" xfId="17084" xr:uid="{00000000-0005-0000-0000-000004800000}"/>
    <cellStyle name="SAPBEXinputData 3" xfId="32804" xr:uid="{00000000-0005-0000-0000-000005800000}"/>
    <cellStyle name="SAPBEXresData" xfId="8546" xr:uid="{00000000-0005-0000-0000-000006800000}"/>
    <cellStyle name="SAPBEXresData 2" xfId="17085" xr:uid="{00000000-0005-0000-0000-000007800000}"/>
    <cellStyle name="SAPBEXresData 3" xfId="32805" xr:uid="{00000000-0005-0000-0000-000008800000}"/>
    <cellStyle name="SAPBEXresDataEmph" xfId="8547" xr:uid="{00000000-0005-0000-0000-000009800000}"/>
    <cellStyle name="SAPBEXresDataEmph 2" xfId="17086" xr:uid="{00000000-0005-0000-0000-00000A800000}"/>
    <cellStyle name="SAPBEXresDataEmph 3" xfId="32806" xr:uid="{00000000-0005-0000-0000-00000B800000}"/>
    <cellStyle name="SAPBEXresItem" xfId="8548" xr:uid="{00000000-0005-0000-0000-00000C800000}"/>
    <cellStyle name="SAPBEXresItem 2" xfId="17087" xr:uid="{00000000-0005-0000-0000-00000D800000}"/>
    <cellStyle name="SAPBEXresItem 3" xfId="32807" xr:uid="{00000000-0005-0000-0000-00000E800000}"/>
    <cellStyle name="SAPBEXresItemX" xfId="8549" xr:uid="{00000000-0005-0000-0000-00000F800000}"/>
    <cellStyle name="SAPBEXresItemX 2" xfId="17088" xr:uid="{00000000-0005-0000-0000-000010800000}"/>
    <cellStyle name="SAPBEXresItemX 3" xfId="32808" xr:uid="{00000000-0005-0000-0000-000011800000}"/>
    <cellStyle name="SAPBEXstdData" xfId="8550" xr:uid="{00000000-0005-0000-0000-000012800000}"/>
    <cellStyle name="SAPBEXstdData 2" xfId="17089" xr:uid="{00000000-0005-0000-0000-000013800000}"/>
    <cellStyle name="SAPBEXstdData 3" xfId="32809" xr:uid="{00000000-0005-0000-0000-000014800000}"/>
    <cellStyle name="SAPBEXstdDataEmph" xfId="8551" xr:uid="{00000000-0005-0000-0000-000015800000}"/>
    <cellStyle name="SAPBEXstdDataEmph 2" xfId="17090" xr:uid="{00000000-0005-0000-0000-000016800000}"/>
    <cellStyle name="SAPBEXstdDataEmph 3" xfId="32810" xr:uid="{00000000-0005-0000-0000-000017800000}"/>
    <cellStyle name="SAPBEXstdItem" xfId="8552" xr:uid="{00000000-0005-0000-0000-000018800000}"/>
    <cellStyle name="SAPBEXstdItem 2" xfId="17091" xr:uid="{00000000-0005-0000-0000-000019800000}"/>
    <cellStyle name="SAPBEXstdItem 3" xfId="32811" xr:uid="{00000000-0005-0000-0000-00001A800000}"/>
    <cellStyle name="SAPBEXstdItemX" xfId="8553" xr:uid="{00000000-0005-0000-0000-00001B800000}"/>
    <cellStyle name="SAPBEXstdItemX 2" xfId="17092" xr:uid="{00000000-0005-0000-0000-00001C800000}"/>
    <cellStyle name="SAPBEXstdItemX 3" xfId="32812" xr:uid="{00000000-0005-0000-0000-00001D800000}"/>
    <cellStyle name="SAPBEXtitle" xfId="8554" xr:uid="{00000000-0005-0000-0000-00001E800000}"/>
    <cellStyle name="SAPBEXtitle 2" xfId="17093" xr:uid="{00000000-0005-0000-0000-00001F800000}"/>
    <cellStyle name="SAPBEXtitle 3" xfId="32813" xr:uid="{00000000-0005-0000-0000-000020800000}"/>
    <cellStyle name="SAPBEXundefined" xfId="8555" xr:uid="{00000000-0005-0000-0000-000021800000}"/>
    <cellStyle name="SAPBEXundefined 2" xfId="17094" xr:uid="{00000000-0005-0000-0000-000022800000}"/>
    <cellStyle name="SAPBEXundefined 3" xfId="32814" xr:uid="{00000000-0005-0000-0000-000023800000}"/>
    <cellStyle name="Sheet Title" xfId="8556" xr:uid="{00000000-0005-0000-0000-000024800000}"/>
    <cellStyle name="Sheet Title 2" xfId="17095" xr:uid="{00000000-0005-0000-0000-000025800000}"/>
    <cellStyle name="Sheet Title 3" xfId="32815" xr:uid="{00000000-0005-0000-0000-000026800000}"/>
    <cellStyle name="Style 1" xfId="11" xr:uid="{00000000-0005-0000-0000-000027800000}"/>
    <cellStyle name="Style 2" xfId="12" xr:uid="{00000000-0005-0000-0000-000028800000}"/>
    <cellStyle name="TableStyleLight1" xfId="8557" xr:uid="{00000000-0005-0000-0000-000029800000}"/>
    <cellStyle name="TableStyleLight1 2" xfId="10430" xr:uid="{00000000-0005-0000-0000-00002A800000}"/>
    <cellStyle name="TableStyleLight1 3" xfId="32816" xr:uid="{00000000-0005-0000-0000-00002B800000}"/>
    <cellStyle name="Title" xfId="14" builtinId="15" customBuiltin="1"/>
    <cellStyle name="Title 10" xfId="8558" xr:uid="{00000000-0005-0000-0000-00002D800000}"/>
    <cellStyle name="Title 10 2" xfId="8559" xr:uid="{00000000-0005-0000-0000-00002E800000}"/>
    <cellStyle name="Title 10 2 2" xfId="11701" xr:uid="{00000000-0005-0000-0000-00002F800000}"/>
    <cellStyle name="Title 10 2 3" xfId="32818" xr:uid="{00000000-0005-0000-0000-000030800000}"/>
    <cellStyle name="Title 10 3" xfId="10432" xr:uid="{00000000-0005-0000-0000-000031800000}"/>
    <cellStyle name="Title 10 4" xfId="32817" xr:uid="{00000000-0005-0000-0000-000032800000}"/>
    <cellStyle name="Title 11" xfId="8560" xr:uid="{00000000-0005-0000-0000-000033800000}"/>
    <cellStyle name="Title 11 2" xfId="8561" xr:uid="{00000000-0005-0000-0000-000034800000}"/>
    <cellStyle name="Title 11 2 2" xfId="15798" xr:uid="{00000000-0005-0000-0000-000035800000}"/>
    <cellStyle name="Title 11 2 3" xfId="32820" xr:uid="{00000000-0005-0000-0000-000036800000}"/>
    <cellStyle name="Title 11 3" xfId="10433" xr:uid="{00000000-0005-0000-0000-000037800000}"/>
    <cellStyle name="Title 11 4" xfId="32819" xr:uid="{00000000-0005-0000-0000-000038800000}"/>
    <cellStyle name="Title 12" xfId="8562" xr:uid="{00000000-0005-0000-0000-000039800000}"/>
    <cellStyle name="Title 12 2" xfId="8563" xr:uid="{00000000-0005-0000-0000-00003A800000}"/>
    <cellStyle name="Title 12 2 2" xfId="15799" xr:uid="{00000000-0005-0000-0000-00003B800000}"/>
    <cellStyle name="Title 12 2 3" xfId="32822" xr:uid="{00000000-0005-0000-0000-00003C800000}"/>
    <cellStyle name="Title 12 3" xfId="10501" xr:uid="{00000000-0005-0000-0000-00003D800000}"/>
    <cellStyle name="Title 12 4" xfId="32821" xr:uid="{00000000-0005-0000-0000-00003E800000}"/>
    <cellStyle name="Title 13" xfId="8564" xr:uid="{00000000-0005-0000-0000-00003F800000}"/>
    <cellStyle name="Title 13 2" xfId="11700" xr:uid="{00000000-0005-0000-0000-000040800000}"/>
    <cellStyle name="Title 13 3" xfId="32823" xr:uid="{00000000-0005-0000-0000-000041800000}"/>
    <cellStyle name="Title 14" xfId="8565" xr:uid="{00000000-0005-0000-0000-000042800000}"/>
    <cellStyle name="Title 14 2" xfId="10431" xr:uid="{00000000-0005-0000-0000-000043800000}"/>
    <cellStyle name="Title 14 3" xfId="32824" xr:uid="{00000000-0005-0000-0000-000044800000}"/>
    <cellStyle name="Title 2" xfId="8566" xr:uid="{00000000-0005-0000-0000-000045800000}"/>
    <cellStyle name="Title 2 2" xfId="8567" xr:uid="{00000000-0005-0000-0000-000046800000}"/>
    <cellStyle name="Title 2 2 2" xfId="10435" xr:uid="{00000000-0005-0000-0000-000047800000}"/>
    <cellStyle name="Title 2 2 3" xfId="32826" xr:uid="{00000000-0005-0000-0000-000048800000}"/>
    <cellStyle name="Title 2 3" xfId="8568" xr:uid="{00000000-0005-0000-0000-000049800000}"/>
    <cellStyle name="Title 2 3 2" xfId="13372" xr:uid="{00000000-0005-0000-0000-00004A800000}"/>
    <cellStyle name="Title 2 3 3" xfId="32827" xr:uid="{00000000-0005-0000-0000-00004B800000}"/>
    <cellStyle name="Title 2 4" xfId="10434" xr:uid="{00000000-0005-0000-0000-00004C800000}"/>
    <cellStyle name="Title 2 5" xfId="32825" xr:uid="{00000000-0005-0000-0000-00004D800000}"/>
    <cellStyle name="Title 2 6" xfId="33099" xr:uid="{00000000-0005-0000-0000-00004E800000}"/>
    <cellStyle name="Title 3" xfId="8569" xr:uid="{00000000-0005-0000-0000-00004F800000}"/>
    <cellStyle name="Title 3 2" xfId="8570" xr:uid="{00000000-0005-0000-0000-000050800000}"/>
    <cellStyle name="Title 3 2 2" xfId="10437" xr:uid="{00000000-0005-0000-0000-000051800000}"/>
    <cellStyle name="Title 3 2 3" xfId="32829" xr:uid="{00000000-0005-0000-0000-000052800000}"/>
    <cellStyle name="Title 3 3" xfId="8571" xr:uid="{00000000-0005-0000-0000-000053800000}"/>
    <cellStyle name="Title 3 3 2" xfId="13374" xr:uid="{00000000-0005-0000-0000-000054800000}"/>
    <cellStyle name="Title 3 3 3" xfId="32830" xr:uid="{00000000-0005-0000-0000-000055800000}"/>
    <cellStyle name="Title 3 4" xfId="8572" xr:uid="{00000000-0005-0000-0000-000056800000}"/>
    <cellStyle name="Title 3 4 2" xfId="13373" xr:uid="{00000000-0005-0000-0000-000057800000}"/>
    <cellStyle name="Title 3 4 3" xfId="32831" xr:uid="{00000000-0005-0000-0000-000058800000}"/>
    <cellStyle name="Title 3 5" xfId="10436" xr:uid="{00000000-0005-0000-0000-000059800000}"/>
    <cellStyle name="Title 3 6" xfId="32828" xr:uid="{00000000-0005-0000-0000-00005A800000}"/>
    <cellStyle name="Title 3 7" xfId="33101" xr:uid="{00000000-0005-0000-0000-00005B800000}"/>
    <cellStyle name="Title 4" xfId="8573" xr:uid="{00000000-0005-0000-0000-00005C800000}"/>
    <cellStyle name="Title 4 2" xfId="8574" xr:uid="{00000000-0005-0000-0000-00005D800000}"/>
    <cellStyle name="Title 4 2 2" xfId="8575" xr:uid="{00000000-0005-0000-0000-00005E800000}"/>
    <cellStyle name="Title 4 2 2 2" xfId="11703" xr:uid="{00000000-0005-0000-0000-00005F800000}"/>
    <cellStyle name="Title 4 2 2 3" xfId="32834" xr:uid="{00000000-0005-0000-0000-000060800000}"/>
    <cellStyle name="Title 4 2 3" xfId="10439" xr:uid="{00000000-0005-0000-0000-000061800000}"/>
    <cellStyle name="Title 4 2 4" xfId="32833" xr:uid="{00000000-0005-0000-0000-000062800000}"/>
    <cellStyle name="Title 4 3" xfId="8576" xr:uid="{00000000-0005-0000-0000-000063800000}"/>
    <cellStyle name="Title 4 3 2" xfId="11702" xr:uid="{00000000-0005-0000-0000-000064800000}"/>
    <cellStyle name="Title 4 3 3" xfId="32835" xr:uid="{00000000-0005-0000-0000-000065800000}"/>
    <cellStyle name="Title 4 4" xfId="8577" xr:uid="{00000000-0005-0000-0000-000066800000}"/>
    <cellStyle name="Title 4 4 2" xfId="13375" xr:uid="{00000000-0005-0000-0000-000067800000}"/>
    <cellStyle name="Title 4 4 3" xfId="32836" xr:uid="{00000000-0005-0000-0000-000068800000}"/>
    <cellStyle name="Title 4 5" xfId="8578" xr:uid="{00000000-0005-0000-0000-000069800000}"/>
    <cellStyle name="Title 4 5 2" xfId="15800" xr:uid="{00000000-0005-0000-0000-00006A800000}"/>
    <cellStyle name="Title 4 5 3" xfId="32837" xr:uid="{00000000-0005-0000-0000-00006B800000}"/>
    <cellStyle name="Title 4 6" xfId="10438" xr:uid="{00000000-0005-0000-0000-00006C800000}"/>
    <cellStyle name="Title 4 7" xfId="32832" xr:uid="{00000000-0005-0000-0000-00006D800000}"/>
    <cellStyle name="Title 5" xfId="8579" xr:uid="{00000000-0005-0000-0000-00006E800000}"/>
    <cellStyle name="Title 5 2" xfId="8580" xr:uid="{00000000-0005-0000-0000-00006F800000}"/>
    <cellStyle name="Title 5 2 2" xfId="8581" xr:uid="{00000000-0005-0000-0000-000070800000}"/>
    <cellStyle name="Title 5 2 2 2" xfId="11705" xr:uid="{00000000-0005-0000-0000-000071800000}"/>
    <cellStyle name="Title 5 2 2 3" xfId="32840" xr:uid="{00000000-0005-0000-0000-000072800000}"/>
    <cellStyle name="Title 5 2 3" xfId="10441" xr:uid="{00000000-0005-0000-0000-000073800000}"/>
    <cellStyle name="Title 5 2 4" xfId="32839" xr:uid="{00000000-0005-0000-0000-000074800000}"/>
    <cellStyle name="Title 5 3" xfId="8582" xr:uid="{00000000-0005-0000-0000-000075800000}"/>
    <cellStyle name="Title 5 3 2" xfId="11704" xr:uid="{00000000-0005-0000-0000-000076800000}"/>
    <cellStyle name="Title 5 3 3" xfId="32841" xr:uid="{00000000-0005-0000-0000-000077800000}"/>
    <cellStyle name="Title 5 4" xfId="10440" xr:uid="{00000000-0005-0000-0000-000078800000}"/>
    <cellStyle name="Title 5 5" xfId="32838" xr:uid="{00000000-0005-0000-0000-000079800000}"/>
    <cellStyle name="Title 6" xfId="8583" xr:uid="{00000000-0005-0000-0000-00007A800000}"/>
    <cellStyle name="Title 6 2" xfId="8584" xr:uid="{00000000-0005-0000-0000-00007B800000}"/>
    <cellStyle name="Title 6 2 2" xfId="11706" xr:uid="{00000000-0005-0000-0000-00007C800000}"/>
    <cellStyle name="Title 6 2 3" xfId="32843" xr:uid="{00000000-0005-0000-0000-00007D800000}"/>
    <cellStyle name="Title 6 3" xfId="10442" xr:uid="{00000000-0005-0000-0000-00007E800000}"/>
    <cellStyle name="Title 6 4" xfId="32842" xr:uid="{00000000-0005-0000-0000-00007F800000}"/>
    <cellStyle name="Title 7" xfId="8585" xr:uid="{00000000-0005-0000-0000-000080800000}"/>
    <cellStyle name="Title 7 2" xfId="8586" xr:uid="{00000000-0005-0000-0000-000081800000}"/>
    <cellStyle name="Title 7 2 2" xfId="11707" xr:uid="{00000000-0005-0000-0000-000082800000}"/>
    <cellStyle name="Title 7 2 3" xfId="32845" xr:uid="{00000000-0005-0000-0000-000083800000}"/>
    <cellStyle name="Title 7 3" xfId="10443" xr:uid="{00000000-0005-0000-0000-000084800000}"/>
    <cellStyle name="Title 7 4" xfId="32844" xr:uid="{00000000-0005-0000-0000-000085800000}"/>
    <cellStyle name="Title 8" xfId="8587" xr:uid="{00000000-0005-0000-0000-000086800000}"/>
    <cellStyle name="Title 8 2" xfId="8588" xr:uid="{00000000-0005-0000-0000-000087800000}"/>
    <cellStyle name="Title 8 2 2" xfId="11708" xr:uid="{00000000-0005-0000-0000-000088800000}"/>
    <cellStyle name="Title 8 2 3" xfId="32847" xr:uid="{00000000-0005-0000-0000-000089800000}"/>
    <cellStyle name="Title 8 3" xfId="10444" xr:uid="{00000000-0005-0000-0000-00008A800000}"/>
    <cellStyle name="Title 8 4" xfId="32846" xr:uid="{00000000-0005-0000-0000-00008B800000}"/>
    <cellStyle name="Title 9" xfId="8589" xr:uid="{00000000-0005-0000-0000-00008C800000}"/>
    <cellStyle name="Title 9 2" xfId="8590" xr:uid="{00000000-0005-0000-0000-00008D800000}"/>
    <cellStyle name="Title 9 2 2" xfId="11709" xr:uid="{00000000-0005-0000-0000-00008E800000}"/>
    <cellStyle name="Title 9 2 3" xfId="32849" xr:uid="{00000000-0005-0000-0000-00008F800000}"/>
    <cellStyle name="Title 9 3" xfId="10445" xr:uid="{00000000-0005-0000-0000-000090800000}"/>
    <cellStyle name="Title 9 4" xfId="32848" xr:uid="{00000000-0005-0000-0000-000091800000}"/>
    <cellStyle name="Total" xfId="26" builtinId="25" customBuiltin="1"/>
    <cellStyle name="Total 10" xfId="8591" xr:uid="{00000000-0005-0000-0000-000093800000}"/>
    <cellStyle name="Total 10 2" xfId="8752" xr:uid="{00000000-0005-0000-0000-000094800000}"/>
    <cellStyle name="Total 10 3" xfId="32850" xr:uid="{00000000-0005-0000-0000-000095800000}"/>
    <cellStyle name="Total 11" xfId="8592" xr:uid="{00000000-0005-0000-0000-000096800000}"/>
    <cellStyle name="Total 11 2" xfId="8753" xr:uid="{00000000-0005-0000-0000-000097800000}"/>
    <cellStyle name="Total 11 3" xfId="32851" xr:uid="{00000000-0005-0000-0000-000098800000}"/>
    <cellStyle name="Total 12" xfId="8593" xr:uid="{00000000-0005-0000-0000-000099800000}"/>
    <cellStyle name="Total 12 2" xfId="8754" xr:uid="{00000000-0005-0000-0000-00009A800000}"/>
    <cellStyle name="Total 12 3" xfId="32852" xr:uid="{00000000-0005-0000-0000-00009B800000}"/>
    <cellStyle name="Total 13" xfId="8594" xr:uid="{00000000-0005-0000-0000-00009C800000}"/>
    <cellStyle name="Total 13 2" xfId="8755" xr:uid="{00000000-0005-0000-0000-00009D800000}"/>
    <cellStyle name="Total 13 3" xfId="32853" xr:uid="{00000000-0005-0000-0000-00009E800000}"/>
    <cellStyle name="Total 14" xfId="8595" xr:uid="{00000000-0005-0000-0000-00009F800000}"/>
    <cellStyle name="Total 14 2" xfId="8756" xr:uid="{00000000-0005-0000-0000-0000A0800000}"/>
    <cellStyle name="Total 14 3" xfId="32854" xr:uid="{00000000-0005-0000-0000-0000A1800000}"/>
    <cellStyle name="Total 15" xfId="8596" xr:uid="{00000000-0005-0000-0000-0000A2800000}"/>
    <cellStyle name="Total 15 2" xfId="8757" xr:uid="{00000000-0005-0000-0000-0000A3800000}"/>
    <cellStyle name="Total 15 3" xfId="32855" xr:uid="{00000000-0005-0000-0000-0000A4800000}"/>
    <cellStyle name="Total 16" xfId="8597" xr:uid="{00000000-0005-0000-0000-0000A5800000}"/>
    <cellStyle name="Total 16 2" xfId="8758" xr:uid="{00000000-0005-0000-0000-0000A6800000}"/>
    <cellStyle name="Total 16 3" xfId="32856" xr:uid="{00000000-0005-0000-0000-0000A7800000}"/>
    <cellStyle name="Total 17" xfId="8598" xr:uid="{00000000-0005-0000-0000-0000A8800000}"/>
    <cellStyle name="Total 17 2" xfId="8759" xr:uid="{00000000-0005-0000-0000-0000A9800000}"/>
    <cellStyle name="Total 17 3" xfId="32857" xr:uid="{00000000-0005-0000-0000-0000AA800000}"/>
    <cellStyle name="Total 18" xfId="8599" xr:uid="{00000000-0005-0000-0000-0000AB800000}"/>
    <cellStyle name="Total 18 2" xfId="8760" xr:uid="{00000000-0005-0000-0000-0000AC800000}"/>
    <cellStyle name="Total 18 3" xfId="32858" xr:uid="{00000000-0005-0000-0000-0000AD800000}"/>
    <cellStyle name="Total 19" xfId="8600" xr:uid="{00000000-0005-0000-0000-0000AE800000}"/>
    <cellStyle name="Total 19 2" xfId="8761" xr:uid="{00000000-0005-0000-0000-0000AF800000}"/>
    <cellStyle name="Total 19 3" xfId="32859" xr:uid="{00000000-0005-0000-0000-0000B0800000}"/>
    <cellStyle name="Total 2" xfId="8601" xr:uid="{00000000-0005-0000-0000-0000B1800000}"/>
    <cellStyle name="Total 2 10" xfId="8602" xr:uid="{00000000-0005-0000-0000-0000B2800000}"/>
    <cellStyle name="Total 2 10 2" xfId="8603" xr:uid="{00000000-0005-0000-0000-0000B3800000}"/>
    <cellStyle name="Total 2 10 2 2" xfId="17355" xr:uid="{00000000-0005-0000-0000-0000B4800000}"/>
    <cellStyle name="Total 2 10 2 3" xfId="32862" xr:uid="{00000000-0005-0000-0000-0000B5800000}"/>
    <cellStyle name="Total 2 10 3" xfId="8762" xr:uid="{00000000-0005-0000-0000-0000B6800000}"/>
    <cellStyle name="Total 2 10 4" xfId="10446" xr:uid="{00000000-0005-0000-0000-0000B7800000}"/>
    <cellStyle name="Total 2 10 5" xfId="32861" xr:uid="{00000000-0005-0000-0000-0000B8800000}"/>
    <cellStyle name="Total 2 11" xfId="8604" xr:uid="{00000000-0005-0000-0000-0000B9800000}"/>
    <cellStyle name="Total 2 11 2" xfId="8605" xr:uid="{00000000-0005-0000-0000-0000BA800000}"/>
    <cellStyle name="Total 2 11 2 2" xfId="17356" xr:uid="{00000000-0005-0000-0000-0000BB800000}"/>
    <cellStyle name="Total 2 11 2 3" xfId="32864" xr:uid="{00000000-0005-0000-0000-0000BC800000}"/>
    <cellStyle name="Total 2 11 3" xfId="8763" xr:uid="{00000000-0005-0000-0000-0000BD800000}"/>
    <cellStyle name="Total 2 11 4" xfId="10447" xr:uid="{00000000-0005-0000-0000-0000BE800000}"/>
    <cellStyle name="Total 2 11 5" xfId="32863" xr:uid="{00000000-0005-0000-0000-0000BF800000}"/>
    <cellStyle name="Total 2 12" xfId="8606" xr:uid="{00000000-0005-0000-0000-0000C0800000}"/>
    <cellStyle name="Total 2 12 2" xfId="8607" xr:uid="{00000000-0005-0000-0000-0000C1800000}"/>
    <cellStyle name="Total 2 12 2 2" xfId="17357" xr:uid="{00000000-0005-0000-0000-0000C2800000}"/>
    <cellStyle name="Total 2 12 2 3" xfId="32866" xr:uid="{00000000-0005-0000-0000-0000C3800000}"/>
    <cellStyle name="Total 2 12 3" xfId="8764" xr:uid="{00000000-0005-0000-0000-0000C4800000}"/>
    <cellStyle name="Total 2 12 4" xfId="10448" xr:uid="{00000000-0005-0000-0000-0000C5800000}"/>
    <cellStyle name="Total 2 12 5" xfId="32865" xr:uid="{00000000-0005-0000-0000-0000C6800000}"/>
    <cellStyle name="Total 2 13" xfId="8608" xr:uid="{00000000-0005-0000-0000-0000C7800000}"/>
    <cellStyle name="Total 2 13 2" xfId="8609" xr:uid="{00000000-0005-0000-0000-0000C8800000}"/>
    <cellStyle name="Total 2 13 2 2" xfId="17358" xr:uid="{00000000-0005-0000-0000-0000C9800000}"/>
    <cellStyle name="Total 2 13 2 3" xfId="32868" xr:uid="{00000000-0005-0000-0000-0000CA800000}"/>
    <cellStyle name="Total 2 13 3" xfId="8765" xr:uid="{00000000-0005-0000-0000-0000CB800000}"/>
    <cellStyle name="Total 2 13 4" xfId="10449" xr:uid="{00000000-0005-0000-0000-0000CC800000}"/>
    <cellStyle name="Total 2 13 5" xfId="32867" xr:uid="{00000000-0005-0000-0000-0000CD800000}"/>
    <cellStyle name="Total 2 14" xfId="8610" xr:uid="{00000000-0005-0000-0000-0000CE800000}"/>
    <cellStyle name="Total 2 14 2" xfId="8611" xr:uid="{00000000-0005-0000-0000-0000CF800000}"/>
    <cellStyle name="Total 2 14 2 2" xfId="15801" xr:uid="{00000000-0005-0000-0000-0000D0800000}"/>
    <cellStyle name="Total 2 14 2 3" xfId="32870" xr:uid="{00000000-0005-0000-0000-0000D1800000}"/>
    <cellStyle name="Total 2 14 3" xfId="8612" xr:uid="{00000000-0005-0000-0000-0000D2800000}"/>
    <cellStyle name="Total 2 14 3 2" xfId="17367" xr:uid="{00000000-0005-0000-0000-0000D3800000}"/>
    <cellStyle name="Total 2 14 3 3" xfId="32871" xr:uid="{00000000-0005-0000-0000-0000D4800000}"/>
    <cellStyle name="Total 2 14 4" xfId="8766" xr:uid="{00000000-0005-0000-0000-0000D5800000}"/>
    <cellStyle name="Total 2 14 5" xfId="10502" xr:uid="{00000000-0005-0000-0000-0000D6800000}"/>
    <cellStyle name="Total 2 14 6" xfId="32869" xr:uid="{00000000-0005-0000-0000-0000D7800000}"/>
    <cellStyle name="Total 2 15" xfId="8613" xr:uid="{00000000-0005-0000-0000-0000D8800000}"/>
    <cellStyle name="Total 2 15 2" xfId="8767" xr:uid="{00000000-0005-0000-0000-0000D9800000}"/>
    <cellStyle name="Total 2 15 3" xfId="32872" xr:uid="{00000000-0005-0000-0000-0000DA800000}"/>
    <cellStyle name="Total 2 16" xfId="8614" xr:uid="{00000000-0005-0000-0000-0000DB800000}"/>
    <cellStyle name="Total 2 16 2" xfId="8768" xr:uid="{00000000-0005-0000-0000-0000DC800000}"/>
    <cellStyle name="Total 2 16 3" xfId="32873" xr:uid="{00000000-0005-0000-0000-0000DD800000}"/>
    <cellStyle name="Total 2 17" xfId="8615" xr:uid="{00000000-0005-0000-0000-0000DE800000}"/>
    <cellStyle name="Total 2 17 2" xfId="8769" xr:uid="{00000000-0005-0000-0000-0000DF800000}"/>
    <cellStyle name="Total 2 17 3" xfId="32874" xr:uid="{00000000-0005-0000-0000-0000E0800000}"/>
    <cellStyle name="Total 2 18" xfId="8616" xr:uid="{00000000-0005-0000-0000-0000E1800000}"/>
    <cellStyle name="Total 2 18 2" xfId="8770" xr:uid="{00000000-0005-0000-0000-0000E2800000}"/>
    <cellStyle name="Total 2 18 3" xfId="32875" xr:uid="{00000000-0005-0000-0000-0000E3800000}"/>
    <cellStyle name="Total 2 19" xfId="8700" xr:uid="{00000000-0005-0000-0000-0000E4800000}"/>
    <cellStyle name="Total 2 2" xfId="8617" xr:uid="{00000000-0005-0000-0000-0000E5800000}"/>
    <cellStyle name="Total 2 2 2" xfId="8618" xr:uid="{00000000-0005-0000-0000-0000E6800000}"/>
    <cellStyle name="Total 2 2 2 2" xfId="10451" xr:uid="{00000000-0005-0000-0000-0000E7800000}"/>
    <cellStyle name="Total 2 2 2 3" xfId="32877" xr:uid="{00000000-0005-0000-0000-0000E8800000}"/>
    <cellStyle name="Total 2 2 3" xfId="8619" xr:uid="{00000000-0005-0000-0000-0000E9800000}"/>
    <cellStyle name="Total 2 2 3 2" xfId="8620" xr:uid="{00000000-0005-0000-0000-0000EA800000}"/>
    <cellStyle name="Total 2 2 3 2 2" xfId="15802" xr:uid="{00000000-0005-0000-0000-0000EB800000}"/>
    <cellStyle name="Total 2 2 3 2 3" xfId="32879" xr:uid="{00000000-0005-0000-0000-0000EC800000}"/>
    <cellStyle name="Total 2 2 3 3" xfId="11734" xr:uid="{00000000-0005-0000-0000-0000ED800000}"/>
    <cellStyle name="Total 2 2 3 4" xfId="32878" xr:uid="{00000000-0005-0000-0000-0000EE800000}"/>
    <cellStyle name="Total 2 2 4" xfId="8621" xr:uid="{00000000-0005-0000-0000-0000EF800000}"/>
    <cellStyle name="Total 2 2 4 2" xfId="12102" xr:uid="{00000000-0005-0000-0000-0000F0800000}"/>
    <cellStyle name="Total 2 2 4 3" xfId="32880" xr:uid="{00000000-0005-0000-0000-0000F1800000}"/>
    <cellStyle name="Total 2 2 5" xfId="8622" xr:uid="{00000000-0005-0000-0000-0000F2800000}"/>
    <cellStyle name="Total 2 2 5 2" xfId="17359" xr:uid="{00000000-0005-0000-0000-0000F3800000}"/>
    <cellStyle name="Total 2 2 5 3" xfId="32881" xr:uid="{00000000-0005-0000-0000-0000F4800000}"/>
    <cellStyle name="Total 2 2 6" xfId="8771" xr:uid="{00000000-0005-0000-0000-0000F5800000}"/>
    <cellStyle name="Total 2 2 7" xfId="10450" xr:uid="{00000000-0005-0000-0000-0000F6800000}"/>
    <cellStyle name="Total 2 2 8" xfId="32876" xr:uid="{00000000-0005-0000-0000-0000F7800000}"/>
    <cellStyle name="Total 2 20" xfId="32860" xr:uid="{00000000-0005-0000-0000-0000F8800000}"/>
    <cellStyle name="Total 2 21" xfId="33060" xr:uid="{00000000-0005-0000-0000-0000F9800000}"/>
    <cellStyle name="Total 2 3" xfId="8623" xr:uid="{00000000-0005-0000-0000-0000FA800000}"/>
    <cellStyle name="Total 2 3 2" xfId="8624" xr:uid="{00000000-0005-0000-0000-0000FB800000}"/>
    <cellStyle name="Total 2 3 2 2" xfId="10453" xr:uid="{00000000-0005-0000-0000-0000FC800000}"/>
    <cellStyle name="Total 2 3 2 3" xfId="32883" xr:uid="{00000000-0005-0000-0000-0000FD800000}"/>
    <cellStyle name="Total 2 3 3" xfId="8625" xr:uid="{00000000-0005-0000-0000-0000FE800000}"/>
    <cellStyle name="Total 2 3 3 2" xfId="17360" xr:uid="{00000000-0005-0000-0000-0000FF800000}"/>
    <cellStyle name="Total 2 3 3 3" xfId="32884" xr:uid="{00000000-0005-0000-0000-000000810000}"/>
    <cellStyle name="Total 2 3 4" xfId="8772" xr:uid="{00000000-0005-0000-0000-000001810000}"/>
    <cellStyle name="Total 2 3 5" xfId="10452" xr:uid="{00000000-0005-0000-0000-000002810000}"/>
    <cellStyle name="Total 2 3 6" xfId="32882" xr:uid="{00000000-0005-0000-0000-000003810000}"/>
    <cellStyle name="Total 2 4" xfId="8626" xr:uid="{00000000-0005-0000-0000-000004810000}"/>
    <cellStyle name="Total 2 4 2" xfId="8627" xr:uid="{00000000-0005-0000-0000-000005810000}"/>
    <cellStyle name="Total 2 4 2 2" xfId="10455" xr:uid="{00000000-0005-0000-0000-000006810000}"/>
    <cellStyle name="Total 2 4 2 3" xfId="32886" xr:uid="{00000000-0005-0000-0000-000007810000}"/>
    <cellStyle name="Total 2 4 3" xfId="8628" xr:uid="{00000000-0005-0000-0000-000008810000}"/>
    <cellStyle name="Total 2 4 3 2" xfId="17361" xr:uid="{00000000-0005-0000-0000-000009810000}"/>
    <cellStyle name="Total 2 4 3 3" xfId="32887" xr:uid="{00000000-0005-0000-0000-00000A810000}"/>
    <cellStyle name="Total 2 4 4" xfId="8773" xr:uid="{00000000-0005-0000-0000-00000B810000}"/>
    <cellStyle name="Total 2 4 5" xfId="10454" xr:uid="{00000000-0005-0000-0000-00000C810000}"/>
    <cellStyle name="Total 2 4 6" xfId="32885" xr:uid="{00000000-0005-0000-0000-00000D810000}"/>
    <cellStyle name="Total 2 5" xfId="8629" xr:uid="{00000000-0005-0000-0000-00000E810000}"/>
    <cellStyle name="Total 2 5 2" xfId="8630" xr:uid="{00000000-0005-0000-0000-00000F810000}"/>
    <cellStyle name="Total 2 5 2 2" xfId="13377" xr:uid="{00000000-0005-0000-0000-000010810000}"/>
    <cellStyle name="Total 2 5 2 3" xfId="32889" xr:uid="{00000000-0005-0000-0000-000011810000}"/>
    <cellStyle name="Total 2 5 3" xfId="8631" xr:uid="{00000000-0005-0000-0000-000012810000}"/>
    <cellStyle name="Total 2 5 3 2" xfId="13376" xr:uid="{00000000-0005-0000-0000-000013810000}"/>
    <cellStyle name="Total 2 5 3 3" xfId="32890" xr:uid="{00000000-0005-0000-0000-000014810000}"/>
    <cellStyle name="Total 2 5 4" xfId="8632" xr:uid="{00000000-0005-0000-0000-000015810000}"/>
    <cellStyle name="Total 2 5 4 2" xfId="17362" xr:uid="{00000000-0005-0000-0000-000016810000}"/>
    <cellStyle name="Total 2 5 4 3" xfId="32891" xr:uid="{00000000-0005-0000-0000-000017810000}"/>
    <cellStyle name="Total 2 5 5" xfId="8774" xr:uid="{00000000-0005-0000-0000-000018810000}"/>
    <cellStyle name="Total 2 5 6" xfId="10456" xr:uid="{00000000-0005-0000-0000-000019810000}"/>
    <cellStyle name="Total 2 5 7" xfId="32888" xr:uid="{00000000-0005-0000-0000-00001A810000}"/>
    <cellStyle name="Total 2 6" xfId="8633" xr:uid="{00000000-0005-0000-0000-00001B810000}"/>
    <cellStyle name="Total 2 6 2" xfId="8634" xr:uid="{00000000-0005-0000-0000-00001C810000}"/>
    <cellStyle name="Total 2 6 2 2" xfId="17363" xr:uid="{00000000-0005-0000-0000-00001D810000}"/>
    <cellStyle name="Total 2 6 2 3" xfId="32893" xr:uid="{00000000-0005-0000-0000-00001E810000}"/>
    <cellStyle name="Total 2 6 3" xfId="8775" xr:uid="{00000000-0005-0000-0000-00001F810000}"/>
    <cellStyle name="Total 2 6 4" xfId="10457" xr:uid="{00000000-0005-0000-0000-000020810000}"/>
    <cellStyle name="Total 2 6 5" xfId="32892" xr:uid="{00000000-0005-0000-0000-000021810000}"/>
    <cellStyle name="Total 2 7" xfId="8635" xr:uid="{00000000-0005-0000-0000-000022810000}"/>
    <cellStyle name="Total 2 7 2" xfId="8636" xr:uid="{00000000-0005-0000-0000-000023810000}"/>
    <cellStyle name="Total 2 7 2 2" xfId="10459" xr:uid="{00000000-0005-0000-0000-000024810000}"/>
    <cellStyle name="Total 2 7 2 3" xfId="32895" xr:uid="{00000000-0005-0000-0000-000025810000}"/>
    <cellStyle name="Total 2 7 3" xfId="8637" xr:uid="{00000000-0005-0000-0000-000026810000}"/>
    <cellStyle name="Total 2 7 3 2" xfId="17364" xr:uid="{00000000-0005-0000-0000-000027810000}"/>
    <cellStyle name="Total 2 7 3 3" xfId="32896" xr:uid="{00000000-0005-0000-0000-000028810000}"/>
    <cellStyle name="Total 2 7 4" xfId="8776" xr:uid="{00000000-0005-0000-0000-000029810000}"/>
    <cellStyle name="Total 2 7 5" xfId="10458" xr:uid="{00000000-0005-0000-0000-00002A810000}"/>
    <cellStyle name="Total 2 7 6" xfId="32894" xr:uid="{00000000-0005-0000-0000-00002B810000}"/>
    <cellStyle name="Total 2 8" xfId="8638" xr:uid="{00000000-0005-0000-0000-00002C810000}"/>
    <cellStyle name="Total 2 8 2" xfId="8639" xr:uid="{00000000-0005-0000-0000-00002D810000}"/>
    <cellStyle name="Total 2 8 2 2" xfId="17365" xr:uid="{00000000-0005-0000-0000-00002E810000}"/>
    <cellStyle name="Total 2 8 2 3" xfId="32898" xr:uid="{00000000-0005-0000-0000-00002F810000}"/>
    <cellStyle name="Total 2 8 3" xfId="8777" xr:uid="{00000000-0005-0000-0000-000030810000}"/>
    <cellStyle name="Total 2 8 4" xfId="10460" xr:uid="{00000000-0005-0000-0000-000031810000}"/>
    <cellStyle name="Total 2 8 5" xfId="32897" xr:uid="{00000000-0005-0000-0000-000032810000}"/>
    <cellStyle name="Total 2 9" xfId="8640" xr:uid="{00000000-0005-0000-0000-000033810000}"/>
    <cellStyle name="Total 2 9 2" xfId="8641" xr:uid="{00000000-0005-0000-0000-000034810000}"/>
    <cellStyle name="Total 2 9 2 2" xfId="17366" xr:uid="{00000000-0005-0000-0000-000035810000}"/>
    <cellStyle name="Total 2 9 2 3" xfId="32900" xr:uid="{00000000-0005-0000-0000-000036810000}"/>
    <cellStyle name="Total 2 9 3" xfId="8778" xr:uid="{00000000-0005-0000-0000-000037810000}"/>
    <cellStyle name="Total 2 9 4" xfId="10461" xr:uid="{00000000-0005-0000-0000-000038810000}"/>
    <cellStyle name="Total 2 9 5" xfId="32899" xr:uid="{00000000-0005-0000-0000-000039810000}"/>
    <cellStyle name="Total 20" xfId="8642" xr:uid="{00000000-0005-0000-0000-00003A810000}"/>
    <cellStyle name="Total 20 2" xfId="8779" xr:uid="{00000000-0005-0000-0000-00003B810000}"/>
    <cellStyle name="Total 20 3" xfId="32901" xr:uid="{00000000-0005-0000-0000-00003C810000}"/>
    <cellStyle name="Total 3" xfId="8643" xr:uid="{00000000-0005-0000-0000-00003D810000}"/>
    <cellStyle name="Total 3 2" xfId="8675" xr:uid="{00000000-0005-0000-0000-00003E810000}"/>
    <cellStyle name="Total 3 3" xfId="32902" xr:uid="{00000000-0005-0000-0000-00003F810000}"/>
    <cellStyle name="Total 3 4" xfId="33092" xr:uid="{00000000-0005-0000-0000-000040810000}"/>
    <cellStyle name="Total 4" xfId="8644" xr:uid="{00000000-0005-0000-0000-000041810000}"/>
    <cellStyle name="Total 4 2" xfId="8780" xr:uid="{00000000-0005-0000-0000-000042810000}"/>
    <cellStyle name="Total 4 3" xfId="32903" xr:uid="{00000000-0005-0000-0000-000043810000}"/>
    <cellStyle name="Total 5" xfId="8645" xr:uid="{00000000-0005-0000-0000-000044810000}"/>
    <cellStyle name="Total 5 2" xfId="8781" xr:uid="{00000000-0005-0000-0000-000045810000}"/>
    <cellStyle name="Total 5 3" xfId="32904" xr:uid="{00000000-0005-0000-0000-000046810000}"/>
    <cellStyle name="Total 6" xfId="8646" xr:uid="{00000000-0005-0000-0000-000047810000}"/>
    <cellStyle name="Total 6 2" xfId="8782" xr:uid="{00000000-0005-0000-0000-000048810000}"/>
    <cellStyle name="Total 6 3" xfId="32905" xr:uid="{00000000-0005-0000-0000-000049810000}"/>
    <cellStyle name="Total 7" xfId="8647" xr:uid="{00000000-0005-0000-0000-00004A810000}"/>
    <cellStyle name="Total 7 2" xfId="8783" xr:uid="{00000000-0005-0000-0000-00004B810000}"/>
    <cellStyle name="Total 7 3" xfId="32906" xr:uid="{00000000-0005-0000-0000-00004C810000}"/>
    <cellStyle name="Total 8" xfId="8648" xr:uid="{00000000-0005-0000-0000-00004D810000}"/>
    <cellStyle name="Total 8 2" xfId="8784" xr:uid="{00000000-0005-0000-0000-00004E810000}"/>
    <cellStyle name="Total 8 3" xfId="32907" xr:uid="{00000000-0005-0000-0000-00004F810000}"/>
    <cellStyle name="Total 9" xfId="8649" xr:uid="{00000000-0005-0000-0000-000050810000}"/>
    <cellStyle name="Total 9 2" xfId="8785" xr:uid="{00000000-0005-0000-0000-000051810000}"/>
    <cellStyle name="Total 9 3" xfId="32908" xr:uid="{00000000-0005-0000-0000-000052810000}"/>
    <cellStyle name="Warning Text" xfId="33034" builtinId="11" customBuiltin="1"/>
    <cellStyle name="Warning Text 2" xfId="8814" xr:uid="{00000000-0005-0000-0000-000054810000}"/>
    <cellStyle name="Warning Text 2 2" xfId="33057" xr:uid="{00000000-0005-0000-0000-000055810000}"/>
    <cellStyle name="Warning Text 3" xfId="32909" xr:uid="{00000000-0005-0000-0000-000056810000}"/>
    <cellStyle name="Warning Text 4" xfId="8650" xr:uid="{00000000-0005-0000-0000-000057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2026</c:v>
                </c:pt>
                <c:pt idx="1">
                  <c:v>2027</c:v>
                </c:pt>
                <c:pt idx="2">
                  <c:v>2028</c:v>
                </c:pt>
                <c:pt idx="3">
                  <c:v>2029</c:v>
                </c:pt>
                <c:pt idx="4">
                  <c:v>2030</c:v>
                </c:pt>
                <c:pt idx="5">
                  <c:v>2031</c:v>
                </c:pt>
                <c:pt idx="6">
                  <c:v>2032</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398618368"/>
        <c:axId val="398617976"/>
      </c:barChart>
      <c:catAx>
        <c:axId val="39861836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617976"/>
        <c:crosses val="autoZero"/>
        <c:auto val="1"/>
        <c:lblAlgn val="ctr"/>
        <c:lblOffset val="100"/>
        <c:noMultiLvlLbl val="0"/>
      </c:catAx>
      <c:valAx>
        <c:axId val="39861797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61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5</xdr:col>
      <xdr:colOff>256761</xdr:colOff>
      <xdr:row>3</xdr:row>
      <xdr:rowOff>66261</xdr:rowOff>
    </xdr:from>
    <xdr:to>
      <xdr:col>11</xdr:col>
      <xdr:colOff>198783</xdr:colOff>
      <xdr:row>23</xdr:row>
      <xdr:rowOff>132522</xdr:rowOff>
    </xdr:to>
    <xdr:sp macro="" textlink="">
      <xdr:nvSpPr>
        <xdr:cNvPr id="2" name="TextBox 1">
          <a:extLst>
            <a:ext uri="{FF2B5EF4-FFF2-40B4-BE49-F238E27FC236}">
              <a16:creationId xmlns:a16="http://schemas.microsoft.com/office/drawing/2014/main" id="{56603F13-3B70-EAFA-F9DD-91D010DDCC3D}"/>
            </a:ext>
          </a:extLst>
        </xdr:cNvPr>
        <xdr:cNvSpPr txBox="1"/>
      </xdr:nvSpPr>
      <xdr:spPr>
        <a:xfrm>
          <a:off x="4911587" y="654326"/>
          <a:ext cx="3520109" cy="4936435"/>
        </a:xfrm>
        <a:prstGeom prst="rect">
          <a:avLst/>
        </a:prstGeom>
        <a:solidFill>
          <a:srgbClr xmlns:mc="http://schemas.openxmlformats.org/markup-compatibility/2006" xmlns:a14="http://schemas.microsoft.com/office/drawing/2010/main" val="FCF305" mc:Ignorable="a14" a14:legacySpreadsheetColorIndex="1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Mkt</a:t>
          </a:r>
          <a:r>
            <a:rPr lang="en-US" sz="1200" baseline="0"/>
            <a:t> Res: added more areas for more detail under Projections heading.</a:t>
          </a:r>
        </a:p>
        <a:p>
          <a:r>
            <a:rPr lang="en-US" sz="1200" baseline="0"/>
            <a:t>Facilities expense %TR, %TExp vs. % PCFP (Base) (Remove impacts of higher grant, CSP, NSLP</a:t>
          </a:r>
        </a:p>
        <a:p>
          <a:endParaRPr lang="en-US" sz="1200"/>
        </a:p>
        <a:p>
          <a:r>
            <a:rPr lang="en-US" sz="1200"/>
            <a:t>Add Salaries &amp; Benefits for Substitute</a:t>
          </a:r>
          <a:r>
            <a:rPr lang="en-US" sz="1200" baseline="0"/>
            <a:t> Teachers</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aacademy.local\Staff\redirection\kyle.konold\Desktop\GCSA\240126-SPCSA-GCSA-Application-Financial-Plan-Templat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sheetName val="Checklist &amp; TOC"/>
      <sheetName val="Summary"/>
      <sheetName val="Statistics"/>
      <sheetName val="Mkt Res"/>
      <sheetName val=" Enrol &amp; Rev"/>
      <sheetName val="Pre Y1 (Incubation)"/>
      <sheetName val="CF Y1 Mo"/>
      <sheetName val="Staff"/>
      <sheetName val="Facilities"/>
      <sheetName val="Gen Optg"/>
      <sheetName val="FFE&amp;T"/>
      <sheetName val="Ins"/>
      <sheetName val="Marketing"/>
      <sheetName val="EMO-CMO-BOSP"/>
      <sheetName val="Info--&gt;"/>
      <sheetName val="Demographics"/>
      <sheetName val="PCFP Rates"/>
      <sheetName val="Facilities wkst"/>
      <sheetName val="Dev Notes"/>
      <sheetName val="Note FFE"/>
      <sheetName val="Eq wip"/>
      <sheetName val="Scratchpad (2)"/>
      <sheetName val="Levers"/>
      <sheetName val="Scratchpad"/>
      <sheetName val="Transp"/>
      <sheetName val="Star Ra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Kristen Vandawalker" id="{682C4762-D16B-4258-9EED-D403D1FC79AE}" userId="e3244694677ecd41" providerId="Windows Live"/>
  <person displayName="Michael Dang" id="{53965B3A-B08B-4BC2-8174-88EB25E8A830}" userId="S::mdang@spcsa.nv.gov::a3e2d36e-033d-41a4-80d1-b0cff51c0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7" dT="2024-11-13T20:25:28.64" personId="{682C4762-D16B-4258-9EED-D403D1FC79AE}" id="{1F282CAE-A3FF-4257-9931-DD281178725A}">
    <text>The Inflation adjuster is designed to account for any increases in PCFP Revenue. Please be sure to enter the cost of inflation in this cell. You may wish to test inflation rates of 0 to 3%.  Be sure you can still operate with a surplus even with a 0% inflator/escalator.</text>
  </threadedComment>
</ThreadedComments>
</file>

<file path=xl/threadedComments/threadedComment2.xml><?xml version="1.0" encoding="utf-8"?>
<ThreadedComments xmlns="http://schemas.microsoft.com/office/spreadsheetml/2018/threadedcomments" xmlns:x="http://schemas.openxmlformats.org/spreadsheetml/2006/main">
  <threadedComment ref="C60"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1"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4"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5"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B436" dT="2024-07-17T16:23:53.44" personId="{53965B3A-B08B-4BC2-8174-88EB25E8A830}" id="{CE950E8C-C673-4EA1-816B-0806360F654E}">
    <text>Not included in Total Benefits above as these benefit costs are absorbed by the substitute placement firm.
This level may be set to zero, though, assuming a typical substitute placement firms is not participating in PERS.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4.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ransparentnevada.com/agencies/salaries/charter-sch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110"/>
  <sheetViews>
    <sheetView zoomScale="65" zoomScaleNormal="65" workbookViewId="0">
      <selection activeCell="A66" sqref="A66"/>
    </sheetView>
  </sheetViews>
  <sheetFormatPr defaultRowHeight="14.4"/>
  <cols>
    <col min="1" max="1" width="155.33203125" style="1800" customWidth="1"/>
  </cols>
  <sheetData>
    <row r="1" spans="1:1" ht="21">
      <c r="A1" s="1798" t="s">
        <v>1314</v>
      </c>
    </row>
    <row r="2" spans="1:1" ht="58.2" thickBot="1">
      <c r="A2" s="1799" t="s">
        <v>1381</v>
      </c>
    </row>
    <row r="3" spans="1:1" ht="15" thickBot="1"/>
    <row r="4" spans="1:1" ht="18">
      <c r="A4" s="1801" t="s">
        <v>1315</v>
      </c>
    </row>
    <row r="5" spans="1:1" s="2" customFormat="1">
      <c r="A5" s="1802" t="s">
        <v>1317</v>
      </c>
    </row>
    <row r="6" spans="1:1" s="2" customFormat="1">
      <c r="A6" s="1802" t="s">
        <v>1316</v>
      </c>
    </row>
    <row r="7" spans="1:1" s="2" customFormat="1">
      <c r="A7" s="1802" t="s">
        <v>1318</v>
      </c>
    </row>
    <row r="8" spans="1:1" s="2" customFormat="1">
      <c r="A8" s="1802" t="s">
        <v>1382</v>
      </c>
    </row>
    <row r="9" spans="1:1" s="2" customFormat="1">
      <c r="A9" s="1802" t="s">
        <v>1319</v>
      </c>
    </row>
    <row r="10" spans="1:1" s="2" customFormat="1">
      <c r="A10" s="1802" t="s">
        <v>1372</v>
      </c>
    </row>
    <row r="11" spans="1:1" s="2" customFormat="1">
      <c r="A11" s="1802" t="s">
        <v>1320</v>
      </c>
    </row>
    <row r="12" spans="1:1" s="2" customFormat="1" ht="28.8">
      <c r="A12" s="1802" t="s">
        <v>1321</v>
      </c>
    </row>
    <row r="13" spans="1:1" s="2" customFormat="1">
      <c r="A13" s="1802" t="s">
        <v>1331</v>
      </c>
    </row>
    <row r="14" spans="1:1" s="2" customFormat="1">
      <c r="A14" s="1802" t="s">
        <v>1373</v>
      </c>
    </row>
    <row r="15" spans="1:1" s="2" customFormat="1">
      <c r="A15" s="1802" t="s">
        <v>1332</v>
      </c>
    </row>
    <row r="16" spans="1:1" s="2" customFormat="1" ht="21" customHeight="1" thickBot="1">
      <c r="A16" s="1803" t="s">
        <v>1322</v>
      </c>
    </row>
    <row r="17" spans="1:1" ht="15" thickBot="1">
      <c r="A17" s="1804"/>
    </row>
    <row r="18" spans="1:1" ht="18">
      <c r="A18" s="1801" t="s">
        <v>1315</v>
      </c>
    </row>
    <row r="19" spans="1:1">
      <c r="A19" s="1805" t="s">
        <v>1323</v>
      </c>
    </row>
    <row r="20" spans="1:1">
      <c r="A20" s="1806" t="s">
        <v>1324</v>
      </c>
    </row>
    <row r="21" spans="1:1">
      <c r="A21" s="1805" t="s">
        <v>1325</v>
      </c>
    </row>
    <row r="22" spans="1:1" ht="43.2">
      <c r="A22" s="1806" t="s">
        <v>1383</v>
      </c>
    </row>
    <row r="23" spans="1:1">
      <c r="A23" s="1805" t="s">
        <v>1328</v>
      </c>
    </row>
    <row r="24" spans="1:1">
      <c r="A24" s="1806" t="s">
        <v>1327</v>
      </c>
    </row>
    <row r="25" spans="1:1" ht="28.8">
      <c r="A25" s="1809" t="s">
        <v>1380</v>
      </c>
    </row>
    <row r="26" spans="1:1" ht="28.8">
      <c r="A26" s="1809" t="s">
        <v>1375</v>
      </c>
    </row>
    <row r="27" spans="1:1">
      <c r="A27" s="1824" t="s">
        <v>1333</v>
      </c>
    </row>
    <row r="28" spans="1:1">
      <c r="A28" s="1824" t="s">
        <v>1334</v>
      </c>
    </row>
    <row r="29" spans="1:1">
      <c r="A29" s="1824" t="s">
        <v>1374</v>
      </c>
    </row>
    <row r="30" spans="1:1">
      <c r="A30" s="1824" t="s">
        <v>1335</v>
      </c>
    </row>
    <row r="31" spans="1:1">
      <c r="A31" s="1824" t="s">
        <v>1376</v>
      </c>
    </row>
    <row r="32" spans="1:1">
      <c r="A32" s="1824" t="s">
        <v>1336</v>
      </c>
    </row>
    <row r="33" spans="1:1">
      <c r="A33" s="1805" t="s">
        <v>1329</v>
      </c>
    </row>
    <row r="34" spans="1:1" ht="28.8">
      <c r="A34" s="1810" t="s">
        <v>1330</v>
      </c>
    </row>
    <row r="35" spans="1:1">
      <c r="A35" s="1811" t="s">
        <v>1337</v>
      </c>
    </row>
    <row r="36" spans="1:1">
      <c r="A36" s="1811" t="s">
        <v>1338</v>
      </c>
    </row>
    <row r="37" spans="1:1">
      <c r="A37" s="1805" t="s">
        <v>1339</v>
      </c>
    </row>
    <row r="38" spans="1:1" ht="28.8">
      <c r="A38" s="1807" t="s">
        <v>1340</v>
      </c>
    </row>
    <row r="39" spans="1:1">
      <c r="A39" s="1809" t="s">
        <v>1341</v>
      </c>
    </row>
    <row r="40" spans="1:1">
      <c r="A40" s="1809" t="s">
        <v>1342</v>
      </c>
    </row>
    <row r="41" spans="1:1">
      <c r="A41" s="1809" t="s">
        <v>1343</v>
      </c>
    </row>
    <row r="42" spans="1:1" ht="28.8">
      <c r="A42" s="1809" t="s">
        <v>1344</v>
      </c>
    </row>
    <row r="43" spans="1:1" ht="28.8">
      <c r="A43" s="1809" t="s">
        <v>1345</v>
      </c>
    </row>
    <row r="44" spans="1:1" ht="28.8">
      <c r="A44" s="1809" t="s">
        <v>1346</v>
      </c>
    </row>
    <row r="45" spans="1:1">
      <c r="A45" s="1809" t="s">
        <v>1347</v>
      </c>
    </row>
    <row r="46" spans="1:1" ht="30.6">
      <c r="A46" s="1809" t="s">
        <v>1348</v>
      </c>
    </row>
    <row r="47" spans="1:1" ht="28.8">
      <c r="A47" s="1809" t="s">
        <v>1349</v>
      </c>
    </row>
    <row r="48" spans="1:1">
      <c r="A48" s="1806" t="s">
        <v>1351</v>
      </c>
    </row>
    <row r="49" spans="1:1">
      <c r="A49" s="1808" t="s">
        <v>1350</v>
      </c>
    </row>
    <row r="50" spans="1:1">
      <c r="A50" s="1805" t="s">
        <v>1352</v>
      </c>
    </row>
    <row r="51" spans="1:1" ht="32.25" customHeight="1">
      <c r="A51" s="1807" t="s">
        <v>1377</v>
      </c>
    </row>
    <row r="52" spans="1:1">
      <c r="A52" s="1805" t="s">
        <v>1353</v>
      </c>
    </row>
    <row r="53" spans="1:1">
      <c r="A53" s="1806" t="s">
        <v>1327</v>
      </c>
    </row>
    <row r="54" spans="1:1">
      <c r="A54" s="1811" t="s">
        <v>1378</v>
      </c>
    </row>
    <row r="55" spans="1:1" ht="18.75" customHeight="1">
      <c r="A55" s="1811" t="s">
        <v>1354</v>
      </c>
    </row>
    <row r="56" spans="1:1">
      <c r="A56" s="1805" t="s">
        <v>1355</v>
      </c>
    </row>
    <row r="57" spans="1:1" ht="33.75" customHeight="1">
      <c r="A57" s="1807" t="s">
        <v>1356</v>
      </c>
    </row>
    <row r="58" spans="1:1">
      <c r="A58" s="1805" t="s">
        <v>113</v>
      </c>
    </row>
    <row r="59" spans="1:1">
      <c r="A59" s="1806" t="s">
        <v>1327</v>
      </c>
    </row>
    <row r="60" spans="1:1">
      <c r="A60" s="1809" t="s">
        <v>1357</v>
      </c>
    </row>
    <row r="61" spans="1:1">
      <c r="A61" s="1809" t="s">
        <v>1358</v>
      </c>
    </row>
    <row r="62" spans="1:1">
      <c r="A62" s="1809" t="s">
        <v>1359</v>
      </c>
    </row>
    <row r="63" spans="1:1">
      <c r="A63" s="1805" t="s">
        <v>1360</v>
      </c>
    </row>
    <row r="64" spans="1:1" ht="57.6">
      <c r="A64" s="1807" t="s">
        <v>1379</v>
      </c>
    </row>
    <row r="65" spans="1:1">
      <c r="A65" s="1805" t="s">
        <v>1361</v>
      </c>
    </row>
    <row r="66" spans="1:1" ht="43.2">
      <c r="A66" s="1807" t="s">
        <v>1384</v>
      </c>
    </row>
    <row r="67" spans="1:1">
      <c r="A67" s="1805" t="s">
        <v>1326</v>
      </c>
    </row>
    <row r="68" spans="1:1">
      <c r="A68" s="1807" t="s">
        <v>1362</v>
      </c>
    </row>
    <row r="69" spans="1:1">
      <c r="A69" s="1805" t="s">
        <v>1363</v>
      </c>
    </row>
    <row r="70" spans="1:1" ht="15" thickBot="1">
      <c r="A70" s="1812" t="s">
        <v>1364</v>
      </c>
    </row>
    <row r="71" spans="1:1">
      <c r="A71" s="1804"/>
    </row>
    <row r="72" spans="1:1">
      <c r="A72" s="1804"/>
    </row>
    <row r="73" spans="1:1">
      <c r="A73" s="1804"/>
    </row>
    <row r="74" spans="1:1">
      <c r="A74" s="1804"/>
    </row>
    <row r="75" spans="1:1">
      <c r="A75" s="1804"/>
    </row>
    <row r="76" spans="1:1">
      <c r="A76" s="1804"/>
    </row>
    <row r="77" spans="1:1">
      <c r="A77" s="1804"/>
    </row>
    <row r="78" spans="1:1">
      <c r="A78" s="1804"/>
    </row>
    <row r="79" spans="1:1">
      <c r="A79" s="1804"/>
    </row>
    <row r="80" spans="1:1">
      <c r="A80" s="1804"/>
    </row>
    <row r="81" spans="1:1">
      <c r="A81" s="1804"/>
    </row>
    <row r="82" spans="1:1">
      <c r="A82" s="1804"/>
    </row>
    <row r="83" spans="1:1">
      <c r="A83" s="1804"/>
    </row>
    <row r="84" spans="1:1">
      <c r="A84" s="1804"/>
    </row>
    <row r="85" spans="1:1">
      <c r="A85" s="1804"/>
    </row>
    <row r="86" spans="1:1">
      <c r="A86" s="1804"/>
    </row>
    <row r="87" spans="1:1">
      <c r="A87" s="1804"/>
    </row>
    <row r="88" spans="1:1">
      <c r="A88" s="1804"/>
    </row>
    <row r="89" spans="1:1">
      <c r="A89" s="1804"/>
    </row>
    <row r="90" spans="1:1">
      <c r="A90" s="1804"/>
    </row>
    <row r="91" spans="1:1">
      <c r="A91" s="1804"/>
    </row>
    <row r="92" spans="1:1">
      <c r="A92" s="1804"/>
    </row>
    <row r="93" spans="1:1">
      <c r="A93" s="1804"/>
    </row>
    <row r="94" spans="1:1">
      <c r="A94" s="1804"/>
    </row>
    <row r="95" spans="1:1">
      <c r="A95" s="1804"/>
    </row>
    <row r="96" spans="1:1">
      <c r="A96" s="1804"/>
    </row>
    <row r="97" spans="1:1">
      <c r="A97" s="1804"/>
    </row>
    <row r="98" spans="1:1">
      <c r="A98" s="1804"/>
    </row>
    <row r="99" spans="1:1">
      <c r="A99" s="1804"/>
    </row>
    <row r="100" spans="1:1">
      <c r="A100" s="1804"/>
    </row>
    <row r="101" spans="1:1">
      <c r="A101" s="1804"/>
    </row>
    <row r="102" spans="1:1">
      <c r="A102" s="1804"/>
    </row>
    <row r="103" spans="1:1">
      <c r="A103" s="1804"/>
    </row>
    <row r="104" spans="1:1">
      <c r="A104" s="1804"/>
    </row>
    <row r="105" spans="1:1">
      <c r="A105" s="1804"/>
    </row>
    <row r="106" spans="1:1">
      <c r="A106" s="1804"/>
    </row>
    <row r="107" spans="1:1">
      <c r="A107" s="1804"/>
    </row>
    <row r="108" spans="1:1">
      <c r="A108" s="1804"/>
    </row>
    <row r="109" spans="1:1">
      <c r="A109" s="1804"/>
    </row>
    <row r="110" spans="1:1">
      <c r="A110" s="1804"/>
    </row>
  </sheetData>
  <hyperlinks>
    <hyperlink ref="A4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C4:C8"/>
  <sheetViews>
    <sheetView workbookViewId="0">
      <selection activeCell="A4" sqref="A4"/>
    </sheetView>
  </sheetViews>
  <sheetFormatPr defaultRowHeight="14.4"/>
  <sheetData>
    <row r="4" spans="3:3" ht="15.6">
      <c r="C4" s="1464"/>
    </row>
    <row r="5" spans="3:3" ht="15.6">
      <c r="C5" s="1464"/>
    </row>
    <row r="8" spans="3:3" ht="15.6">
      <c r="C8" s="128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FFFF99"/>
  </sheetPr>
  <dimension ref="A1:K30"/>
  <sheetViews>
    <sheetView tabSelected="1" workbookViewId="0">
      <selection activeCell="C31" sqref="C31"/>
    </sheetView>
  </sheetViews>
  <sheetFormatPr defaultColWidth="8.88671875" defaultRowHeight="13.8"/>
  <cols>
    <col min="1" max="1" width="19" style="931" customWidth="1"/>
    <col min="2" max="2" width="15.109375" style="931" customWidth="1"/>
    <col min="3" max="3" width="25.44140625" style="931" customWidth="1"/>
    <col min="4" max="4" width="23.33203125" style="931" customWidth="1"/>
    <col min="5" max="5" width="14.5546875" style="931" customWidth="1"/>
    <col min="6" max="6" width="23" style="931" customWidth="1"/>
    <col min="7" max="7" width="8.88671875" style="931" customWidth="1"/>
    <col min="8" max="8" width="8.44140625" style="931" customWidth="1"/>
    <col min="9" max="9" width="38.88671875" style="931" customWidth="1"/>
    <col min="10" max="10" width="8.88671875" style="931"/>
    <col min="11" max="11" width="0" style="931" hidden="1" customWidth="1"/>
    <col min="12" max="16384" width="8.88671875" style="931"/>
  </cols>
  <sheetData>
    <row r="1" spans="1:11" ht="15.6">
      <c r="A1" s="1562" t="s">
        <v>4</v>
      </c>
      <c r="B1" s="1412"/>
      <c r="D1" s="346"/>
    </row>
    <row r="2" spans="1:11" ht="15.45" customHeight="1">
      <c r="A2" s="1415" t="str">
        <f>SchoolName</f>
        <v>Game Changers Sports Academy</v>
      </c>
      <c r="B2" s="1413"/>
      <c r="F2" s="1827" t="s">
        <v>1249</v>
      </c>
      <c r="G2" s="1827"/>
      <c r="H2" s="1827"/>
      <c r="I2" s="1827"/>
    </row>
    <row r="3" spans="1:11" ht="21">
      <c r="F3" s="1416" t="s">
        <v>1246</v>
      </c>
      <c r="G3" s="1417" t="s">
        <v>1250</v>
      </c>
      <c r="H3" s="1417" t="s">
        <v>1247</v>
      </c>
      <c r="I3" s="1416" t="s">
        <v>1248</v>
      </c>
    </row>
    <row r="4" spans="1:11" s="1414" customFormat="1">
      <c r="F4" s="1813" t="s">
        <v>1420</v>
      </c>
      <c r="G4" s="1813" t="s">
        <v>1251</v>
      </c>
      <c r="H4" s="1813" t="s">
        <v>891</v>
      </c>
      <c r="I4" s="1813" t="s">
        <v>1421</v>
      </c>
      <c r="K4" s="1414" t="s">
        <v>1251</v>
      </c>
    </row>
    <row r="5" spans="1:11">
      <c r="F5" s="1814"/>
      <c r="G5" s="1813"/>
      <c r="H5" s="1813"/>
      <c r="I5" s="1814"/>
      <c r="K5" s="1414" t="s">
        <v>891</v>
      </c>
    </row>
    <row r="6" spans="1:11">
      <c r="F6" s="1814"/>
      <c r="G6" s="1813"/>
      <c r="H6" s="1813"/>
      <c r="I6" s="1814"/>
    </row>
    <row r="7" spans="1:11">
      <c r="F7" s="1814"/>
      <c r="G7" s="1813"/>
      <c r="H7" s="1813"/>
      <c r="I7" s="1814"/>
    </row>
    <row r="8" spans="1:11">
      <c r="A8" s="32" t="s">
        <v>1242</v>
      </c>
      <c r="B8" s="30"/>
      <c r="C8" s="30"/>
      <c r="D8" s="32"/>
      <c r="E8" s="32"/>
      <c r="G8" s="931" t="s">
        <v>1252</v>
      </c>
    </row>
    <row r="9" spans="1:11" ht="34.799999999999997">
      <c r="A9" s="1829" t="s">
        <v>1386</v>
      </c>
      <c r="B9" s="1829"/>
      <c r="C9" s="1829"/>
      <c r="D9" s="1829"/>
      <c r="E9" s="1829"/>
      <c r="G9" s="1837" t="s">
        <v>1422</v>
      </c>
      <c r="H9" s="1838"/>
      <c r="I9" s="1839"/>
    </row>
    <row r="11" spans="1:11" ht="15.6">
      <c r="A11" s="1305" t="s">
        <v>1245</v>
      </c>
      <c r="C11" s="1825">
        <v>2026</v>
      </c>
      <c r="D11" s="760" t="str">
        <f>"Fiscal Year beginning July 1, 20"&amp;RIGHT(C11,2)</f>
        <v>Fiscal Year beginning July 1, 2026</v>
      </c>
    </row>
    <row r="12" spans="1:11" ht="15.6">
      <c r="A12" s="1305" t="s">
        <v>7</v>
      </c>
      <c r="C12" s="151">
        <f>+C11+1</f>
        <v>2027</v>
      </c>
      <c r="D12" s="760" t="str">
        <f>"aka Fiscal Year Ending (FYE) Jun 30, 20"&amp;RIGHT(C12,2)</f>
        <v>aka Fiscal Year Ending (FYE) Jun 30, 2027</v>
      </c>
    </row>
    <row r="13" spans="1:11">
      <c r="C13" s="151"/>
      <c r="D13" s="1400"/>
    </row>
    <row r="14" spans="1:11" ht="15.6">
      <c r="A14" s="1305" t="s">
        <v>1243</v>
      </c>
      <c r="B14" s="1305"/>
      <c r="C14" s="1418" t="s">
        <v>1418</v>
      </c>
      <c r="D14" s="1419" t="s">
        <v>1419</v>
      </c>
      <c r="E14" s="1420"/>
    </row>
    <row r="15" spans="1:11" ht="15.6">
      <c r="A15" s="1305" t="s">
        <v>1244</v>
      </c>
      <c r="B15" s="1305"/>
      <c r="C15" s="1418"/>
      <c r="D15" s="1419"/>
      <c r="E15" s="1420"/>
    </row>
    <row r="16" spans="1:11">
      <c r="A16" s="1411"/>
    </row>
    <row r="17" spans="1:5" hidden="1">
      <c r="A17" s="1307" t="s">
        <v>8</v>
      </c>
      <c r="B17" s="1307"/>
      <c r="C17" s="53" t="s">
        <v>9</v>
      </c>
      <c r="D17" s="1831" t="s">
        <v>10</v>
      </c>
      <c r="E17" s="1831"/>
    </row>
    <row r="18" spans="1:5" hidden="1">
      <c r="A18" s="1832" t="s">
        <v>11</v>
      </c>
      <c r="B18" s="1832"/>
      <c r="C18" s="254"/>
      <c r="D18" s="1833"/>
      <c r="E18" s="1833"/>
    </row>
    <row r="19" spans="1:5" hidden="1">
      <c r="A19" s="1834"/>
      <c r="B19" s="1834"/>
      <c r="C19" s="254"/>
      <c r="D19" s="1835"/>
      <c r="E19" s="1835"/>
    </row>
    <row r="20" spans="1:5" ht="30.75" hidden="1" customHeight="1">
      <c r="A20" s="1830" t="s">
        <v>12</v>
      </c>
      <c r="B20" s="1830"/>
      <c r="C20" s="1830"/>
      <c r="D20" s="1830"/>
      <c r="E20" s="1830"/>
    </row>
    <row r="21" spans="1:5" ht="18" hidden="1" customHeight="1">
      <c r="A21" s="1836" t="s">
        <v>11</v>
      </c>
      <c r="B21" s="1836"/>
      <c r="C21" s="1836"/>
      <c r="D21" s="1836"/>
      <c r="E21" s="1836"/>
    </row>
    <row r="22" spans="1:5" ht="18" hidden="1" customHeight="1">
      <c r="A22" s="1828" t="s">
        <v>13</v>
      </c>
      <c r="B22" s="1828"/>
      <c r="C22" s="1828"/>
      <c r="D22" s="1828"/>
      <c r="E22" s="1828"/>
    </row>
    <row r="23" spans="1:5" hidden="1">
      <c r="A23" s="74" t="s">
        <v>14</v>
      </c>
    </row>
    <row r="24" spans="1:5" hidden="1">
      <c r="A24" s="74"/>
    </row>
    <row r="25" spans="1:5" hidden="1">
      <c r="A25" s="30" t="s">
        <v>15</v>
      </c>
    </row>
    <row r="26" spans="1:5" hidden="1">
      <c r="A26" s="214"/>
      <c r="B26" s="84" t="s">
        <v>16</v>
      </c>
    </row>
    <row r="27" spans="1:5" hidden="1">
      <c r="A27" s="40"/>
      <c r="B27" s="74" t="s">
        <v>17</v>
      </c>
    </row>
    <row r="28" spans="1:5" hidden="1">
      <c r="A28" s="214"/>
      <c r="B28" s="32" t="s">
        <v>18</v>
      </c>
    </row>
    <row r="29" spans="1:5" hidden="1">
      <c r="A29" s="40"/>
    </row>
    <row r="30" spans="1:5" hidden="1">
      <c r="A30" s="214"/>
      <c r="B30" s="32" t="s">
        <v>19</v>
      </c>
    </row>
  </sheetData>
  <mergeCells count="11">
    <mergeCell ref="F2:I2"/>
    <mergeCell ref="A22:E22"/>
    <mergeCell ref="A9:E9"/>
    <mergeCell ref="A20:E20"/>
    <mergeCell ref="D17:E17"/>
    <mergeCell ref="A18:B18"/>
    <mergeCell ref="D18:E18"/>
    <mergeCell ref="A19:B19"/>
    <mergeCell ref="D19:E19"/>
    <mergeCell ref="A21:E21"/>
    <mergeCell ref="G9:I9"/>
  </mergeCells>
  <conditionalFormatting sqref="A11:A12">
    <cfRule type="cellIs" dxfId="82" priority="2" stopIfTrue="1" operator="equal">
      <formula>0</formula>
    </cfRule>
  </conditionalFormatting>
  <conditionalFormatting sqref="B26">
    <cfRule type="cellIs" dxfId="81" priority="10" stopIfTrue="1" operator="equal">
      <formula>0</formula>
    </cfRule>
  </conditionalFormatting>
  <conditionalFormatting sqref="D1">
    <cfRule type="expression" dxfId="80" priority="4" stopIfTrue="1">
      <formula>MOD(ROW(),2)=0</formula>
    </cfRule>
  </conditionalFormatting>
  <dataValidations count="1">
    <dataValidation type="list" allowBlank="1" showInputMessage="1" showErrorMessage="1" sqref="G4:H7" xr:uid="{00000000-0002-0000-0200-000000000000}">
      <formula1>$K$4:$K$5</formula1>
    </dataValidation>
  </dataValidation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FFFF99"/>
  </sheetPr>
  <dimension ref="A1:S37"/>
  <sheetViews>
    <sheetView workbookViewId="0">
      <selection activeCell="D18" sqref="D18"/>
    </sheetView>
  </sheetViews>
  <sheetFormatPr defaultRowHeight="15.6"/>
  <cols>
    <col min="1" max="1" width="6.33203125" style="100" customWidth="1"/>
    <col min="2" max="2" width="31.6640625" style="100" customWidth="1"/>
    <col min="3" max="4" width="11.33203125" style="100" bestFit="1" customWidth="1"/>
    <col min="10" max="10" width="14.6640625" customWidth="1"/>
    <col min="11" max="11" width="2.33203125" customWidth="1"/>
    <col min="12" max="12" width="4.6640625" customWidth="1"/>
    <col min="13" max="13" width="47.6640625" style="1100" customWidth="1"/>
  </cols>
  <sheetData>
    <row r="1" spans="1:19">
      <c r="A1" s="20" t="s">
        <v>20</v>
      </c>
      <c r="B1" s="20"/>
      <c r="C1" s="20"/>
      <c r="D1" s="20"/>
      <c r="E1" s="20"/>
      <c r="F1" s="20"/>
    </row>
    <row r="2" spans="1:19">
      <c r="A2" s="1310" t="str">
        <f>SchoolName</f>
        <v>Game Changers Sports Academy</v>
      </c>
      <c r="B2" s="1310"/>
      <c r="C2" s="1310"/>
      <c r="D2" s="1310"/>
      <c r="E2" s="101"/>
      <c r="F2" s="101"/>
    </row>
    <row r="3" spans="1:19" ht="14.4">
      <c r="A3" s="316" t="s">
        <v>0</v>
      </c>
      <c r="B3" s="316"/>
      <c r="C3" s="316"/>
      <c r="D3" s="316"/>
    </row>
    <row r="4" spans="1:19" ht="14.4">
      <c r="A4" s="317" t="str">
        <f ca="1">CELL("filename")</f>
        <v>https://myccmortgage-my.sharepoint.com/personal/dolly_alexander_myccmortgage_com/Documents/Documents/GCSA Hylo Park/[Attachment 24 Financial Budget Template.xlsx]Cover &amp; Loc</v>
      </c>
      <c r="B4" s="317"/>
      <c r="C4" s="317"/>
      <c r="D4" s="317"/>
    </row>
    <row r="5" spans="1:19">
      <c r="A5" s="1055" t="s">
        <v>21</v>
      </c>
    </row>
    <row r="6" spans="1:19">
      <c r="C6" s="1096" t="s">
        <v>22</v>
      </c>
      <c r="D6" s="1096" t="s">
        <v>22</v>
      </c>
      <c r="E6" s="32"/>
      <c r="F6" s="32"/>
    </row>
    <row r="7" spans="1:19">
      <c r="B7" s="344"/>
      <c r="C7" s="1097" t="s">
        <v>23</v>
      </c>
      <c r="D7" s="1097" t="s">
        <v>24</v>
      </c>
      <c r="E7" s="594" t="s">
        <v>25</v>
      </c>
      <c r="F7" s="58"/>
      <c r="G7" s="345"/>
      <c r="H7" s="345"/>
      <c r="I7" s="345"/>
      <c r="J7" s="345"/>
      <c r="M7" s="1099" t="s">
        <v>26</v>
      </c>
    </row>
    <row r="8" spans="1:19" ht="18.600000000000001" customHeight="1">
      <c r="B8" s="1055" t="s">
        <v>27</v>
      </c>
      <c r="C8" s="1095" t="s">
        <v>28</v>
      </c>
      <c r="F8" s="342"/>
      <c r="G8" s="342"/>
      <c r="H8" s="342"/>
      <c r="I8" s="343"/>
      <c r="J8" s="343"/>
      <c r="M8" s="593"/>
      <c r="S8" s="385"/>
    </row>
    <row r="9" spans="1:19" ht="18.600000000000001" customHeight="1">
      <c r="A9" s="1091">
        <f>ROW()</f>
        <v>9</v>
      </c>
      <c r="B9" s="1240" t="s">
        <v>29</v>
      </c>
      <c r="C9" s="1020"/>
      <c r="D9" s="1020"/>
      <c r="E9" s="1094" t="s">
        <v>30</v>
      </c>
      <c r="F9" s="1092"/>
      <c r="G9" s="1092"/>
      <c r="H9" s="1092"/>
      <c r="I9" s="1093"/>
      <c r="J9" s="1093"/>
      <c r="M9" s="593"/>
      <c r="S9" s="385"/>
    </row>
    <row r="10" spans="1:19" ht="18.600000000000001" customHeight="1">
      <c r="A10" s="1091">
        <f>ROW()</f>
        <v>10</v>
      </c>
      <c r="B10" s="1241" t="s">
        <v>31</v>
      </c>
      <c r="C10" s="1020"/>
      <c r="D10" s="1020"/>
      <c r="E10" s="1284"/>
      <c r="F10" s="66"/>
      <c r="G10" s="66"/>
      <c r="H10" s="66"/>
      <c r="I10" s="315"/>
      <c r="J10" s="315"/>
      <c r="M10" s="593" t="s">
        <v>32</v>
      </c>
      <c r="S10" s="385"/>
    </row>
    <row r="11" spans="1:19" ht="18.600000000000001" customHeight="1">
      <c r="A11" s="1091">
        <f>ROW()</f>
        <v>11</v>
      </c>
      <c r="B11" s="1241" t="s">
        <v>33</v>
      </c>
      <c r="C11" s="1020"/>
      <c r="D11" s="1020"/>
      <c r="E11" s="1285"/>
      <c r="G11" s="66"/>
      <c r="H11" s="66"/>
      <c r="I11" s="315"/>
      <c r="J11" s="315"/>
      <c r="M11" s="593"/>
      <c r="S11" s="385"/>
    </row>
    <row r="12" spans="1:19" ht="18.600000000000001" customHeight="1">
      <c r="A12" s="1091">
        <f>ROW()</f>
        <v>12</v>
      </c>
      <c r="B12" s="1241" t="s">
        <v>34</v>
      </c>
      <c r="C12" s="1020"/>
      <c r="D12" s="1020"/>
      <c r="E12" s="1284" t="s">
        <v>35</v>
      </c>
      <c r="F12" s="66"/>
      <c r="G12" s="66"/>
      <c r="H12" s="66"/>
      <c r="I12" s="315"/>
      <c r="J12" s="315"/>
      <c r="M12" s="593"/>
      <c r="S12" s="385"/>
    </row>
    <row r="13" spans="1:19" ht="18.600000000000001" customHeight="1">
      <c r="A13" s="1091">
        <f>ROW()</f>
        <v>13</v>
      </c>
      <c r="B13" s="1241" t="s">
        <v>36</v>
      </c>
      <c r="C13" s="1020"/>
      <c r="D13" s="1020"/>
      <c r="E13" s="1285"/>
      <c r="F13" s="66"/>
      <c r="G13" s="66"/>
      <c r="H13" s="66"/>
      <c r="I13" s="315"/>
      <c r="J13" s="315"/>
      <c r="M13" s="593"/>
      <c r="S13" s="385"/>
    </row>
    <row r="14" spans="1:19" ht="18.600000000000001" customHeight="1">
      <c r="A14" s="1091">
        <f>ROW()</f>
        <v>14</v>
      </c>
      <c r="B14" s="1241" t="s">
        <v>37</v>
      </c>
      <c r="C14" s="1020"/>
      <c r="D14" s="1020"/>
      <c r="E14" s="1284" t="s">
        <v>38</v>
      </c>
      <c r="F14" s="66"/>
      <c r="G14" s="66"/>
      <c r="H14" s="66"/>
      <c r="I14" s="315"/>
      <c r="J14" s="315"/>
      <c r="M14" s="593"/>
      <c r="S14" s="385"/>
    </row>
    <row r="15" spans="1:19" ht="18.600000000000001" customHeight="1">
      <c r="A15" s="1091">
        <f>ROW()</f>
        <v>15</v>
      </c>
      <c r="B15" s="1241" t="s">
        <v>39</v>
      </c>
      <c r="C15" s="1020"/>
      <c r="D15" s="1020"/>
      <c r="E15" s="1284" t="s">
        <v>40</v>
      </c>
      <c r="F15" s="66"/>
      <c r="G15" s="66"/>
      <c r="H15" s="66"/>
      <c r="I15" s="315"/>
      <c r="J15" s="315"/>
      <c r="M15" s="593"/>
      <c r="S15" s="385"/>
    </row>
    <row r="16" spans="1:19" ht="18.600000000000001" customHeight="1">
      <c r="A16" s="1091">
        <f>ROW()</f>
        <v>16</v>
      </c>
      <c r="B16" s="1241" t="s">
        <v>41</v>
      </c>
      <c r="C16" s="1020"/>
      <c r="D16" s="1020"/>
      <c r="E16" s="1284" t="s">
        <v>42</v>
      </c>
      <c r="F16" s="66"/>
      <c r="G16" s="66"/>
      <c r="H16" s="66"/>
      <c r="I16" s="315"/>
      <c r="J16" s="315"/>
      <c r="M16" s="593"/>
      <c r="S16" s="385"/>
    </row>
    <row r="17" spans="1:19" ht="18.600000000000001" customHeight="1">
      <c r="A17" s="1091">
        <f>ROW()</f>
        <v>17</v>
      </c>
      <c r="B17" s="1241" t="s">
        <v>43</v>
      </c>
      <c r="C17" s="1020"/>
      <c r="D17" s="1020"/>
      <c r="E17" s="1284" t="s">
        <v>44</v>
      </c>
      <c r="M17" s="593"/>
      <c r="S17" s="385"/>
    </row>
    <row r="18" spans="1:19" ht="21.75" customHeight="1">
      <c r="A18" s="1091">
        <f>ROW()</f>
        <v>18</v>
      </c>
      <c r="B18" s="1241" t="s">
        <v>45</v>
      </c>
      <c r="C18" s="1020"/>
      <c r="D18" s="1020"/>
      <c r="E18" s="1284" t="s">
        <v>46</v>
      </c>
      <c r="F18" s="66"/>
      <c r="G18" s="66"/>
      <c r="H18" s="66"/>
      <c r="I18" s="315"/>
      <c r="J18" s="315"/>
      <c r="M18" s="593"/>
      <c r="S18" s="385"/>
    </row>
    <row r="19" spans="1:19" ht="18.600000000000001" customHeight="1">
      <c r="A19" s="1091">
        <f>ROW()</f>
        <v>19</v>
      </c>
      <c r="B19" s="1241" t="s">
        <v>47</v>
      </c>
      <c r="C19" s="1020"/>
      <c r="D19" s="1020"/>
      <c r="E19" s="1284" t="s">
        <v>48</v>
      </c>
      <c r="F19" s="66"/>
      <c r="G19" s="66"/>
      <c r="H19" s="66"/>
      <c r="I19" s="315"/>
      <c r="J19" s="315"/>
      <c r="M19" s="593"/>
      <c r="S19" s="385"/>
    </row>
    <row r="20" spans="1:19" ht="33.6" customHeight="1">
      <c r="A20" s="1091">
        <f>ROW()</f>
        <v>20</v>
      </c>
      <c r="B20" s="1242" t="s">
        <v>49</v>
      </c>
      <c r="C20" s="1020"/>
      <c r="D20" s="1020"/>
      <c r="E20" s="1284" t="s">
        <v>50</v>
      </c>
      <c r="F20" s="66"/>
      <c r="G20" s="66"/>
      <c r="H20" s="66"/>
      <c r="I20" s="315"/>
      <c r="J20" s="315"/>
      <c r="M20" s="593"/>
      <c r="S20" s="385"/>
    </row>
    <row r="21" spans="1:19">
      <c r="A21" s="1091">
        <f>ROW()</f>
        <v>21</v>
      </c>
      <c r="B21" s="1241" t="s">
        <v>51</v>
      </c>
      <c r="C21" s="1020"/>
      <c r="D21" s="1020"/>
      <c r="E21" s="314" t="s">
        <v>52</v>
      </c>
      <c r="M21" s="593"/>
      <c r="S21" s="385"/>
    </row>
    <row r="22" spans="1:19" ht="18.600000000000001" customHeight="1">
      <c r="A22" s="1091">
        <f>ROW()</f>
        <v>22</v>
      </c>
      <c r="B22" s="1241" t="s">
        <v>53</v>
      </c>
      <c r="C22" s="1020"/>
      <c r="D22" s="1020"/>
      <c r="E22" s="314" t="s">
        <v>54</v>
      </c>
      <c r="F22" s="66"/>
      <c r="G22" s="66"/>
      <c r="H22" s="66"/>
      <c r="I22" s="315"/>
      <c r="J22" s="315"/>
      <c r="M22" s="593"/>
      <c r="S22" s="385"/>
    </row>
    <row r="23" spans="1:19" ht="32.25" customHeight="1">
      <c r="A23" s="1091">
        <f>ROW()</f>
        <v>23</v>
      </c>
      <c r="B23" s="1241" t="s">
        <v>55</v>
      </c>
      <c r="C23" s="1020"/>
      <c r="D23" s="1020"/>
      <c r="E23" s="1840" t="s">
        <v>56</v>
      </c>
      <c r="F23" s="1841"/>
      <c r="G23" s="1841"/>
      <c r="H23" s="1841"/>
      <c r="I23" s="1841"/>
      <c r="J23" s="1841"/>
      <c r="M23" s="593"/>
      <c r="S23" s="385"/>
    </row>
    <row r="24" spans="1:19" ht="18.600000000000001" customHeight="1">
      <c r="A24" s="1091">
        <f>ROW()</f>
        <v>24</v>
      </c>
      <c r="B24" s="1241" t="s">
        <v>57</v>
      </c>
      <c r="C24" s="1019" t="s">
        <v>58</v>
      </c>
      <c r="D24" s="1019" t="s">
        <v>58</v>
      </c>
      <c r="E24" s="314" t="s">
        <v>59</v>
      </c>
      <c r="F24" s="66"/>
      <c r="G24" s="66"/>
      <c r="H24" s="66"/>
      <c r="I24" s="315"/>
      <c r="J24" s="315"/>
      <c r="M24" s="593"/>
      <c r="S24" s="385"/>
    </row>
    <row r="25" spans="1:19" ht="18.600000000000001" customHeight="1">
      <c r="A25" s="1091">
        <f>ROW()</f>
        <v>25</v>
      </c>
      <c r="B25" s="1241" t="s">
        <v>60</v>
      </c>
      <c r="C25" s="1019" t="s">
        <v>58</v>
      </c>
      <c r="D25" s="1019" t="s">
        <v>58</v>
      </c>
      <c r="E25" s="314" t="s">
        <v>61</v>
      </c>
      <c r="F25" s="66"/>
      <c r="G25" s="66"/>
      <c r="H25" s="66"/>
      <c r="I25" s="315"/>
      <c r="J25" s="315"/>
      <c r="M25" s="593"/>
      <c r="S25" s="385"/>
    </row>
    <row r="26" spans="1:19" ht="18.600000000000001" customHeight="1">
      <c r="A26" s="1091">
        <f>ROW()</f>
        <v>26</v>
      </c>
      <c r="B26" s="1241" t="s">
        <v>62</v>
      </c>
      <c r="C26" s="1019" t="s">
        <v>58</v>
      </c>
      <c r="D26" s="1019" t="s">
        <v>58</v>
      </c>
      <c r="E26" s="312" t="s">
        <v>63</v>
      </c>
      <c r="F26" s="32"/>
      <c r="G26" s="32"/>
      <c r="H26" s="32"/>
      <c r="M26" s="593"/>
      <c r="S26" s="385"/>
    </row>
    <row r="27" spans="1:19" ht="18.600000000000001" customHeight="1">
      <c r="A27" s="1091">
        <f>ROW()</f>
        <v>27</v>
      </c>
      <c r="B27" s="1243" t="s">
        <v>3</v>
      </c>
      <c r="C27" s="1019" t="s">
        <v>58</v>
      </c>
      <c r="D27" s="1019" t="s">
        <v>58</v>
      </c>
      <c r="E27" s="312" t="s">
        <v>64</v>
      </c>
      <c r="F27" s="32"/>
      <c r="G27" s="32"/>
      <c r="H27" s="32"/>
      <c r="M27" s="593"/>
      <c r="S27" s="385"/>
    </row>
    <row r="28" spans="1:19" ht="18.600000000000001" customHeight="1">
      <c r="A28" s="1091">
        <f>ROW()</f>
        <v>28</v>
      </c>
      <c r="B28" s="1276" t="s">
        <v>65</v>
      </c>
      <c r="C28" s="1020"/>
      <c r="D28" s="1020"/>
      <c r="E28" s="312" t="s">
        <v>66</v>
      </c>
      <c r="S28" s="385"/>
    </row>
    <row r="29" spans="1:19" ht="18.600000000000001" customHeight="1">
      <c r="A29" s="1091">
        <f>ROW()</f>
        <v>29</v>
      </c>
      <c r="S29" s="385"/>
    </row>
    <row r="30" spans="1:19" ht="18.600000000000001" hidden="1" customHeight="1">
      <c r="A30" s="1091">
        <f>ROW()</f>
        <v>30</v>
      </c>
      <c r="B30" s="30" t="s">
        <v>15</v>
      </c>
      <c r="C30"/>
      <c r="D30"/>
      <c r="S30" s="385"/>
    </row>
    <row r="31" spans="1:19" hidden="1">
      <c r="A31" s="1091">
        <f>ROW()</f>
        <v>31</v>
      </c>
      <c r="B31" s="214"/>
      <c r="C31" s="84" t="s">
        <v>67</v>
      </c>
      <c r="D31"/>
      <c r="S31" s="385"/>
    </row>
    <row r="32" spans="1:19" hidden="1">
      <c r="A32" s="1091">
        <f>ROW()</f>
        <v>32</v>
      </c>
      <c r="B32" s="40"/>
      <c r="C32" s="74" t="s">
        <v>68</v>
      </c>
      <c r="D32"/>
      <c r="S32" s="385"/>
    </row>
    <row r="33" spans="1:19" hidden="1">
      <c r="A33" s="1091">
        <f>ROW()</f>
        <v>33</v>
      </c>
      <c r="B33" s="214"/>
      <c r="C33" s="32" t="s">
        <v>18</v>
      </c>
      <c r="D33"/>
      <c r="S33" s="385"/>
    </row>
    <row r="34" spans="1:19" hidden="1">
      <c r="A34" s="1091">
        <f>ROW()</f>
        <v>34</v>
      </c>
      <c r="B34" s="40"/>
      <c r="C34"/>
      <c r="D34"/>
      <c r="S34" s="385"/>
    </row>
    <row r="35" spans="1:19" hidden="1">
      <c r="A35" s="1091">
        <f>ROW()</f>
        <v>35</v>
      </c>
      <c r="B35" s="214"/>
      <c r="C35" s="32" t="s">
        <v>19</v>
      </c>
      <c r="D35"/>
    </row>
    <row r="36" spans="1:19" hidden="1"/>
    <row r="37" spans="1:19" hidden="1">
      <c r="B37" s="1038"/>
    </row>
  </sheetData>
  <mergeCells count="1">
    <mergeCell ref="E23:J23"/>
  </mergeCells>
  <conditionalFormatting sqref="C31">
    <cfRule type="cellIs" dxfId="79" priority="1" stopIfTrue="1" operator="equal">
      <formula>0</formula>
    </cfRule>
  </conditionalFormatting>
  <conditionalFormatting sqref="C24:D27">
    <cfRule type="cellIs" dxfId="78" priority="2" stopIfTrue="1" operator="equal">
      <formula>0</formula>
    </cfRule>
  </conditionalFormatting>
  <hyperlinks>
    <hyperlink ref="B9" location="HypLink2" display="HypLink2" xr:uid="{00000000-0004-0000-0300-000000000000}"/>
    <hyperlink ref="B10" location="HypLink3" display="HypLink3" xr:uid="{00000000-0004-0000-0300-000001000000}"/>
    <hyperlink ref="B11" location="HypLink4" display="HypLink4" xr:uid="{00000000-0004-0000-0300-000002000000}"/>
    <hyperlink ref="B12" location="HypLink5" display="HypLink5" xr:uid="{00000000-0004-0000-0300-000003000000}"/>
    <hyperlink ref="B13" location="HypLink6" display="HypLink6" xr:uid="{00000000-0004-0000-0300-000004000000}"/>
    <hyperlink ref="B14" location="HypLink7" display="HypLink7" xr:uid="{00000000-0004-0000-0300-000005000000}"/>
    <hyperlink ref="B15" location="HypLink8" display="HypLink8" xr:uid="{00000000-0004-0000-0300-000006000000}"/>
    <hyperlink ref="B16" location="HypLink10" display="HypLink10" xr:uid="{00000000-0004-0000-0300-000007000000}"/>
    <hyperlink ref="B17" location="HypLink11" display="HypLink11" xr:uid="{00000000-0004-0000-0300-000008000000}"/>
    <hyperlink ref="B18" location="HypLink12" display="HypLink12" xr:uid="{00000000-0004-0000-0300-000009000000}"/>
    <hyperlink ref="B19" location="HypLink13" display="HypLink13" xr:uid="{00000000-0004-0000-0300-00000A000000}"/>
    <hyperlink ref="B20" location="HypLink14" display="HypLink14" xr:uid="{00000000-0004-0000-0300-00000B000000}"/>
    <hyperlink ref="B21" location="HypLink15" display="HypLink15" xr:uid="{00000000-0004-0000-0300-00000C000000}"/>
    <hyperlink ref="B22" location="HypLink16" display="HypLink16" xr:uid="{00000000-0004-0000-0300-00000D000000}"/>
    <hyperlink ref="B23" location="HypLink17" display="HypLink17" xr:uid="{00000000-0004-0000-0300-00000E000000}"/>
    <hyperlink ref="B24" location="HypLink18" display="HypLink18" xr:uid="{00000000-0004-0000-0300-00000F000000}"/>
    <hyperlink ref="B25" location="HypLink19" display="HypLink19" xr:uid="{00000000-0004-0000-0300-000010000000}"/>
    <hyperlink ref="B26" location="HypLink25" display="HypLink25" xr:uid="{00000000-0004-0000-0300-000011000000}"/>
    <hyperlink ref="B27" location="HypLink26" display="HypLink26" xr:uid="{00000000-0004-0000-0300-000012000000}"/>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99"/>
  </sheetPr>
  <dimension ref="A1:W115"/>
  <sheetViews>
    <sheetView zoomScale="74" workbookViewId="0">
      <selection activeCell="B92" sqref="B92:I100"/>
    </sheetView>
  </sheetViews>
  <sheetFormatPr defaultColWidth="8.6640625" defaultRowHeight="13.8"/>
  <cols>
    <col min="1" max="1" width="6.6640625" style="32" bestFit="1" customWidth="1"/>
    <col min="2" max="2" width="21" style="32" customWidth="1"/>
    <col min="3" max="3" width="17.33203125" style="32" customWidth="1"/>
    <col min="4" max="4" width="11.44140625" style="32" customWidth="1"/>
    <col min="5" max="6" width="11" style="32" customWidth="1"/>
    <col min="7" max="7" width="11.5546875" style="32" customWidth="1"/>
    <col min="8" max="8" width="14.6640625" style="32" customWidth="1"/>
    <col min="9" max="10" width="9.6640625" style="32" customWidth="1"/>
    <col min="11" max="11" width="1.6640625" style="32" customWidth="1"/>
    <col min="12" max="12" width="61.33203125" style="257" customWidth="1"/>
    <col min="13" max="14" width="4.5546875" style="32" customWidth="1"/>
    <col min="15" max="15" width="7.33203125" style="32" customWidth="1"/>
    <col min="16" max="19" width="4.5546875" style="32" customWidth="1"/>
    <col min="20" max="16384" width="8.6640625" style="32"/>
  </cols>
  <sheetData>
    <row r="1" spans="1:23" ht="17.399999999999999">
      <c r="A1" s="1493" t="s">
        <v>37</v>
      </c>
      <c r="B1" s="1494"/>
      <c r="C1" s="1494"/>
      <c r="D1" s="347"/>
      <c r="E1" s="1307" t="s">
        <v>209</v>
      </c>
      <c r="F1" s="1307"/>
      <c r="G1" s="1307"/>
      <c r="H1" s="58"/>
      <c r="I1" s="58"/>
      <c r="L1" s="1463"/>
      <c r="M1" s="1463"/>
      <c r="N1" s="1463"/>
      <c r="O1" s="1463"/>
      <c r="P1" s="1463"/>
      <c r="Q1" s="30"/>
    </row>
    <row r="2" spans="1:23" ht="15.6">
      <c r="A2" s="35" t="str">
        <f>SchoolName</f>
        <v>Game Changers Sports Academy</v>
      </c>
      <c r="B2" s="36"/>
      <c r="C2" s="36"/>
      <c r="E2" s="32" t="s">
        <v>210</v>
      </c>
      <c r="F2" s="140" t="str">
        <f>+Facilities!G2</f>
        <v>2400 N. Rancho Drive</v>
      </c>
      <c r="G2" s="136"/>
      <c r="H2" s="136"/>
      <c r="I2" s="136"/>
      <c r="J2" s="136"/>
      <c r="K2" s="164"/>
      <c r="L2" s="1815" t="s">
        <v>1253</v>
      </c>
      <c r="M2" s="1463"/>
      <c r="N2" s="1463"/>
      <c r="O2" s="1463"/>
      <c r="P2" s="1463"/>
      <c r="Q2" s="1463"/>
      <c r="R2" s="1463"/>
      <c r="S2" s="1463"/>
      <c r="T2" s="1463"/>
      <c r="U2" s="1463"/>
      <c r="V2" s="1463"/>
    </row>
    <row r="3" spans="1:23">
      <c r="A3" s="37"/>
      <c r="E3" s="32" t="s">
        <v>13</v>
      </c>
      <c r="F3" s="141">
        <f>+Facilities!G3</f>
        <v>0</v>
      </c>
      <c r="G3" s="137"/>
      <c r="H3" s="137"/>
      <c r="I3" s="137"/>
      <c r="J3" s="137"/>
      <c r="K3" s="164"/>
      <c r="L3" s="394"/>
      <c r="M3" s="1463"/>
      <c r="N3" s="1463"/>
      <c r="O3" s="1463"/>
      <c r="P3" s="1463"/>
      <c r="Q3" s="1463"/>
      <c r="R3" s="1463"/>
      <c r="S3" s="1463"/>
      <c r="T3" s="1463"/>
      <c r="U3" s="1463"/>
      <c r="V3" s="1463"/>
    </row>
    <row r="4" spans="1:23">
      <c r="A4" s="38"/>
      <c r="F4" s="74"/>
      <c r="L4" s="287"/>
      <c r="M4" s="1463"/>
      <c r="N4" s="1463"/>
      <c r="O4" s="1463"/>
      <c r="P4" s="1463"/>
      <c r="Q4" s="1463"/>
      <c r="R4" s="1463"/>
      <c r="S4" s="1463"/>
      <c r="T4" s="1463"/>
      <c r="U4" s="1463"/>
      <c r="V4" s="1463"/>
    </row>
    <row r="5" spans="1:23">
      <c r="A5" s="29"/>
      <c r="L5" s="287"/>
      <c r="M5" s="1463"/>
      <c r="N5" s="1463"/>
      <c r="O5" s="1463"/>
      <c r="P5" s="1463"/>
      <c r="Q5" s="1463"/>
      <c r="R5" s="1463"/>
      <c r="S5" s="1463"/>
      <c r="T5" s="1463"/>
      <c r="U5" s="1463"/>
      <c r="V5" s="1463"/>
    </row>
    <row r="6" spans="1:23">
      <c r="A6" s="59"/>
      <c r="B6" s="81"/>
      <c r="C6" s="81"/>
      <c r="D6" s="81"/>
      <c r="E6" s="31"/>
      <c r="L6" s="287"/>
      <c r="M6" s="1463"/>
      <c r="N6" s="1463"/>
      <c r="O6" s="1463"/>
      <c r="P6" s="1463"/>
      <c r="Q6" s="1463"/>
      <c r="R6" s="1463"/>
      <c r="S6" s="1463"/>
      <c r="T6" s="1463"/>
      <c r="U6" s="1463"/>
      <c r="V6" s="1463"/>
    </row>
    <row r="7" spans="1:23">
      <c r="A7" s="290"/>
      <c r="D7" s="1486" t="s">
        <v>157</v>
      </c>
      <c r="E7" s="1487">
        <v>1</v>
      </c>
      <c r="F7" s="1487">
        <v>2</v>
      </c>
      <c r="G7" s="1487">
        <v>3</v>
      </c>
      <c r="H7" s="1487">
        <v>4</v>
      </c>
      <c r="I7" s="1487">
        <v>5</v>
      </c>
      <c r="J7" s="1488">
        <v>6</v>
      </c>
      <c r="K7" s="31"/>
      <c r="L7" s="287"/>
      <c r="M7" s="1463"/>
      <c r="N7" s="1463"/>
      <c r="O7" s="1463"/>
      <c r="P7" s="1463"/>
      <c r="Q7" s="1463"/>
      <c r="R7" s="1463"/>
      <c r="S7" s="1463"/>
      <c r="T7" s="1463"/>
      <c r="U7" s="1463"/>
      <c r="V7" s="1463"/>
    </row>
    <row r="8" spans="1:23" ht="15.6">
      <c r="A8" s="290"/>
      <c r="D8" s="1486">
        <f>' Enrol &amp; Rev'!F10</f>
        <v>2025</v>
      </c>
      <c r="E8" s="1469">
        <f>' Enrol &amp; Rev'!G10</f>
        <v>2026</v>
      </c>
      <c r="F8" s="1469">
        <f>+E9</f>
        <v>2027</v>
      </c>
      <c r="G8" s="1469">
        <f>+F9</f>
        <v>2028</v>
      </c>
      <c r="H8" s="1469">
        <f>+G9</f>
        <v>2029</v>
      </c>
      <c r="I8" s="1469">
        <f>+H9</f>
        <v>2030</v>
      </c>
      <c r="J8" s="1489">
        <f>+I9</f>
        <v>2031</v>
      </c>
      <c r="K8" s="248"/>
      <c r="L8" s="287"/>
      <c r="M8" s="1463"/>
      <c r="N8" s="1463"/>
      <c r="O8" s="1463"/>
      <c r="P8" s="1463"/>
      <c r="Q8" s="1463"/>
      <c r="R8" s="1463"/>
      <c r="S8" s="1463"/>
      <c r="T8" s="1463"/>
      <c r="U8" s="1463"/>
      <c r="V8" s="1463"/>
    </row>
    <row r="9" spans="1:23" ht="15.6">
      <c r="A9" s="290"/>
      <c r="D9" s="1490">
        <f>+D8+1</f>
        <v>2026</v>
      </c>
      <c r="E9" s="1491">
        <f t="shared" ref="E9:J9" si="0">+E8+1</f>
        <v>2027</v>
      </c>
      <c r="F9" s="1491">
        <f t="shared" si="0"/>
        <v>2028</v>
      </c>
      <c r="G9" s="1491">
        <f t="shared" si="0"/>
        <v>2029</v>
      </c>
      <c r="H9" s="1491">
        <f t="shared" si="0"/>
        <v>2030</v>
      </c>
      <c r="I9" s="1491">
        <f t="shared" si="0"/>
        <v>2031</v>
      </c>
      <c r="J9" s="1492">
        <f t="shared" si="0"/>
        <v>2032</v>
      </c>
      <c r="K9" s="249"/>
      <c r="L9" s="287"/>
      <c r="M9" s="1463"/>
      <c r="N9" s="1463"/>
      <c r="O9" s="1463"/>
      <c r="P9" s="1463"/>
      <c r="Q9" s="1463"/>
      <c r="R9" s="1463"/>
      <c r="S9" s="1463"/>
      <c r="T9" s="1463"/>
      <c r="U9" s="1463"/>
      <c r="V9" s="1463"/>
    </row>
    <row r="10" spans="1:23" ht="15.6">
      <c r="A10" s="290">
        <f>ROW()</f>
        <v>10</v>
      </c>
      <c r="B10" s="30" t="s">
        <v>211</v>
      </c>
      <c r="C10" s="30"/>
      <c r="D10" s="30"/>
      <c r="E10" s="208"/>
      <c r="F10" s="208"/>
      <c r="G10" s="208"/>
      <c r="H10" s="208"/>
      <c r="I10" s="208"/>
      <c r="J10" s="208"/>
      <c r="K10" s="248"/>
      <c r="L10" s="287"/>
      <c r="M10" s="1463"/>
      <c r="N10" s="1463"/>
      <c r="O10" s="1463"/>
      <c r="P10" s="1463"/>
      <c r="Q10" s="1463"/>
      <c r="R10" s="1463"/>
      <c r="S10" s="1463"/>
      <c r="T10" s="1463"/>
      <c r="U10" s="1463"/>
      <c r="V10" s="1463"/>
    </row>
    <row r="11" spans="1:23">
      <c r="A11" s="1563">
        <f>ROW()</f>
        <v>11</v>
      </c>
      <c r="B11" s="1564" t="s">
        <v>212</v>
      </c>
      <c r="C11" s="1564"/>
      <c r="D11" s="1565">
        <f t="shared" ref="D11:J11" si="1">COUNTIF(D14:D26,"&gt;0")</f>
        <v>0</v>
      </c>
      <c r="E11" s="1635">
        <f t="shared" si="1"/>
        <v>3</v>
      </c>
      <c r="F11" s="1636">
        <f t="shared" si="1"/>
        <v>4</v>
      </c>
      <c r="G11" s="1636">
        <f t="shared" si="1"/>
        <v>5</v>
      </c>
      <c r="H11" s="1636">
        <f t="shared" si="1"/>
        <v>6</v>
      </c>
      <c r="I11" s="1636">
        <f t="shared" si="1"/>
        <v>7</v>
      </c>
      <c r="J11" s="1637">
        <f t="shared" si="1"/>
        <v>7</v>
      </c>
      <c r="K11" s="250"/>
      <c r="L11" s="287"/>
      <c r="M11" s="1463"/>
      <c r="N11" s="1463"/>
      <c r="O11" s="1463"/>
      <c r="P11" s="1463"/>
      <c r="Q11" s="1463"/>
      <c r="R11" s="1463"/>
      <c r="S11" s="1463"/>
      <c r="T11" s="1463"/>
      <c r="U11" s="1463"/>
      <c r="V11" s="1463"/>
    </row>
    <row r="12" spans="1:23">
      <c r="A12" s="1563">
        <f>ROW()</f>
        <v>12</v>
      </c>
      <c r="B12" s="1566" t="s">
        <v>213</v>
      </c>
      <c r="C12" s="1566"/>
      <c r="D12" s="1567">
        <f>+' Enrol &amp; Rev'!F19</f>
        <v>0</v>
      </c>
      <c r="E12" s="1567">
        <f>+' Enrol &amp; Rev'!G19</f>
        <v>11.5</v>
      </c>
      <c r="F12" s="1568">
        <f>+' Enrol &amp; Rev'!H19</f>
        <v>15.5</v>
      </c>
      <c r="G12" s="1568">
        <f>+' Enrol &amp; Rev'!I19</f>
        <v>19.5</v>
      </c>
      <c r="H12" s="1568">
        <f>+' Enrol &amp; Rev'!J19</f>
        <v>23.5</v>
      </c>
      <c r="I12" s="1568">
        <f>+' Enrol &amp; Rev'!K19</f>
        <v>27.5</v>
      </c>
      <c r="J12" s="1569">
        <f>+' Enrol &amp; Rev'!L19</f>
        <v>28</v>
      </c>
      <c r="K12" s="250"/>
      <c r="L12" s="287"/>
      <c r="M12" s="1463"/>
      <c r="N12" s="1463"/>
      <c r="O12" s="1463"/>
      <c r="P12" s="1463"/>
      <c r="Q12" s="1463"/>
      <c r="R12" s="1463"/>
      <c r="S12" s="1463"/>
      <c r="T12" s="1463"/>
      <c r="U12" s="1463"/>
      <c r="V12" s="1463"/>
    </row>
    <row r="13" spans="1:23">
      <c r="A13" s="1563">
        <f>ROW()</f>
        <v>13</v>
      </c>
      <c r="B13" s="1564"/>
      <c r="C13" s="1564"/>
      <c r="D13" s="1570"/>
      <c r="E13" s="1570"/>
      <c r="F13" s="1570"/>
      <c r="G13" s="1570"/>
      <c r="H13" s="1570"/>
      <c r="I13" s="1570"/>
      <c r="J13" s="1570"/>
      <c r="K13" s="212"/>
      <c r="L13" s="287"/>
      <c r="M13" s="1463"/>
      <c r="N13" s="1463"/>
      <c r="O13" s="1463"/>
      <c r="P13" s="1463"/>
      <c r="Q13" s="1463"/>
      <c r="R13" s="1463"/>
      <c r="S13" s="1463"/>
      <c r="T13" s="1463"/>
      <c r="U13" s="1463"/>
      <c r="V13" s="1463"/>
      <c r="W13" s="1463"/>
    </row>
    <row r="14" spans="1:23">
      <c r="A14" s="1563">
        <f>ROW()</f>
        <v>14</v>
      </c>
      <c r="B14" s="1571" t="s">
        <v>214</v>
      </c>
      <c r="C14" s="1572"/>
      <c r="D14" s="1573">
        <f>' Enrol &amp; Rev'!F23</f>
        <v>0</v>
      </c>
      <c r="E14" s="1573">
        <f>' Enrol &amp; Rev'!G23</f>
        <v>0</v>
      </c>
      <c r="F14" s="1573">
        <f>' Enrol &amp; Rev'!H23</f>
        <v>0</v>
      </c>
      <c r="G14" s="1573">
        <f>' Enrol &amp; Rev'!I23</f>
        <v>0</v>
      </c>
      <c r="H14" s="1573">
        <f>' Enrol &amp; Rev'!J23</f>
        <v>0</v>
      </c>
      <c r="I14" s="1573">
        <f>' Enrol &amp; Rev'!K23</f>
        <v>0</v>
      </c>
      <c r="J14" s="1573">
        <f>' Enrol &amp; Rev'!L23</f>
        <v>0</v>
      </c>
      <c r="K14" s="51"/>
      <c r="L14" s="287"/>
      <c r="M14" s="1463"/>
      <c r="N14" s="1463"/>
      <c r="O14" s="1463"/>
      <c r="P14" s="1463"/>
      <c r="Q14" s="1463"/>
      <c r="R14" s="1463"/>
      <c r="S14" s="1463"/>
      <c r="T14" s="1463"/>
      <c r="U14" s="1463"/>
      <c r="V14" s="1463"/>
      <c r="W14" s="1463"/>
    </row>
    <row r="15" spans="1:23">
      <c r="A15" s="1563">
        <f>ROW()</f>
        <v>15</v>
      </c>
      <c r="B15" s="1506" t="s">
        <v>215</v>
      </c>
      <c r="C15" s="1574"/>
      <c r="D15" s="1575">
        <f>' Enrol &amp; Rev'!F24</f>
        <v>0</v>
      </c>
      <c r="E15" s="1575">
        <f>' Enrol &amp; Rev'!G24</f>
        <v>0</v>
      </c>
      <c r="F15" s="1575">
        <f>' Enrol &amp; Rev'!H24</f>
        <v>0</v>
      </c>
      <c r="G15" s="1575">
        <f>' Enrol &amp; Rev'!I24</f>
        <v>0</v>
      </c>
      <c r="H15" s="1575">
        <f>' Enrol &amp; Rev'!J24</f>
        <v>0</v>
      </c>
      <c r="I15" s="1575">
        <f>' Enrol &amp; Rev'!K24</f>
        <v>0</v>
      </c>
      <c r="J15" s="1575">
        <f>' Enrol &amp; Rev'!L24</f>
        <v>0</v>
      </c>
      <c r="K15" s="51"/>
      <c r="L15" s="287"/>
      <c r="M15" s="1463"/>
      <c r="N15" s="1463"/>
      <c r="O15" s="1463"/>
      <c r="P15" s="1463"/>
      <c r="Q15" s="1463"/>
      <c r="R15" s="1463"/>
      <c r="S15" s="1463"/>
      <c r="T15" s="1463"/>
      <c r="U15" s="1463"/>
      <c r="V15" s="1463"/>
      <c r="W15" s="1463"/>
    </row>
    <row r="16" spans="1:23">
      <c r="A16" s="1563">
        <f>ROW()</f>
        <v>16</v>
      </c>
      <c r="B16" s="1506" t="s">
        <v>216</v>
      </c>
      <c r="C16" s="1574"/>
      <c r="D16" s="1575">
        <f>' Enrol &amp; Rev'!F25</f>
        <v>0</v>
      </c>
      <c r="E16" s="1575">
        <f>' Enrol &amp; Rev'!G25</f>
        <v>0</v>
      </c>
      <c r="F16" s="1575">
        <f>' Enrol &amp; Rev'!H25</f>
        <v>0</v>
      </c>
      <c r="G16" s="1575">
        <f>' Enrol &amp; Rev'!I25</f>
        <v>0</v>
      </c>
      <c r="H16" s="1575">
        <f>' Enrol &amp; Rev'!J25</f>
        <v>0</v>
      </c>
      <c r="I16" s="1575">
        <f>' Enrol &amp; Rev'!K25</f>
        <v>0</v>
      </c>
      <c r="J16" s="1575">
        <f>' Enrol &amp; Rev'!L25</f>
        <v>0</v>
      </c>
      <c r="K16" s="51"/>
      <c r="L16" s="287"/>
      <c r="M16" s="1463"/>
      <c r="N16" s="1463"/>
      <c r="O16" s="1463"/>
      <c r="P16" s="1463"/>
      <c r="Q16" s="1463"/>
      <c r="R16" s="1463"/>
      <c r="S16" s="1463"/>
      <c r="T16" s="1463"/>
      <c r="U16" s="1463"/>
      <c r="V16" s="1463"/>
      <c r="W16" s="1463"/>
    </row>
    <row r="17" spans="1:23">
      <c r="A17" s="1563">
        <f>ROW()</f>
        <v>17</v>
      </c>
      <c r="B17" s="1506" t="s">
        <v>217</v>
      </c>
      <c r="C17" s="1574"/>
      <c r="D17" s="1575">
        <f>' Enrol &amp; Rev'!F26</f>
        <v>0</v>
      </c>
      <c r="E17" s="1575">
        <f>' Enrol &amp; Rev'!G26</f>
        <v>0</v>
      </c>
      <c r="F17" s="1575">
        <f>' Enrol &amp; Rev'!H26</f>
        <v>0</v>
      </c>
      <c r="G17" s="1575"/>
      <c r="H17" s="1575">
        <f>' Enrol &amp; Rev'!J26</f>
        <v>0</v>
      </c>
      <c r="I17" s="1575">
        <f>' Enrol &amp; Rev'!K26</f>
        <v>0</v>
      </c>
      <c r="J17" s="1575">
        <f>' Enrol &amp; Rev'!L26</f>
        <v>0</v>
      </c>
      <c r="K17" s="51"/>
      <c r="L17" s="287"/>
      <c r="M17" s="1463"/>
      <c r="N17" s="1463"/>
      <c r="O17" s="1463"/>
      <c r="P17" s="1463"/>
      <c r="Q17" s="1463"/>
      <c r="R17" s="1463"/>
      <c r="S17" s="1463"/>
      <c r="T17" s="1463"/>
      <c r="U17" s="1463"/>
      <c r="V17" s="1463"/>
      <c r="W17" s="1463"/>
    </row>
    <row r="18" spans="1:23">
      <c r="A18" s="1563">
        <f>ROW()</f>
        <v>18</v>
      </c>
      <c r="B18" s="1506" t="s">
        <v>218</v>
      </c>
      <c r="C18" s="1574"/>
      <c r="D18" s="1575">
        <f>' Enrol &amp; Rev'!F27</f>
        <v>0</v>
      </c>
      <c r="E18" s="1638">
        <f>' Enrol &amp; Rev'!G27</f>
        <v>0</v>
      </c>
      <c r="F18" s="1638">
        <f>' Enrol &amp; Rev'!H27</f>
        <v>0</v>
      </c>
      <c r="G18" s="1638">
        <f>' Enrol &amp; Rev'!I27</f>
        <v>0</v>
      </c>
      <c r="H18" s="1638">
        <f>' Enrol &amp; Rev'!J27</f>
        <v>0</v>
      </c>
      <c r="I18" s="1638">
        <f>' Enrol &amp; Rev'!K27</f>
        <v>0</v>
      </c>
      <c r="J18" s="1638">
        <f>' Enrol &amp; Rev'!L27</f>
        <v>0</v>
      </c>
      <c r="K18" s="51"/>
      <c r="L18" s="287"/>
      <c r="M18" s="1463"/>
      <c r="N18" s="1463"/>
      <c r="O18" s="1463"/>
      <c r="P18" s="1463"/>
      <c r="Q18" s="1463"/>
      <c r="R18" s="1463"/>
      <c r="S18" s="1463"/>
      <c r="T18" s="1463"/>
      <c r="U18" s="1463"/>
      <c r="V18" s="1463"/>
      <c r="W18" s="1463"/>
    </row>
    <row r="19" spans="1:23">
      <c r="A19" s="1563">
        <f>ROW()</f>
        <v>19</v>
      </c>
      <c r="B19" s="1506" t="s">
        <v>219</v>
      </c>
      <c r="C19" s="1574"/>
      <c r="D19" s="1575">
        <f>' Enrol &amp; Rev'!F28</f>
        <v>0</v>
      </c>
      <c r="E19" s="1638">
        <f>' Enrol &amp; Rev'!G28</f>
        <v>0</v>
      </c>
      <c r="F19" s="1638">
        <f>' Enrol &amp; Rev'!H28</f>
        <v>0</v>
      </c>
      <c r="G19" s="1638">
        <f>' Enrol &amp; Rev'!I28</f>
        <v>0</v>
      </c>
      <c r="H19" s="1638">
        <f>' Enrol &amp; Rev'!J28</f>
        <v>0</v>
      </c>
      <c r="I19" s="1638">
        <f>' Enrol &amp; Rev'!K28</f>
        <v>0</v>
      </c>
      <c r="J19" s="1638">
        <f>' Enrol &amp; Rev'!L28</f>
        <v>0</v>
      </c>
      <c r="K19" s="51"/>
      <c r="L19" s="287"/>
      <c r="M19" s="1463"/>
      <c r="N19" s="1463"/>
      <c r="O19" s="1463"/>
      <c r="P19" s="1463"/>
      <c r="Q19" s="1463"/>
      <c r="R19" s="1463"/>
      <c r="S19" s="1463"/>
      <c r="T19" s="1463"/>
      <c r="U19" s="1463"/>
      <c r="V19" s="1463"/>
      <c r="W19" s="1463"/>
    </row>
    <row r="20" spans="1:23">
      <c r="A20" s="1563">
        <f>ROW()</f>
        <v>20</v>
      </c>
      <c r="B20" s="1506" t="s">
        <v>220</v>
      </c>
      <c r="C20" s="1574"/>
      <c r="D20" s="1575">
        <f>' Enrol &amp; Rev'!F29</f>
        <v>0</v>
      </c>
      <c r="E20" s="1638">
        <f>' Enrol &amp; Rev'!G29</f>
        <v>80</v>
      </c>
      <c r="F20" s="1638">
        <f>' Enrol &amp; Rev'!H29</f>
        <v>80</v>
      </c>
      <c r="G20" s="1638">
        <f>' Enrol &amp; Rev'!I29</f>
        <v>80</v>
      </c>
      <c r="H20" s="1638">
        <f>' Enrol &amp; Rev'!J29</f>
        <v>80</v>
      </c>
      <c r="I20" s="1638">
        <f>' Enrol &amp; Rev'!K29</f>
        <v>80</v>
      </c>
      <c r="J20" s="1638">
        <f>' Enrol &amp; Rev'!L29</f>
        <v>80</v>
      </c>
      <c r="K20" s="51"/>
      <c r="L20" s="287"/>
      <c r="M20" s="1463"/>
      <c r="N20" s="1463"/>
      <c r="O20" s="1463"/>
      <c r="P20" s="1463"/>
      <c r="Q20" s="1463"/>
      <c r="R20" s="1463"/>
      <c r="S20" s="1463"/>
      <c r="T20" s="1463"/>
      <c r="U20" s="1463"/>
      <c r="V20" s="1463"/>
      <c r="W20" s="1463"/>
    </row>
    <row r="21" spans="1:23">
      <c r="A21" s="1563">
        <f>ROW()</f>
        <v>21</v>
      </c>
      <c r="B21" s="1506" t="s">
        <v>221</v>
      </c>
      <c r="C21" s="1574"/>
      <c r="D21" s="1575">
        <f>' Enrol &amp; Rev'!F30</f>
        <v>0</v>
      </c>
      <c r="E21" s="1575">
        <f>' Enrol &amp; Rev'!G30</f>
        <v>80</v>
      </c>
      <c r="F21" s="1575">
        <f>' Enrol &amp; Rev'!H30</f>
        <v>80</v>
      </c>
      <c r="G21" s="1575">
        <f>' Enrol &amp; Rev'!I30</f>
        <v>80</v>
      </c>
      <c r="H21" s="1575">
        <f>' Enrol &amp; Rev'!J30</f>
        <v>80</v>
      </c>
      <c r="I21" s="1575">
        <f>' Enrol &amp; Rev'!K30</f>
        <v>80</v>
      </c>
      <c r="J21" s="1575">
        <f>' Enrol &amp; Rev'!L30</f>
        <v>80</v>
      </c>
      <c r="K21" s="51"/>
      <c r="L21" s="287"/>
      <c r="M21" s="1463"/>
      <c r="N21" s="1463"/>
      <c r="O21" s="1463"/>
      <c r="P21" s="1463"/>
      <c r="Q21" s="1463"/>
      <c r="R21" s="1463"/>
      <c r="S21" s="1463"/>
      <c r="T21" s="1463"/>
      <c r="U21" s="1463"/>
      <c r="V21" s="1463"/>
    </row>
    <row r="22" spans="1:23">
      <c r="A22" s="1563">
        <f>ROW()</f>
        <v>22</v>
      </c>
      <c r="B22" s="1506" t="s">
        <v>222</v>
      </c>
      <c r="C22" s="1574"/>
      <c r="D22" s="1575">
        <f>' Enrol &amp; Rev'!F31</f>
        <v>0</v>
      </c>
      <c r="E22" s="1575">
        <f>' Enrol &amp; Rev'!G31</f>
        <v>70</v>
      </c>
      <c r="F22" s="1575">
        <f>' Enrol &amp; Rev'!H31</f>
        <v>80</v>
      </c>
      <c r="G22" s="1575">
        <f>' Enrol &amp; Rev'!I31</f>
        <v>80</v>
      </c>
      <c r="H22" s="1575">
        <f>' Enrol &amp; Rev'!J31</f>
        <v>80</v>
      </c>
      <c r="I22" s="1575">
        <f>' Enrol &amp; Rev'!K31</f>
        <v>80</v>
      </c>
      <c r="J22" s="1575">
        <f>' Enrol &amp; Rev'!L31</f>
        <v>80</v>
      </c>
      <c r="K22" s="51"/>
      <c r="L22" s="287"/>
      <c r="M22" s="1463"/>
      <c r="N22" s="1463"/>
      <c r="O22" s="1463"/>
      <c r="P22" s="1463"/>
      <c r="Q22" s="1463"/>
      <c r="R22" s="1463"/>
      <c r="S22" s="1463"/>
      <c r="T22" s="1463"/>
      <c r="U22" s="1463"/>
      <c r="V22" s="1463"/>
    </row>
    <row r="23" spans="1:23">
      <c r="A23" s="1563">
        <f>ROW()</f>
        <v>23</v>
      </c>
      <c r="B23" s="1506" t="s">
        <v>223</v>
      </c>
      <c r="C23" s="1574"/>
      <c r="D23" s="1575">
        <f>' Enrol &amp; Rev'!F32</f>
        <v>0</v>
      </c>
      <c r="E23" s="1575">
        <f>' Enrol &amp; Rev'!G32</f>
        <v>0</v>
      </c>
      <c r="F23" s="1575">
        <f>' Enrol &amp; Rev'!H32</f>
        <v>70</v>
      </c>
      <c r="G23" s="1575">
        <f>' Enrol &amp; Rev'!I32</f>
        <v>80</v>
      </c>
      <c r="H23" s="1575">
        <f>' Enrol &amp; Rev'!J32</f>
        <v>80</v>
      </c>
      <c r="I23" s="1575">
        <f>' Enrol &amp; Rev'!K32</f>
        <v>80</v>
      </c>
      <c r="J23" s="1575">
        <f>' Enrol &amp; Rev'!L32</f>
        <v>80</v>
      </c>
      <c r="K23" s="51"/>
      <c r="L23" s="287"/>
      <c r="M23" s="1463"/>
      <c r="N23" s="1463"/>
      <c r="O23" s="1463"/>
      <c r="P23" s="1463"/>
      <c r="Q23" s="1463"/>
      <c r="R23" s="1463"/>
      <c r="S23" s="1463"/>
      <c r="T23" s="1463"/>
      <c r="U23" s="1463"/>
      <c r="V23" s="1463"/>
    </row>
    <row r="24" spans="1:23">
      <c r="A24" s="1563">
        <f>ROW()</f>
        <v>24</v>
      </c>
      <c r="B24" s="1506" t="s">
        <v>224</v>
      </c>
      <c r="C24" s="1574"/>
      <c r="D24" s="1575">
        <f>' Enrol &amp; Rev'!F33</f>
        <v>0</v>
      </c>
      <c r="E24" s="1575">
        <f>' Enrol &amp; Rev'!G33</f>
        <v>0</v>
      </c>
      <c r="F24" s="1575">
        <f>' Enrol &amp; Rev'!H33</f>
        <v>0</v>
      </c>
      <c r="G24" s="1575">
        <f>' Enrol &amp; Rev'!I33</f>
        <v>70</v>
      </c>
      <c r="H24" s="1575">
        <f>' Enrol &amp; Rev'!J33</f>
        <v>80</v>
      </c>
      <c r="I24" s="1575">
        <f>' Enrol &amp; Rev'!K33</f>
        <v>80</v>
      </c>
      <c r="J24" s="1575">
        <f>' Enrol &amp; Rev'!L33</f>
        <v>80</v>
      </c>
      <c r="K24" s="51"/>
      <c r="L24" s="287"/>
      <c r="M24" s="1463"/>
      <c r="N24" s="1463"/>
      <c r="O24" s="1463"/>
      <c r="P24" s="1463"/>
      <c r="Q24" s="1463"/>
      <c r="R24" s="1463"/>
      <c r="S24" s="1463"/>
      <c r="T24" s="1463"/>
      <c r="U24" s="1463"/>
      <c r="V24" s="1463"/>
    </row>
    <row r="25" spans="1:23">
      <c r="A25" s="1563">
        <f>ROW()</f>
        <v>25</v>
      </c>
      <c r="B25" s="1506" t="s">
        <v>225</v>
      </c>
      <c r="C25" s="1574"/>
      <c r="D25" s="1575">
        <f>' Enrol &amp; Rev'!F34</f>
        <v>0</v>
      </c>
      <c r="E25" s="1575">
        <f>' Enrol &amp; Rev'!G34</f>
        <v>0</v>
      </c>
      <c r="F25" s="1575">
        <f>' Enrol &amp; Rev'!H34</f>
        <v>0</v>
      </c>
      <c r="G25" s="1575">
        <f>' Enrol &amp; Rev'!I34</f>
        <v>0</v>
      </c>
      <c r="H25" s="1575">
        <f>' Enrol &amp; Rev'!J34</f>
        <v>70</v>
      </c>
      <c r="I25" s="1575">
        <f>' Enrol &amp; Rev'!K34</f>
        <v>80</v>
      </c>
      <c r="J25" s="1575">
        <f>' Enrol &amp; Rev'!L34</f>
        <v>80</v>
      </c>
      <c r="K25" s="51"/>
      <c r="L25" s="287"/>
      <c r="M25" s="1463"/>
      <c r="N25" s="1463"/>
      <c r="O25" s="1463"/>
      <c r="P25" s="1463"/>
      <c r="Q25" s="1463"/>
      <c r="R25" s="1463"/>
      <c r="S25" s="1463"/>
      <c r="T25" s="1463"/>
      <c r="U25" s="1463"/>
      <c r="V25" s="1463"/>
    </row>
    <row r="26" spans="1:23">
      <c r="A26" s="1563">
        <f>ROW()</f>
        <v>26</v>
      </c>
      <c r="B26" s="1576" t="s">
        <v>226</v>
      </c>
      <c r="C26" s="1577"/>
      <c r="D26" s="1578">
        <f>' Enrol &amp; Rev'!F35</f>
        <v>0</v>
      </c>
      <c r="E26" s="1578">
        <f>' Enrol &amp; Rev'!G35</f>
        <v>0</v>
      </c>
      <c r="F26" s="1578">
        <f>' Enrol &amp; Rev'!H35</f>
        <v>0</v>
      </c>
      <c r="G26" s="1578">
        <f>' Enrol &amp; Rev'!I35</f>
        <v>0</v>
      </c>
      <c r="H26" s="1578">
        <f>' Enrol &amp; Rev'!J35</f>
        <v>0</v>
      </c>
      <c r="I26" s="1578">
        <f>' Enrol &amp; Rev'!K35</f>
        <v>70</v>
      </c>
      <c r="J26" s="1578">
        <f>' Enrol &amp; Rev'!L35</f>
        <v>80</v>
      </c>
      <c r="K26" s="51"/>
      <c r="L26" s="287"/>
      <c r="M26" s="1463"/>
      <c r="N26" s="1463"/>
      <c r="O26" s="1463"/>
      <c r="P26" s="1463"/>
      <c r="Q26" s="1463"/>
      <c r="R26" s="1463"/>
      <c r="S26" s="1463"/>
      <c r="T26" s="1463"/>
      <c r="U26" s="1463"/>
      <c r="V26" s="1463"/>
    </row>
    <row r="27" spans="1:23">
      <c r="A27" s="290">
        <f>ROW()</f>
        <v>27</v>
      </c>
      <c r="B27" s="143" t="s">
        <v>227</v>
      </c>
      <c r="C27" s="143"/>
      <c r="D27" s="152">
        <f t="shared" ref="D27:J27" si="2">SUM(D14:D26)</f>
        <v>0</v>
      </c>
      <c r="E27" s="152">
        <f t="shared" si="2"/>
        <v>230</v>
      </c>
      <c r="F27" s="152">
        <f t="shared" si="2"/>
        <v>310</v>
      </c>
      <c r="G27" s="152">
        <f t="shared" si="2"/>
        <v>390</v>
      </c>
      <c r="H27" s="152">
        <f t="shared" si="2"/>
        <v>470</v>
      </c>
      <c r="I27" s="152">
        <f t="shared" si="2"/>
        <v>550</v>
      </c>
      <c r="J27" s="152">
        <f t="shared" si="2"/>
        <v>560</v>
      </c>
      <c r="K27" s="152"/>
      <c r="L27" s="287"/>
      <c r="M27" s="1463"/>
      <c r="N27" s="1463"/>
      <c r="O27" s="1463"/>
      <c r="P27" s="1463"/>
      <c r="Q27" s="1463"/>
      <c r="R27" s="1463"/>
      <c r="S27" s="1463"/>
      <c r="T27" s="1463"/>
      <c r="U27" s="1463"/>
      <c r="V27" s="1463"/>
    </row>
    <row r="28" spans="1:23">
      <c r="A28" s="290">
        <f>ROW()</f>
        <v>28</v>
      </c>
      <c r="B28" s="39" t="s">
        <v>228</v>
      </c>
      <c r="C28" s="39"/>
      <c r="D28" s="103"/>
      <c r="E28" s="103">
        <f>IFERROR(E27/E12,0)</f>
        <v>20</v>
      </c>
      <c r="F28" s="103">
        <f t="shared" ref="F28:J28" si="3">IFERROR(F27/F12,0)</f>
        <v>20</v>
      </c>
      <c r="G28" s="103">
        <f t="shared" si="3"/>
        <v>20</v>
      </c>
      <c r="H28" s="103">
        <f t="shared" si="3"/>
        <v>20</v>
      </c>
      <c r="I28" s="103">
        <f t="shared" si="3"/>
        <v>20</v>
      </c>
      <c r="J28" s="103">
        <f t="shared" si="3"/>
        <v>20</v>
      </c>
      <c r="K28" s="103"/>
      <c r="L28" s="287"/>
      <c r="M28" s="1463"/>
      <c r="N28" s="1463"/>
      <c r="O28" s="1463"/>
      <c r="P28" s="1463"/>
      <c r="Q28" s="1463"/>
      <c r="R28" s="1463"/>
      <c r="S28" s="1463"/>
      <c r="T28" s="1463"/>
      <c r="U28" s="1463"/>
      <c r="V28" s="1463"/>
    </row>
    <row r="29" spans="1:23">
      <c r="A29" s="290">
        <f>ROW()</f>
        <v>29</v>
      </c>
      <c r="B29" s="39" t="s">
        <v>229</v>
      </c>
      <c r="C29" s="39"/>
      <c r="D29" s="103"/>
      <c r="E29" s="310">
        <f>IFERROR(IF(AND(E27,$H$71)&gt;0,E27/$H71,0),0)</f>
        <v>0</v>
      </c>
      <c r="F29" s="311">
        <f t="shared" ref="F29:J29" si="4">IFERROR(IF(AND(F27,$H$71)&gt;0,F27/$H71,0),0)</f>
        <v>0</v>
      </c>
      <c r="G29" s="311">
        <f t="shared" si="4"/>
        <v>0</v>
      </c>
      <c r="H29" s="311">
        <f t="shared" si="4"/>
        <v>0</v>
      </c>
      <c r="I29" s="311">
        <f t="shared" si="4"/>
        <v>0</v>
      </c>
      <c r="J29" s="311">
        <f t="shared" si="4"/>
        <v>0</v>
      </c>
      <c r="K29" s="103"/>
      <c r="L29" s="287"/>
      <c r="M29" s="1463"/>
      <c r="N29" s="1463"/>
      <c r="O29" s="1463"/>
      <c r="P29" s="1463"/>
      <c r="Q29" s="1463"/>
      <c r="R29" s="1463"/>
      <c r="S29" s="1463"/>
      <c r="T29" s="1463"/>
      <c r="U29" s="1463"/>
      <c r="V29" s="1463"/>
    </row>
    <row r="30" spans="1:23">
      <c r="A30" s="290">
        <f>ROW()</f>
        <v>30</v>
      </c>
      <c r="B30" s="39" t="s">
        <v>230</v>
      </c>
      <c r="C30" s="39"/>
      <c r="D30" s="103"/>
      <c r="E30" s="310">
        <f t="shared" ref="E30:J30" si="5">IFERROR(IF(AND(E27,$H$101)&gt;0,E27/$H101,0),0)</f>
        <v>0</v>
      </c>
      <c r="F30" s="310">
        <f t="shared" si="5"/>
        <v>0</v>
      </c>
      <c r="G30" s="310">
        <f t="shared" si="5"/>
        <v>0</v>
      </c>
      <c r="H30" s="310">
        <f t="shared" si="5"/>
        <v>0</v>
      </c>
      <c r="I30" s="310">
        <f t="shared" si="5"/>
        <v>0</v>
      </c>
      <c r="J30" s="310">
        <f t="shared" si="5"/>
        <v>0</v>
      </c>
      <c r="K30" s="103"/>
      <c r="L30" s="287"/>
      <c r="M30" s="1463"/>
      <c r="N30" s="1463"/>
      <c r="O30" s="1463"/>
      <c r="P30" s="1463"/>
      <c r="Q30" s="1463"/>
      <c r="R30" s="1463"/>
      <c r="S30" s="1463"/>
      <c r="T30" s="1463"/>
      <c r="U30" s="1463"/>
      <c r="V30" s="1463"/>
    </row>
    <row r="31" spans="1:23">
      <c r="A31" s="290">
        <f>ROW()</f>
        <v>31</v>
      </c>
      <c r="B31" s="139" t="s">
        <v>231</v>
      </c>
      <c r="C31" s="39"/>
      <c r="D31" s="103"/>
      <c r="E31" s="310"/>
      <c r="F31" s="311"/>
      <c r="G31" s="311"/>
      <c r="H31" s="311"/>
      <c r="I31" s="311"/>
      <c r="J31" s="311"/>
      <c r="K31" s="103"/>
      <c r="L31" s="287"/>
      <c r="M31" s="1463"/>
      <c r="N31" s="1463"/>
      <c r="O31" s="1463"/>
      <c r="P31" s="1463"/>
      <c r="Q31" s="1463"/>
      <c r="R31" s="1463"/>
      <c r="S31" s="1463"/>
      <c r="T31" s="1463"/>
      <c r="U31" s="1463"/>
      <c r="V31" s="1463"/>
    </row>
    <row r="32" spans="1:23">
      <c r="A32" s="290">
        <f>ROW()</f>
        <v>32</v>
      </c>
      <c r="B32" s="139"/>
      <c r="C32" s="39"/>
      <c r="D32" s="103"/>
      <c r="E32" s="310"/>
      <c r="F32" s="311"/>
      <c r="G32" s="311"/>
      <c r="H32" s="311"/>
      <c r="I32" s="311"/>
      <c r="J32" s="311"/>
      <c r="K32" s="103"/>
      <c r="L32" s="287"/>
      <c r="M32" s="1463"/>
      <c r="N32" s="1463"/>
      <c r="O32" s="1463"/>
      <c r="P32" s="1463"/>
      <c r="Q32" s="1463"/>
      <c r="R32" s="1463"/>
      <c r="S32" s="1463"/>
      <c r="T32" s="1463"/>
      <c r="U32" s="1463"/>
      <c r="V32" s="1463"/>
    </row>
    <row r="33" spans="1:22">
      <c r="A33" s="290">
        <f>ROW()</f>
        <v>33</v>
      </c>
      <c r="B33" s="44" t="s">
        <v>1198</v>
      </c>
      <c r="C33" s="39"/>
      <c r="D33" s="1397"/>
      <c r="E33" s="310"/>
      <c r="F33" s="311"/>
      <c r="G33" s="311"/>
      <c r="H33" s="311"/>
      <c r="I33" s="311"/>
      <c r="J33" s="311"/>
      <c r="K33" s="103"/>
      <c r="L33" s="287"/>
      <c r="M33" s="1463"/>
      <c r="N33" s="1463"/>
      <c r="O33" s="1463"/>
      <c r="P33" s="1463"/>
      <c r="Q33" s="1463"/>
      <c r="R33" s="1463"/>
      <c r="S33" s="1463"/>
      <c r="T33" s="1463"/>
      <c r="U33" s="1463"/>
      <c r="V33" s="1463"/>
    </row>
    <row r="34" spans="1:22">
      <c r="A34" s="290">
        <f>ROW()</f>
        <v>34</v>
      </c>
      <c r="B34" s="30" t="s">
        <v>1194</v>
      </c>
      <c r="D34" s="1397"/>
      <c r="E34" s="1398"/>
      <c r="F34" s="1398"/>
      <c r="G34" s="1398"/>
      <c r="H34" s="1398"/>
      <c r="I34" s="1398"/>
      <c r="J34" s="1398"/>
      <c r="K34" s="103"/>
      <c r="L34" s="287"/>
      <c r="M34" s="1463"/>
      <c r="N34" s="1463"/>
      <c r="O34" s="1463"/>
      <c r="P34" s="1463"/>
      <c r="Q34" s="1463"/>
      <c r="R34" s="1463"/>
      <c r="S34" s="1463"/>
      <c r="T34" s="1463"/>
      <c r="U34" s="1463"/>
      <c r="V34" s="1463"/>
    </row>
    <row r="35" spans="1:22">
      <c r="A35" s="290">
        <f>ROW()</f>
        <v>35</v>
      </c>
      <c r="B35" s="30" t="s">
        <v>1195</v>
      </c>
      <c r="D35" s="1397"/>
      <c r="E35" s="1397"/>
      <c r="F35" s="1397"/>
      <c r="G35" s="1397"/>
      <c r="H35" s="1397"/>
      <c r="I35" s="1397"/>
      <c r="J35" s="1397"/>
      <c r="K35" s="103"/>
      <c r="L35" s="287"/>
      <c r="M35" s="1463"/>
      <c r="N35" s="1463"/>
      <c r="O35" s="1463"/>
      <c r="P35" s="1463"/>
      <c r="Q35" s="1463"/>
      <c r="R35" s="1463"/>
      <c r="S35" s="1463"/>
      <c r="T35" s="1463"/>
      <c r="U35" s="1463"/>
      <c r="V35" s="1463"/>
    </row>
    <row r="36" spans="1:22">
      <c r="A36" s="290">
        <f>ROW()</f>
        <v>36</v>
      </c>
      <c r="B36" s="30" t="s">
        <v>1196</v>
      </c>
      <c r="D36" s="1465"/>
      <c r="K36" s="103"/>
      <c r="L36" s="287"/>
      <c r="M36" s="1463"/>
      <c r="N36" s="1463"/>
      <c r="O36" s="1463"/>
      <c r="P36" s="1463"/>
      <c r="Q36" s="1463"/>
      <c r="R36" s="1463"/>
      <c r="S36" s="1463"/>
      <c r="T36" s="1463"/>
      <c r="U36" s="1463"/>
      <c r="V36" s="1463"/>
    </row>
    <row r="37" spans="1:22">
      <c r="A37" s="290">
        <f>ROW()</f>
        <v>37</v>
      </c>
      <c r="B37" s="30" t="s">
        <v>1197</v>
      </c>
      <c r="D37" s="1465"/>
      <c r="E37" s="1398"/>
      <c r="F37" s="1398"/>
      <c r="G37" s="1398"/>
      <c r="H37" s="1398"/>
      <c r="I37" s="1398"/>
      <c r="J37" s="1398"/>
      <c r="K37" s="103"/>
      <c r="L37" s="287"/>
      <c r="M37" s="1463"/>
      <c r="N37" s="1463"/>
      <c r="O37" s="1463"/>
      <c r="P37" s="1463"/>
      <c r="Q37" s="1463"/>
      <c r="R37" s="1463"/>
      <c r="S37" s="1463"/>
      <c r="T37" s="1463"/>
      <c r="U37" s="1463"/>
      <c r="V37" s="1463"/>
    </row>
    <row r="38" spans="1:22">
      <c r="A38" s="290">
        <f>ROW()</f>
        <v>38</v>
      </c>
      <c r="B38" s="30"/>
      <c r="D38" s="1397"/>
      <c r="E38" s="1397"/>
      <c r="F38" s="1397"/>
      <c r="G38" s="1397"/>
      <c r="H38" s="1397"/>
      <c r="I38" s="1397"/>
      <c r="J38" s="1397"/>
      <c r="K38" s="103"/>
      <c r="L38" s="287"/>
      <c r="M38" s="1463"/>
      <c r="N38" s="1463"/>
      <c r="O38" s="1463"/>
      <c r="P38" s="1463"/>
      <c r="Q38" s="1463"/>
      <c r="R38" s="1463"/>
      <c r="S38" s="1463"/>
      <c r="T38" s="1463"/>
      <c r="U38" s="1463"/>
      <c r="V38" s="1463"/>
    </row>
    <row r="39" spans="1:22">
      <c r="A39" s="290">
        <f>ROW()</f>
        <v>39</v>
      </c>
      <c r="B39" s="30"/>
      <c r="D39" s="1465"/>
      <c r="E39" s="1397"/>
      <c r="F39" s="1397"/>
      <c r="G39" s="1397"/>
      <c r="H39" s="1397"/>
      <c r="I39" s="1397"/>
      <c r="J39" s="1397"/>
      <c r="K39" s="103"/>
      <c r="L39" s="287"/>
      <c r="M39" s="1463"/>
      <c r="N39" s="1463"/>
      <c r="O39" s="1463"/>
      <c r="P39" s="1463"/>
      <c r="Q39" s="1463"/>
      <c r="R39" s="1463"/>
      <c r="S39" s="1463"/>
      <c r="T39" s="1463"/>
      <c r="U39" s="1463"/>
      <c r="V39" s="1463"/>
    </row>
    <row r="40" spans="1:22">
      <c r="A40" s="290">
        <f>ROW()</f>
        <v>40</v>
      </c>
      <c r="B40" s="30"/>
      <c r="D40" s="1397"/>
      <c r="E40" s="1398"/>
      <c r="F40" s="1398"/>
      <c r="G40" s="1398"/>
      <c r="H40" s="1398"/>
      <c r="I40" s="1398"/>
      <c r="J40" s="1398"/>
      <c r="K40" s="103"/>
      <c r="L40" s="287"/>
      <c r="M40" s="1463"/>
      <c r="N40" s="1463"/>
      <c r="O40" s="1463"/>
      <c r="P40" s="1463"/>
      <c r="Q40" s="1463"/>
      <c r="R40" s="1463"/>
      <c r="S40" s="1463"/>
      <c r="T40" s="1463"/>
      <c r="U40" s="1463"/>
      <c r="V40" s="1463"/>
    </row>
    <row r="41" spans="1:22">
      <c r="A41" s="290">
        <f>ROW()</f>
        <v>41</v>
      </c>
      <c r="C41" s="30"/>
      <c r="D41" s="1465"/>
      <c r="E41" s="1397"/>
      <c r="F41" s="1397"/>
      <c r="G41" s="1397"/>
      <c r="H41" s="1397"/>
      <c r="I41" s="1397"/>
      <c r="J41" s="1397"/>
      <c r="K41" s="103"/>
      <c r="L41" s="287"/>
      <c r="M41" s="1463"/>
      <c r="N41" s="1463"/>
      <c r="O41" s="1463"/>
      <c r="P41" s="1463"/>
      <c r="Q41" s="1463"/>
      <c r="R41" s="1463"/>
      <c r="S41" s="1463"/>
      <c r="T41" s="1463"/>
      <c r="U41" s="1463"/>
      <c r="V41" s="1463"/>
    </row>
    <row r="42" spans="1:22">
      <c r="A42" s="290">
        <f>ROW()</f>
        <v>42</v>
      </c>
      <c r="C42" s="30"/>
      <c r="D42" s="1466"/>
      <c r="E42" s="1398"/>
      <c r="F42" s="1398"/>
      <c r="G42" s="1398"/>
      <c r="H42" s="1398"/>
      <c r="I42" s="1398"/>
      <c r="J42" s="1398"/>
      <c r="K42" s="103"/>
      <c r="L42" s="287"/>
      <c r="M42" s="1463"/>
      <c r="N42" s="1463"/>
      <c r="O42" s="1463"/>
      <c r="P42" s="1463"/>
      <c r="Q42" s="1463"/>
      <c r="R42" s="1463"/>
      <c r="S42" s="1463"/>
      <c r="T42" s="1463"/>
      <c r="U42" s="1463"/>
      <c r="V42" s="1463"/>
    </row>
    <row r="43" spans="1:22">
      <c r="A43" s="290">
        <f>ROW()</f>
        <v>43</v>
      </c>
      <c r="E43" s="1397"/>
      <c r="F43" s="1397"/>
      <c r="G43" s="1397"/>
      <c r="H43" s="1397"/>
      <c r="I43" s="1397"/>
      <c r="J43" s="1397"/>
      <c r="K43" s="68"/>
      <c r="L43" s="287"/>
      <c r="M43" s="1463"/>
      <c r="N43" s="1463"/>
      <c r="O43" s="1463"/>
      <c r="P43" s="1463"/>
      <c r="Q43" s="1463"/>
      <c r="R43" s="1463"/>
      <c r="S43" s="1463"/>
      <c r="T43" s="1463"/>
      <c r="U43" s="1463"/>
      <c r="V43" s="1463"/>
    </row>
    <row r="44" spans="1:22">
      <c r="A44" s="290">
        <f>ROW()</f>
        <v>44</v>
      </c>
      <c r="E44" s="49"/>
      <c r="F44" s="49"/>
      <c r="G44" s="49"/>
      <c r="H44" s="49"/>
      <c r="I44" s="49"/>
      <c r="J44" s="49"/>
      <c r="K44" s="68"/>
      <c r="L44" s="287"/>
      <c r="M44" s="1463"/>
      <c r="N44" s="1463"/>
      <c r="O44" s="1463"/>
      <c r="P44" s="1463"/>
      <c r="Q44" s="1463"/>
      <c r="R44" s="1463"/>
      <c r="S44" s="1463"/>
      <c r="T44" s="1463"/>
      <c r="U44" s="1463"/>
      <c r="V44" s="1463"/>
    </row>
    <row r="45" spans="1:22">
      <c r="A45" s="290">
        <f>ROW()</f>
        <v>45</v>
      </c>
      <c r="C45" s="30"/>
      <c r="D45" s="30"/>
      <c r="E45" s="1399"/>
      <c r="F45" s="1399"/>
      <c r="G45" s="1399"/>
      <c r="H45" s="1399"/>
      <c r="I45" s="1399"/>
      <c r="J45" s="1399"/>
      <c r="K45" s="68"/>
      <c r="L45" s="287"/>
      <c r="M45" s="1463"/>
      <c r="N45" s="1463"/>
      <c r="O45" s="1463"/>
      <c r="P45" s="1463"/>
      <c r="Q45" s="1463"/>
      <c r="R45" s="1463"/>
      <c r="S45" s="1463"/>
      <c r="T45" s="1463"/>
      <c r="U45" s="1463"/>
      <c r="V45" s="1463"/>
    </row>
    <row r="46" spans="1:22">
      <c r="A46" s="290">
        <f>ROW()</f>
        <v>46</v>
      </c>
      <c r="C46" s="44"/>
      <c r="D46" s="44"/>
      <c r="E46" s="39"/>
      <c r="F46" s="67"/>
      <c r="G46" s="68"/>
      <c r="H46" s="68"/>
      <c r="I46" s="68"/>
      <c r="J46" s="68"/>
      <c r="K46" s="68"/>
      <c r="L46" s="287"/>
      <c r="M46" s="1463"/>
      <c r="N46" s="1463"/>
      <c r="O46" s="1463"/>
      <c r="P46" s="1463"/>
      <c r="Q46" s="1463"/>
      <c r="R46" s="1463"/>
      <c r="S46" s="1463"/>
      <c r="T46" s="1463"/>
      <c r="U46" s="1463"/>
      <c r="V46" s="1463"/>
    </row>
    <row r="47" spans="1:22" ht="15.6">
      <c r="A47" s="165" t="s">
        <v>232</v>
      </c>
      <c r="B47" s="44"/>
      <c r="C47" s="44"/>
      <c r="D47" s="44"/>
      <c r="F47" s="67"/>
      <c r="G47" s="68"/>
      <c r="H47" s="68"/>
      <c r="L47" s="287"/>
      <c r="M47" s="1463"/>
      <c r="N47" s="1463"/>
      <c r="O47" s="1463"/>
      <c r="P47" s="1463"/>
      <c r="Q47" s="1463"/>
      <c r="R47" s="1463"/>
      <c r="S47" s="1463"/>
      <c r="T47" s="1463"/>
      <c r="U47" s="1463"/>
      <c r="V47" s="1463"/>
    </row>
    <row r="48" spans="1:22" ht="46.5" customHeight="1">
      <c r="A48" s="697"/>
      <c r="B48" s="1845" t="s">
        <v>233</v>
      </c>
      <c r="C48" s="1845"/>
      <c r="D48" s="1467"/>
      <c r="E48" s="1468" t="s">
        <v>234</v>
      </c>
      <c r="F48" s="1469" t="s">
        <v>235</v>
      </c>
      <c r="G48" s="1470" t="s">
        <v>236</v>
      </c>
      <c r="H48" s="1468" t="s">
        <v>237</v>
      </c>
      <c r="I48" s="1471" t="s">
        <v>1365</v>
      </c>
      <c r="K48" s="46"/>
      <c r="L48" s="749"/>
      <c r="M48" s="1463"/>
      <c r="N48" s="1463"/>
      <c r="O48" s="1463"/>
      <c r="P48" s="1463"/>
      <c r="Q48" s="1463"/>
      <c r="R48" s="1463"/>
      <c r="S48" s="1463"/>
      <c r="T48" s="1463"/>
      <c r="U48" s="1463"/>
      <c r="V48" s="1463"/>
    </row>
    <row r="49" spans="1:22">
      <c r="A49" s="698">
        <f>ROW()</f>
        <v>49</v>
      </c>
      <c r="B49" s="1843" t="s">
        <v>238</v>
      </c>
      <c r="C49" s="1843"/>
      <c r="D49" s="1843"/>
      <c r="E49" s="1472"/>
      <c r="F49" s="1472"/>
      <c r="G49" s="1473"/>
      <c r="H49" s="1474"/>
      <c r="I49" s="1475"/>
      <c r="K49" s="46"/>
      <c r="L49" s="287"/>
      <c r="M49" s="1463"/>
      <c r="N49" s="1463"/>
      <c r="O49" s="1463"/>
      <c r="P49" s="1463"/>
      <c r="Q49" s="1463"/>
      <c r="R49" s="1463"/>
      <c r="S49" s="1463"/>
      <c r="T49" s="1463"/>
      <c r="U49" s="1463"/>
      <c r="V49" s="1463"/>
    </row>
    <row r="50" spans="1:22">
      <c r="A50" s="515">
        <f>ROW()</f>
        <v>50</v>
      </c>
      <c r="B50" s="1844"/>
      <c r="C50" s="1844"/>
      <c r="D50" s="1844"/>
      <c r="E50" s="251"/>
      <c r="F50" s="251"/>
      <c r="G50" s="252"/>
      <c r="H50" s="217"/>
      <c r="I50" s="699"/>
      <c r="K50" s="46"/>
      <c r="L50" s="287"/>
      <c r="M50" s="1463"/>
      <c r="N50" s="1463"/>
      <c r="O50" s="1463"/>
      <c r="P50" s="1463"/>
      <c r="Q50" s="1463"/>
      <c r="R50" s="1463"/>
      <c r="S50" s="1463"/>
      <c r="T50" s="1463"/>
      <c r="U50" s="1463"/>
      <c r="V50" s="1463"/>
    </row>
    <row r="51" spans="1:22">
      <c r="A51" s="515">
        <f>ROW()</f>
        <v>51</v>
      </c>
      <c r="B51" s="1844"/>
      <c r="C51" s="1844"/>
      <c r="D51" s="1844"/>
      <c r="E51" s="251"/>
      <c r="F51" s="251"/>
      <c r="G51" s="252"/>
      <c r="H51" s="217"/>
      <c r="I51" s="699"/>
      <c r="K51" s="46"/>
      <c r="L51" s="287"/>
      <c r="M51" s="1463"/>
      <c r="N51" s="1463"/>
      <c r="O51" s="1463"/>
      <c r="P51" s="1463"/>
      <c r="Q51" s="1463"/>
      <c r="R51" s="1463"/>
      <c r="S51" s="1463"/>
      <c r="T51" s="1463"/>
      <c r="U51" s="1463"/>
      <c r="V51" s="1463"/>
    </row>
    <row r="52" spans="1:22">
      <c r="A52" s="515">
        <f>ROW()</f>
        <v>52</v>
      </c>
      <c r="B52" s="1309"/>
      <c r="C52" s="1309"/>
      <c r="D52" s="1309"/>
      <c r="E52" s="251"/>
      <c r="F52" s="251"/>
      <c r="G52" s="252"/>
      <c r="H52" s="217"/>
      <c r="I52" s="699"/>
      <c r="K52" s="46"/>
      <c r="L52" s="287"/>
      <c r="M52" s="1463"/>
      <c r="N52" s="1463"/>
      <c r="O52" s="1463"/>
      <c r="P52" s="1463"/>
      <c r="Q52" s="1463"/>
      <c r="R52" s="1463"/>
      <c r="S52" s="1463"/>
      <c r="T52" s="1463"/>
      <c r="U52" s="1463"/>
      <c r="V52" s="1463"/>
    </row>
    <row r="53" spans="1:22">
      <c r="A53" s="515">
        <f>ROW()</f>
        <v>53</v>
      </c>
      <c r="B53" s="1844"/>
      <c r="C53" s="1844"/>
      <c r="D53" s="1844"/>
      <c r="E53" s="251"/>
      <c r="F53" s="251"/>
      <c r="G53" s="252"/>
      <c r="H53" s="217"/>
      <c r="I53" s="699"/>
      <c r="K53" s="46"/>
      <c r="L53" s="287"/>
      <c r="M53" s="1463"/>
      <c r="N53" s="1463"/>
      <c r="O53" s="1463"/>
      <c r="P53" s="1463"/>
      <c r="Q53" s="1463"/>
      <c r="R53" s="1463"/>
      <c r="S53" s="1463"/>
      <c r="T53" s="1463"/>
      <c r="U53" s="1463"/>
      <c r="V53" s="1463"/>
    </row>
    <row r="54" spans="1:22">
      <c r="A54" s="515">
        <f>ROW()</f>
        <v>54</v>
      </c>
      <c r="B54" s="1844"/>
      <c r="C54" s="1844"/>
      <c r="D54" s="1844"/>
      <c r="E54" s="251"/>
      <c r="F54" s="251"/>
      <c r="G54" s="252"/>
      <c r="H54" s="217"/>
      <c r="I54" s="699"/>
      <c r="K54" s="46"/>
      <c r="L54" s="287"/>
      <c r="M54" s="1463"/>
      <c r="N54" s="1463"/>
      <c r="O54" s="1463"/>
      <c r="P54" s="1463"/>
      <c r="Q54" s="1463"/>
      <c r="R54" s="1463"/>
      <c r="S54" s="1463"/>
      <c r="T54" s="1463"/>
      <c r="U54" s="1463"/>
      <c r="V54" s="1463"/>
    </row>
    <row r="55" spans="1:22">
      <c r="A55" s="515">
        <f>ROW()</f>
        <v>55</v>
      </c>
      <c r="B55" s="1309"/>
      <c r="C55" s="1309"/>
      <c r="D55" s="1309"/>
      <c r="E55" s="251"/>
      <c r="F55" s="251"/>
      <c r="G55" s="252"/>
      <c r="H55" s="217"/>
      <c r="I55" s="699"/>
      <c r="K55" s="46"/>
      <c r="L55" s="287"/>
      <c r="M55" s="1463"/>
      <c r="N55" s="1463"/>
      <c r="O55" s="1463"/>
      <c r="P55" s="1463"/>
      <c r="Q55" s="1463"/>
      <c r="R55" s="1463"/>
      <c r="S55" s="1463"/>
      <c r="T55" s="1463"/>
      <c r="U55" s="1463"/>
      <c r="V55" s="1463"/>
    </row>
    <row r="56" spans="1:22">
      <c r="A56" s="515">
        <f>ROW()</f>
        <v>56</v>
      </c>
      <c r="B56" s="1309"/>
      <c r="C56" s="1309"/>
      <c r="D56" s="1309"/>
      <c r="E56" s="251"/>
      <c r="F56" s="251"/>
      <c r="G56" s="252"/>
      <c r="H56" s="217"/>
      <c r="I56" s="699"/>
      <c r="K56" s="46"/>
      <c r="L56" s="287"/>
      <c r="M56" s="1463"/>
      <c r="N56" s="1463"/>
      <c r="O56" s="1463"/>
      <c r="P56" s="1463"/>
      <c r="Q56" s="1463"/>
      <c r="R56" s="1463"/>
      <c r="S56" s="1463"/>
      <c r="T56" s="1463"/>
      <c r="U56" s="1463"/>
      <c r="V56" s="1463"/>
    </row>
    <row r="57" spans="1:22">
      <c r="A57" s="515">
        <f>ROW()</f>
        <v>57</v>
      </c>
      <c r="B57" s="1309"/>
      <c r="C57" s="1309"/>
      <c r="D57" s="1309"/>
      <c r="E57" s="251"/>
      <c r="F57" s="251"/>
      <c r="G57" s="252"/>
      <c r="H57" s="217"/>
      <c r="I57" s="699"/>
      <c r="K57" s="46"/>
      <c r="L57" s="287"/>
      <c r="M57" s="1463"/>
      <c r="N57" s="1463"/>
      <c r="O57" s="1463"/>
      <c r="P57" s="1463"/>
      <c r="Q57" s="1463"/>
      <c r="R57" s="1463"/>
      <c r="S57" s="1463"/>
      <c r="T57" s="1463"/>
      <c r="U57" s="1463"/>
      <c r="V57" s="1463"/>
    </row>
    <row r="58" spans="1:22">
      <c r="A58" s="515">
        <f>ROW()</f>
        <v>58</v>
      </c>
      <c r="B58" s="1844"/>
      <c r="C58" s="1844"/>
      <c r="D58" s="1844"/>
      <c r="E58" s="251"/>
      <c r="F58" s="251"/>
      <c r="G58" s="252"/>
      <c r="H58" s="217"/>
      <c r="I58" s="699"/>
      <c r="K58" s="46"/>
      <c r="L58" s="287"/>
      <c r="M58" s="1463"/>
      <c r="N58" s="1463"/>
      <c r="O58" s="1463"/>
      <c r="P58" s="1463"/>
      <c r="Q58" s="1463"/>
      <c r="R58" s="1463"/>
      <c r="S58" s="1463"/>
      <c r="T58" s="1463"/>
      <c r="U58" s="1463"/>
      <c r="V58" s="1463"/>
    </row>
    <row r="59" spans="1:22">
      <c r="A59" s="515">
        <f>ROW()</f>
        <v>59</v>
      </c>
      <c r="B59" s="1844"/>
      <c r="C59" s="1844"/>
      <c r="D59" s="1844"/>
      <c r="E59" s="251"/>
      <c r="F59" s="251"/>
      <c r="G59" s="252"/>
      <c r="H59" s="217"/>
      <c r="I59" s="699"/>
      <c r="K59" s="46"/>
      <c r="L59" s="287"/>
      <c r="M59" s="1463"/>
      <c r="N59" s="1463"/>
      <c r="O59" s="1463"/>
      <c r="P59" s="1463"/>
      <c r="Q59" s="1463"/>
      <c r="R59" s="1463"/>
      <c r="S59" s="1463"/>
      <c r="T59" s="1463"/>
      <c r="U59" s="1463"/>
      <c r="V59" s="1463"/>
    </row>
    <row r="60" spans="1:22">
      <c r="A60" s="515">
        <f>ROW()</f>
        <v>60</v>
      </c>
      <c r="B60" s="1476" t="s">
        <v>239</v>
      </c>
      <c r="C60" s="1477"/>
      <c r="D60" s="1477"/>
      <c r="E60" s="1478"/>
      <c r="F60" s="1478"/>
      <c r="G60" s="1479"/>
      <c r="H60" s="1480"/>
      <c r="I60" s="1481"/>
      <c r="K60" s="46"/>
      <c r="L60" s="287"/>
      <c r="M60" s="1463"/>
      <c r="N60" s="1463"/>
      <c r="O60" s="1463"/>
      <c r="P60" s="1463"/>
      <c r="Q60" s="1463"/>
      <c r="R60" s="1463"/>
      <c r="S60" s="1463"/>
      <c r="T60" s="1463"/>
      <c r="U60" s="1463"/>
      <c r="V60" s="1463"/>
    </row>
    <row r="61" spans="1:22">
      <c r="A61" s="515">
        <f>ROW()</f>
        <v>61</v>
      </c>
      <c r="B61" s="1309"/>
      <c r="C61" s="1309"/>
      <c r="D61" s="1309"/>
      <c r="E61" s="251"/>
      <c r="F61" s="251"/>
      <c r="G61" s="252"/>
      <c r="H61" s="217"/>
      <c r="I61" s="699"/>
      <c r="K61" s="46"/>
      <c r="L61" s="287"/>
      <c r="M61" s="1463"/>
      <c r="N61" s="1463"/>
      <c r="O61" s="1463"/>
      <c r="P61" s="1463"/>
      <c r="Q61" s="1463"/>
      <c r="R61" s="1463"/>
      <c r="S61" s="1463"/>
      <c r="T61" s="1463"/>
      <c r="U61" s="1463"/>
      <c r="V61" s="1463"/>
    </row>
    <row r="62" spans="1:22">
      <c r="A62" s="515">
        <f>ROW()</f>
        <v>62</v>
      </c>
      <c r="B62" s="1844"/>
      <c r="C62" s="1844"/>
      <c r="D62" s="1844"/>
      <c r="E62" s="251"/>
      <c r="F62" s="251"/>
      <c r="G62" s="252"/>
      <c r="H62" s="217"/>
      <c r="I62" s="699"/>
      <c r="K62" s="46"/>
      <c r="L62" s="287"/>
      <c r="M62" s="1463"/>
      <c r="N62" s="1463"/>
      <c r="O62" s="1463"/>
      <c r="P62" s="1463"/>
      <c r="Q62" s="1463"/>
      <c r="R62" s="1463"/>
      <c r="S62" s="1463"/>
      <c r="T62" s="1463"/>
      <c r="U62" s="1463"/>
      <c r="V62" s="1463"/>
    </row>
    <row r="63" spans="1:22">
      <c r="A63" s="769">
        <f>ROW()</f>
        <v>63</v>
      </c>
      <c r="B63" s="1308"/>
      <c r="C63" s="1308"/>
      <c r="D63" s="1308"/>
      <c r="E63" s="743"/>
      <c r="F63" s="743"/>
      <c r="G63" s="744"/>
      <c r="H63" s="219"/>
      <c r="I63" s="745"/>
      <c r="K63" s="46"/>
      <c r="L63" s="287"/>
      <c r="M63" s="1463"/>
      <c r="N63" s="1463"/>
      <c r="O63" s="1463"/>
      <c r="P63" s="1463"/>
      <c r="Q63" s="1463"/>
      <c r="R63" s="1463"/>
      <c r="S63" s="1463"/>
      <c r="T63" s="1463"/>
      <c r="U63" s="1463"/>
      <c r="V63" s="1463"/>
    </row>
    <row r="64" spans="1:22">
      <c r="A64" s="769">
        <f>ROW()</f>
        <v>64</v>
      </c>
      <c r="B64" s="1308"/>
      <c r="C64" s="1308"/>
      <c r="D64" s="1308"/>
      <c r="E64" s="743"/>
      <c r="F64" s="743"/>
      <c r="G64" s="744"/>
      <c r="H64" s="219"/>
      <c r="I64" s="745"/>
      <c r="K64" s="46"/>
      <c r="L64" s="287"/>
      <c r="M64" s="1463"/>
      <c r="N64" s="1463"/>
      <c r="O64" s="1463"/>
      <c r="P64" s="1463"/>
      <c r="Q64" s="1463"/>
      <c r="R64" s="1463"/>
      <c r="S64" s="1463"/>
      <c r="T64" s="1463"/>
      <c r="U64" s="1463"/>
      <c r="V64" s="1463"/>
    </row>
    <row r="65" spans="1:22">
      <c r="A65" s="769">
        <f>ROW()</f>
        <v>65</v>
      </c>
      <c r="B65" s="1308"/>
      <c r="C65" s="1308"/>
      <c r="D65" s="1308"/>
      <c r="E65" s="743"/>
      <c r="F65" s="743"/>
      <c r="G65" s="744"/>
      <c r="H65" s="219"/>
      <c r="I65" s="745"/>
      <c r="K65" s="46"/>
      <c r="L65" s="287"/>
      <c r="M65" s="1463"/>
      <c r="N65" s="1463"/>
      <c r="O65" s="1463"/>
      <c r="P65" s="1463"/>
      <c r="Q65" s="1463"/>
      <c r="R65" s="1463"/>
      <c r="S65" s="1463"/>
      <c r="T65" s="1463"/>
      <c r="U65" s="1463"/>
      <c r="V65" s="1463"/>
    </row>
    <row r="66" spans="1:22">
      <c r="A66" s="769">
        <f>ROW()</f>
        <v>66</v>
      </c>
      <c r="B66" s="1308"/>
      <c r="C66" s="1308"/>
      <c r="D66" s="1308"/>
      <c r="E66" s="743"/>
      <c r="F66" s="743"/>
      <c r="G66" s="744"/>
      <c r="H66" s="219"/>
      <c r="I66" s="745"/>
      <c r="K66" s="46"/>
      <c r="L66" s="287"/>
      <c r="M66" s="1463"/>
      <c r="N66" s="1463"/>
      <c r="O66" s="1463"/>
      <c r="P66" s="1463"/>
      <c r="Q66" s="1463"/>
      <c r="R66" s="1463"/>
      <c r="S66" s="1463"/>
      <c r="T66" s="1463"/>
      <c r="U66" s="1463"/>
      <c r="V66" s="1463"/>
    </row>
    <row r="67" spans="1:22">
      <c r="A67" s="769">
        <f>ROW()</f>
        <v>67</v>
      </c>
      <c r="B67" s="1308"/>
      <c r="C67" s="1308"/>
      <c r="D67" s="1308"/>
      <c r="E67" s="743"/>
      <c r="F67" s="743"/>
      <c r="G67" s="744"/>
      <c r="H67" s="219"/>
      <c r="I67" s="745"/>
      <c r="K67" s="46"/>
      <c r="L67" s="287"/>
      <c r="M67" s="1463"/>
      <c r="N67" s="1463"/>
      <c r="O67" s="1463"/>
      <c r="P67" s="1463"/>
      <c r="Q67" s="1463"/>
      <c r="R67" s="1463"/>
      <c r="S67" s="1463"/>
      <c r="T67" s="1463"/>
      <c r="U67" s="1463"/>
      <c r="V67" s="1463"/>
    </row>
    <row r="68" spans="1:22">
      <c r="A68" s="769">
        <f>ROW()</f>
        <v>68</v>
      </c>
      <c r="B68" s="1308"/>
      <c r="C68" s="1308"/>
      <c r="D68" s="1308"/>
      <c r="E68" s="743"/>
      <c r="F68" s="743"/>
      <c r="G68" s="744"/>
      <c r="H68" s="219"/>
      <c r="I68" s="745"/>
      <c r="K68" s="46"/>
      <c r="L68" s="287"/>
      <c r="M68" s="1463"/>
      <c r="N68" s="1463"/>
      <c r="O68" s="1463"/>
      <c r="P68" s="1463"/>
      <c r="Q68" s="1463"/>
      <c r="R68" s="1463"/>
      <c r="S68" s="1463"/>
      <c r="T68" s="1463"/>
      <c r="U68" s="1463"/>
      <c r="V68" s="1463"/>
    </row>
    <row r="69" spans="1:22">
      <c r="A69" s="769">
        <f>ROW()</f>
        <v>69</v>
      </c>
      <c r="B69" s="1308"/>
      <c r="C69" s="1308"/>
      <c r="D69" s="1308"/>
      <c r="E69" s="743"/>
      <c r="F69" s="743"/>
      <c r="G69" s="744"/>
      <c r="H69" s="219"/>
      <c r="I69" s="745"/>
      <c r="K69" s="46"/>
      <c r="L69" s="287"/>
      <c r="M69" s="1463"/>
      <c r="N69" s="1463"/>
      <c r="O69" s="1463"/>
      <c r="P69" s="1463"/>
      <c r="Q69" s="1463"/>
      <c r="R69" s="1463"/>
      <c r="S69" s="1463"/>
      <c r="T69" s="1463"/>
      <c r="U69" s="1463"/>
      <c r="V69" s="1463"/>
    </row>
    <row r="70" spans="1:22">
      <c r="A70" s="748">
        <f>ROW()</f>
        <v>70</v>
      </c>
      <c r="B70" s="1308"/>
      <c r="C70" s="1308"/>
      <c r="D70" s="1308"/>
      <c r="E70" s="743"/>
      <c r="F70" s="743"/>
      <c r="G70" s="744"/>
      <c r="H70" s="219"/>
      <c r="I70" s="1090"/>
      <c r="K70" s="46"/>
      <c r="L70" s="287"/>
      <c r="M70" s="1463"/>
      <c r="N70" s="1463"/>
      <c r="O70" s="1463"/>
      <c r="P70" s="1463"/>
      <c r="Q70" s="1463"/>
      <c r="R70" s="1463"/>
      <c r="S70" s="1463"/>
      <c r="T70" s="1463"/>
      <c r="U70" s="1463"/>
      <c r="V70" s="1463"/>
    </row>
    <row r="71" spans="1:22">
      <c r="A71" s="515">
        <f>ROW()</f>
        <v>71</v>
      </c>
      <c r="B71" s="1104"/>
      <c r="C71" s="1104"/>
      <c r="D71" s="1104"/>
      <c r="E71" s="1104"/>
      <c r="F71" s="1105"/>
      <c r="G71" s="104"/>
      <c r="H71" s="1105">
        <f>SUM(H49:H70)</f>
        <v>0</v>
      </c>
      <c r="I71" s="1106">
        <f>IFERROR(SUMPRODUCT(H49:H70,I49:I70)/H71,0)</f>
        <v>0</v>
      </c>
      <c r="K71" s="264"/>
      <c r="L71" s="287"/>
      <c r="M71" s="1463"/>
      <c r="N71" s="1463"/>
      <c r="O71" s="1463"/>
      <c r="P71" s="1463"/>
      <c r="Q71" s="1463"/>
      <c r="R71" s="1463"/>
      <c r="S71" s="1463"/>
      <c r="T71" s="1463"/>
      <c r="U71" s="1463"/>
      <c r="V71" s="1463"/>
    </row>
    <row r="72" spans="1:22">
      <c r="A72" s="515">
        <f>ROW()</f>
        <v>72</v>
      </c>
      <c r="B72" s="1108"/>
      <c r="C72" s="1109"/>
      <c r="D72" s="1109"/>
      <c r="E72" s="257"/>
      <c r="F72" s="1107"/>
      <c r="G72" s="1107"/>
      <c r="H72" s="1776"/>
      <c r="I72" s="1107"/>
      <c r="K72" s="264"/>
      <c r="L72" s="287"/>
      <c r="M72" s="1463"/>
      <c r="N72" s="1463"/>
      <c r="O72" s="1463"/>
      <c r="P72" s="1463"/>
      <c r="Q72" s="1463"/>
      <c r="R72" s="1463"/>
      <c r="S72" s="1463"/>
      <c r="T72" s="1463"/>
      <c r="U72" s="1463"/>
      <c r="V72" s="1463"/>
    </row>
    <row r="73" spans="1:22" hidden="1">
      <c r="A73" s="515">
        <f>ROW()</f>
        <v>73</v>
      </c>
      <c r="B73" s="139"/>
      <c r="C73" s="39"/>
      <c r="D73" s="39"/>
      <c r="E73" s="39"/>
      <c r="F73" s="135"/>
      <c r="G73" s="135"/>
      <c r="H73" s="265"/>
      <c r="I73" s="48"/>
      <c r="K73" s="264"/>
      <c r="L73" s="287"/>
      <c r="M73" s="1463"/>
      <c r="N73" s="1463"/>
      <c r="O73" s="1463"/>
      <c r="P73" s="1463"/>
      <c r="Q73" s="1463"/>
      <c r="R73" s="1463"/>
      <c r="S73" s="1463"/>
      <c r="T73" s="1463"/>
      <c r="U73" s="1463"/>
      <c r="V73" s="1463"/>
    </row>
    <row r="74" spans="1:22" ht="15.6" hidden="1">
      <c r="A74" s="515">
        <f>ROW()</f>
        <v>74</v>
      </c>
      <c r="B74" s="1464"/>
      <c r="C74" s="39"/>
      <c r="D74" s="39"/>
      <c r="E74" s="39"/>
      <c r="F74" s="135"/>
      <c r="G74" s="135"/>
      <c r="H74" s="265"/>
      <c r="I74" s="48"/>
      <c r="K74" s="264"/>
      <c r="L74" s="287"/>
      <c r="M74" s="1463"/>
      <c r="N74" s="1463"/>
      <c r="O74" s="1463"/>
      <c r="P74" s="1463"/>
      <c r="Q74" s="1463"/>
      <c r="R74" s="1463"/>
      <c r="S74" s="1463"/>
      <c r="T74" s="1463"/>
      <c r="U74" s="1463"/>
      <c r="V74" s="1463"/>
    </row>
    <row r="75" spans="1:22" ht="15.6" hidden="1">
      <c r="A75" s="515">
        <f>ROW()</f>
        <v>75</v>
      </c>
      <c r="B75" s="1464"/>
      <c r="C75" s="39"/>
      <c r="D75" s="39"/>
      <c r="E75" s="39"/>
      <c r="F75" s="135"/>
      <c r="G75" s="135"/>
      <c r="H75" s="265"/>
      <c r="I75" s="48"/>
      <c r="K75" s="264"/>
      <c r="L75" s="287"/>
      <c r="M75" s="1463"/>
      <c r="N75" s="1463"/>
      <c r="O75" s="1463"/>
      <c r="P75" s="1463"/>
      <c r="Q75" s="1463"/>
      <c r="R75" s="1463"/>
      <c r="S75" s="1463"/>
      <c r="T75" s="1463"/>
      <c r="U75" s="1463"/>
      <c r="V75" s="1463"/>
    </row>
    <row r="76" spans="1:22" hidden="1">
      <c r="A76" s="515">
        <f>ROW()</f>
        <v>76</v>
      </c>
      <c r="B76" s="39"/>
      <c r="C76" s="39"/>
      <c r="D76" s="39"/>
      <c r="E76" s="39"/>
      <c r="F76" s="135"/>
      <c r="G76" s="135"/>
      <c r="H76" s="265"/>
      <c r="I76" s="48"/>
      <c r="K76" s="264"/>
      <c r="L76" s="287"/>
      <c r="M76" s="1463"/>
      <c r="N76" s="1463"/>
      <c r="O76" s="1463"/>
      <c r="P76" s="1463"/>
      <c r="Q76" s="1463"/>
      <c r="R76" s="1463"/>
      <c r="S76" s="1463"/>
      <c r="T76" s="1463"/>
      <c r="U76" s="1463"/>
      <c r="V76" s="1463"/>
    </row>
    <row r="77" spans="1:22" hidden="1">
      <c r="A77" s="515">
        <f>ROW()</f>
        <v>77</v>
      </c>
      <c r="B77" s="139"/>
      <c r="C77" s="39"/>
      <c r="D77" s="39"/>
      <c r="E77" s="39"/>
      <c r="F77" s="135"/>
      <c r="G77" s="135"/>
      <c r="H77" s="265"/>
      <c r="I77" s="48"/>
      <c r="K77" s="264"/>
      <c r="L77" s="287"/>
      <c r="M77" s="1463"/>
      <c r="N77" s="1463"/>
      <c r="O77" s="1463"/>
      <c r="P77" s="1463"/>
      <c r="Q77" s="1463"/>
      <c r="R77" s="1463"/>
      <c r="S77" s="1463"/>
      <c r="T77" s="1463"/>
      <c r="U77" s="1463"/>
      <c r="V77" s="1463"/>
    </row>
    <row r="78" spans="1:22">
      <c r="A78" s="748">
        <f>ROW()</f>
        <v>78</v>
      </c>
      <c r="B78" s="39"/>
      <c r="C78" s="39"/>
      <c r="D78" s="39"/>
      <c r="E78" s="39"/>
      <c r="F78" s="135"/>
      <c r="G78" s="135"/>
      <c r="H78" s="265"/>
      <c r="I78" s="48"/>
      <c r="K78" s="264"/>
      <c r="L78" s="287"/>
      <c r="M78" s="1463"/>
      <c r="N78" s="1463"/>
      <c r="O78" s="1463"/>
      <c r="P78" s="1463"/>
      <c r="Q78" s="1463"/>
      <c r="R78" s="1463"/>
      <c r="S78" s="1463"/>
      <c r="T78" s="1463"/>
      <c r="U78" s="1463"/>
      <c r="V78" s="1463"/>
    </row>
    <row r="79" spans="1:22" ht="15.6">
      <c r="A79" s="165" t="s">
        <v>1255</v>
      </c>
      <c r="B79" s="396"/>
      <c r="C79" s="396"/>
      <c r="D79" s="396"/>
      <c r="E79" s="63"/>
      <c r="F79" s="604"/>
      <c r="G79" s="605"/>
      <c r="H79" s="605"/>
      <c r="I79" s="48"/>
      <c r="L79" s="287"/>
      <c r="M79" s="1463"/>
      <c r="N79" s="1463"/>
      <c r="O79" s="1463"/>
      <c r="P79" s="1463"/>
      <c r="Q79" s="1463"/>
      <c r="R79" s="1463"/>
      <c r="S79" s="1463"/>
      <c r="T79" s="1463"/>
      <c r="U79" s="1463"/>
      <c r="V79" s="1463"/>
    </row>
    <row r="80" spans="1:22" ht="51" customHeight="1">
      <c r="A80" s="748">
        <f>ROW()</f>
        <v>80</v>
      </c>
      <c r="B80" s="1845" t="s">
        <v>233</v>
      </c>
      <c r="C80" s="1845"/>
      <c r="D80" s="1482"/>
      <c r="E80" s="1483" t="s">
        <v>234</v>
      </c>
      <c r="F80" s="1484" t="s">
        <v>235</v>
      </c>
      <c r="G80" s="1485" t="s">
        <v>240</v>
      </c>
      <c r="H80" s="1485" t="s">
        <v>241</v>
      </c>
      <c r="I80" s="1471" t="s">
        <v>1365</v>
      </c>
      <c r="L80" s="749"/>
      <c r="M80" s="1463"/>
      <c r="N80" s="1463"/>
      <c r="O80" s="1463"/>
      <c r="P80" s="1463"/>
      <c r="Q80" s="1463"/>
      <c r="R80" s="1463"/>
      <c r="S80" s="1463"/>
      <c r="T80" s="1463"/>
      <c r="U80" s="1463"/>
      <c r="V80" s="1463"/>
    </row>
    <row r="81" spans="1:22">
      <c r="A81" s="516">
        <f>ROW()</f>
        <v>81</v>
      </c>
      <c r="B81" s="1843" t="s">
        <v>238</v>
      </c>
      <c r="C81" s="1843"/>
      <c r="D81" s="1843"/>
      <c r="E81" s="1472"/>
      <c r="F81" s="1472"/>
      <c r="G81" s="1473"/>
      <c r="H81" s="1474"/>
      <c r="I81" s="1475"/>
      <c r="L81" s="287"/>
      <c r="M81" s="1463"/>
      <c r="N81" s="1463"/>
      <c r="O81" s="1463"/>
      <c r="P81" s="1463"/>
      <c r="Q81" s="1463"/>
      <c r="R81" s="1463"/>
      <c r="S81" s="1463"/>
      <c r="T81" s="1463"/>
      <c r="U81" s="1463"/>
      <c r="V81" s="1463"/>
    </row>
    <row r="82" spans="1:22">
      <c r="A82" s="515">
        <f>ROW()</f>
        <v>82</v>
      </c>
      <c r="B82" s="1844"/>
      <c r="C82" s="1844"/>
      <c r="D82" s="1844"/>
      <c r="E82" s="251"/>
      <c r="F82" s="251"/>
      <c r="G82" s="252"/>
      <c r="H82" s="217"/>
      <c r="I82" s="699"/>
      <c r="L82" s="287"/>
      <c r="M82" s="1463"/>
      <c r="N82" s="1463"/>
      <c r="O82" s="1463"/>
      <c r="P82" s="1463"/>
      <c r="Q82" s="1463"/>
      <c r="R82" s="1463"/>
      <c r="S82" s="1463"/>
      <c r="T82" s="1463"/>
      <c r="U82" s="1463"/>
      <c r="V82" s="1463"/>
    </row>
    <row r="83" spans="1:22">
      <c r="A83" s="515">
        <f>ROW()</f>
        <v>83</v>
      </c>
      <c r="B83" s="1309"/>
      <c r="C83" s="1309"/>
      <c r="D83" s="1309"/>
      <c r="E83" s="251"/>
      <c r="F83" s="251"/>
      <c r="G83" s="252"/>
      <c r="H83" s="1797"/>
      <c r="I83" s="699"/>
      <c r="L83" s="287"/>
      <c r="M83" s="1463"/>
      <c r="N83" s="1463"/>
      <c r="O83" s="1463"/>
      <c r="P83" s="1463"/>
      <c r="Q83" s="1463"/>
      <c r="R83" s="1463"/>
      <c r="S83" s="1463"/>
      <c r="T83" s="1463"/>
      <c r="U83" s="1463"/>
      <c r="V83" s="1463"/>
    </row>
    <row r="84" spans="1:22">
      <c r="A84" s="515">
        <f>ROW()</f>
        <v>84</v>
      </c>
      <c r="B84" s="1309"/>
      <c r="C84" s="1309"/>
      <c r="D84" s="1309"/>
      <c r="E84" s="251"/>
      <c r="F84" s="251"/>
      <c r="G84" s="252"/>
      <c r="H84" s="217"/>
      <c r="I84" s="699"/>
      <c r="L84" s="287"/>
      <c r="M84" s="1463"/>
      <c r="N84" s="1463"/>
      <c r="O84" s="1463"/>
      <c r="P84" s="1463"/>
      <c r="Q84" s="1463"/>
      <c r="R84" s="1463"/>
      <c r="S84" s="1463"/>
      <c r="T84" s="1463"/>
      <c r="U84" s="1463"/>
      <c r="V84" s="1463"/>
    </row>
    <row r="85" spans="1:22">
      <c r="A85" s="515">
        <f>ROW()</f>
        <v>85</v>
      </c>
      <c r="B85" s="1309"/>
      <c r="C85" s="1309"/>
      <c r="D85" s="1309"/>
      <c r="E85" s="251"/>
      <c r="F85" s="251"/>
      <c r="G85" s="252"/>
      <c r="H85" s="217"/>
      <c r="I85" s="699"/>
      <c r="L85" s="287"/>
      <c r="M85" s="1463"/>
      <c r="N85" s="1463"/>
      <c r="O85" s="1463"/>
      <c r="P85" s="1463"/>
      <c r="Q85" s="1463"/>
      <c r="R85" s="1463"/>
      <c r="S85" s="1463"/>
      <c r="T85" s="1463"/>
      <c r="U85" s="1463"/>
      <c r="V85" s="1463"/>
    </row>
    <row r="86" spans="1:22">
      <c r="A86" s="515">
        <f>ROW()</f>
        <v>86</v>
      </c>
      <c r="B86" s="1309"/>
      <c r="C86" s="1309"/>
      <c r="D86" s="1309"/>
      <c r="E86" s="251"/>
      <c r="F86" s="251"/>
      <c r="G86" s="252"/>
      <c r="H86" s="217"/>
      <c r="I86" s="699"/>
      <c r="L86" s="287"/>
      <c r="M86" s="1463"/>
      <c r="N86" s="1463"/>
      <c r="O86" s="1463"/>
      <c r="P86" s="1463"/>
      <c r="Q86" s="1463"/>
      <c r="R86" s="1463"/>
      <c r="S86" s="1463"/>
      <c r="T86" s="1463"/>
      <c r="U86" s="1463"/>
      <c r="V86" s="1463"/>
    </row>
    <row r="87" spans="1:22">
      <c r="A87" s="515">
        <f>ROW()</f>
        <v>87</v>
      </c>
      <c r="B87" s="1309"/>
      <c r="C87" s="1309"/>
      <c r="D87" s="1309"/>
      <c r="E87" s="251"/>
      <c r="F87" s="251"/>
      <c r="G87" s="252"/>
      <c r="H87" s="217"/>
      <c r="I87" s="699"/>
      <c r="L87" s="287"/>
      <c r="M87" s="1463"/>
      <c r="N87" s="1463"/>
      <c r="O87" s="1463"/>
      <c r="P87" s="1463"/>
      <c r="Q87" s="1463"/>
      <c r="R87" s="1463"/>
      <c r="S87" s="1463"/>
      <c r="T87" s="1463"/>
      <c r="U87" s="1463"/>
      <c r="V87" s="1463"/>
    </row>
    <row r="88" spans="1:22">
      <c r="A88" s="515">
        <f>ROW()</f>
        <v>88</v>
      </c>
      <c r="B88" s="1309"/>
      <c r="C88" s="1309"/>
      <c r="D88" s="1309"/>
      <c r="E88" s="251"/>
      <c r="F88" s="251"/>
      <c r="G88" s="252"/>
      <c r="H88" s="217"/>
      <c r="I88" s="699"/>
      <c r="L88" s="287"/>
      <c r="M88" s="1463"/>
      <c r="N88" s="1463"/>
      <c r="O88" s="1463"/>
      <c r="P88" s="1463"/>
      <c r="Q88" s="1463"/>
      <c r="R88" s="1463"/>
      <c r="S88" s="1463"/>
      <c r="T88" s="1463"/>
      <c r="U88" s="1463"/>
      <c r="V88" s="1463"/>
    </row>
    <row r="89" spans="1:22">
      <c r="A89" s="515">
        <f>ROW()</f>
        <v>89</v>
      </c>
      <c r="B89" s="1844"/>
      <c r="C89" s="1844"/>
      <c r="D89" s="1844"/>
      <c r="E89" s="251"/>
      <c r="F89" s="251"/>
      <c r="G89" s="252"/>
      <c r="H89" s="217"/>
      <c r="I89" s="699"/>
      <c r="L89" s="287"/>
      <c r="M89" s="1463"/>
      <c r="N89" s="1463"/>
      <c r="O89" s="1463"/>
      <c r="P89" s="1463"/>
      <c r="Q89" s="1463"/>
      <c r="R89" s="1463"/>
      <c r="S89" s="1463"/>
      <c r="T89" s="1463"/>
      <c r="U89" s="1463"/>
      <c r="V89" s="1463"/>
    </row>
    <row r="90" spans="1:22">
      <c r="A90" s="515">
        <f>ROW()</f>
        <v>90</v>
      </c>
      <c r="B90" s="1309"/>
      <c r="C90" s="1309"/>
      <c r="D90" s="1309"/>
      <c r="E90" s="251"/>
      <c r="F90" s="251"/>
      <c r="G90" s="252"/>
      <c r="H90" s="217"/>
      <c r="I90" s="699"/>
      <c r="L90" s="287"/>
      <c r="M90" s="1463"/>
      <c r="N90" s="1463"/>
      <c r="O90" s="1463"/>
      <c r="P90" s="1463"/>
      <c r="Q90" s="1463"/>
      <c r="R90" s="1463"/>
      <c r="S90" s="1463"/>
      <c r="T90" s="1463"/>
      <c r="U90" s="1463"/>
      <c r="V90" s="1463"/>
    </row>
    <row r="91" spans="1:22">
      <c r="A91" s="515">
        <f>ROW()</f>
        <v>91</v>
      </c>
      <c r="B91" s="1476" t="s">
        <v>239</v>
      </c>
      <c r="C91" s="1477"/>
      <c r="D91" s="1477"/>
      <c r="E91" s="1478"/>
      <c r="F91" s="1478"/>
      <c r="G91" s="1479"/>
      <c r="H91" s="1480"/>
      <c r="I91" s="1481"/>
      <c r="L91" s="287"/>
      <c r="M91" s="1463"/>
      <c r="N91" s="1463"/>
      <c r="O91" s="1463"/>
      <c r="P91" s="1463"/>
      <c r="Q91" s="1463"/>
      <c r="R91" s="1463"/>
      <c r="S91" s="1463"/>
      <c r="T91" s="1463"/>
      <c r="U91" s="1463"/>
      <c r="V91" s="1463"/>
    </row>
    <row r="92" spans="1:22">
      <c r="A92" s="515">
        <f>ROW()</f>
        <v>92</v>
      </c>
      <c r="B92" s="1309"/>
      <c r="C92" s="1309"/>
      <c r="D92" s="1309"/>
      <c r="E92" s="251"/>
      <c r="F92" s="251"/>
      <c r="G92" s="252"/>
      <c r="H92" s="217"/>
      <c r="I92" s="699"/>
      <c r="L92" s="287"/>
      <c r="M92" s="1463"/>
      <c r="N92" s="1463"/>
      <c r="O92" s="1463"/>
      <c r="P92" s="1463"/>
      <c r="Q92" s="1463"/>
      <c r="R92" s="1463"/>
      <c r="S92" s="1463"/>
      <c r="T92" s="1463"/>
      <c r="U92" s="1463"/>
      <c r="V92" s="1463"/>
    </row>
    <row r="93" spans="1:22">
      <c r="A93" s="515">
        <f>ROW()</f>
        <v>93</v>
      </c>
      <c r="B93" s="1309"/>
      <c r="C93" s="1309"/>
      <c r="D93" s="1309"/>
      <c r="E93" s="251"/>
      <c r="F93" s="251"/>
      <c r="G93" s="252"/>
      <c r="H93" s="217"/>
      <c r="I93" s="699"/>
      <c r="L93" s="287"/>
      <c r="M93" s="1463"/>
      <c r="N93" s="1463"/>
      <c r="O93" s="1463"/>
      <c r="P93" s="1463"/>
      <c r="Q93" s="1463"/>
      <c r="R93" s="1463"/>
      <c r="S93" s="1463"/>
      <c r="T93" s="1463"/>
      <c r="U93" s="1463"/>
      <c r="V93" s="1463"/>
    </row>
    <row r="94" spans="1:22">
      <c r="A94" s="515">
        <f>ROW()</f>
        <v>94</v>
      </c>
      <c r="B94" s="1309"/>
      <c r="C94" s="1309"/>
      <c r="D94" s="1309"/>
      <c r="E94" s="251"/>
      <c r="F94" s="251"/>
      <c r="G94" s="252"/>
      <c r="H94" s="217"/>
      <c r="I94" s="699"/>
      <c r="L94" s="287"/>
      <c r="M94" s="1463"/>
      <c r="N94" s="1463"/>
      <c r="O94" s="1463"/>
      <c r="P94" s="1463"/>
      <c r="Q94" s="1463"/>
      <c r="R94" s="1463"/>
      <c r="S94" s="1463"/>
      <c r="T94" s="1463"/>
      <c r="U94" s="1463"/>
      <c r="V94" s="1463"/>
    </row>
    <row r="95" spans="1:22">
      <c r="A95" s="515">
        <f>ROW()</f>
        <v>95</v>
      </c>
      <c r="B95" s="1309"/>
      <c r="C95" s="1309"/>
      <c r="D95" s="1309"/>
      <c r="E95" s="251"/>
      <c r="F95" s="251"/>
      <c r="G95" s="252"/>
      <c r="H95" s="217"/>
      <c r="I95" s="699"/>
      <c r="L95" s="287"/>
      <c r="M95" s="1463"/>
      <c r="N95" s="1463"/>
      <c r="O95" s="1463"/>
      <c r="P95" s="1463"/>
      <c r="Q95" s="1463"/>
      <c r="R95" s="1463"/>
      <c r="S95" s="1463"/>
      <c r="T95" s="1463"/>
      <c r="U95" s="1463"/>
      <c r="V95" s="1463"/>
    </row>
    <row r="96" spans="1:22">
      <c r="A96" s="515">
        <f>ROW()</f>
        <v>96</v>
      </c>
      <c r="B96" s="1309"/>
      <c r="C96" s="1309"/>
      <c r="D96" s="1309"/>
      <c r="E96" s="251"/>
      <c r="F96" s="251"/>
      <c r="G96" s="252"/>
      <c r="H96" s="217"/>
      <c r="I96" s="699"/>
      <c r="L96" s="287"/>
      <c r="M96" s="1463"/>
      <c r="N96" s="1463"/>
      <c r="O96" s="1463"/>
      <c r="P96" s="1463"/>
      <c r="Q96" s="1463"/>
      <c r="R96" s="1463"/>
      <c r="S96" s="1463"/>
      <c r="T96" s="1463"/>
      <c r="U96" s="1463"/>
      <c r="V96" s="1463"/>
    </row>
    <row r="97" spans="1:22">
      <c r="A97" s="515">
        <f>ROW()</f>
        <v>97</v>
      </c>
      <c r="B97" s="1309"/>
      <c r="C97" s="1309"/>
      <c r="D97" s="1309"/>
      <c r="E97" s="251"/>
      <c r="F97" s="251"/>
      <c r="G97" s="252"/>
      <c r="H97" s="217"/>
      <c r="I97" s="699"/>
      <c r="L97" s="287"/>
      <c r="M97" s="1463"/>
      <c r="N97" s="1463"/>
      <c r="O97" s="1463"/>
      <c r="P97" s="1463"/>
      <c r="Q97" s="1463"/>
      <c r="R97" s="1463"/>
      <c r="S97" s="1463"/>
      <c r="T97" s="1463"/>
      <c r="U97" s="1463"/>
      <c r="V97" s="1463"/>
    </row>
    <row r="98" spans="1:22">
      <c r="A98" s="515">
        <f>ROW()</f>
        <v>98</v>
      </c>
      <c r="B98" s="1309"/>
      <c r="C98" s="1309"/>
      <c r="D98" s="1309"/>
      <c r="E98" s="251"/>
      <c r="F98" s="251"/>
      <c r="G98" s="252"/>
      <c r="H98" s="217"/>
      <c r="I98" s="699"/>
      <c r="L98" s="287"/>
      <c r="M98" s="1463"/>
      <c r="N98" s="1463"/>
      <c r="O98" s="1463"/>
      <c r="P98" s="1463"/>
      <c r="Q98" s="1463"/>
      <c r="R98" s="1463"/>
      <c r="S98" s="1463"/>
      <c r="T98" s="1463"/>
      <c r="U98" s="1463"/>
      <c r="V98" s="1463"/>
    </row>
    <row r="99" spans="1:22">
      <c r="A99" s="515">
        <f>ROW()</f>
        <v>99</v>
      </c>
      <c r="B99" s="1309"/>
      <c r="C99" s="1309"/>
      <c r="D99" s="1309"/>
      <c r="E99" s="251"/>
      <c r="F99" s="251"/>
      <c r="G99" s="252"/>
      <c r="H99" s="217"/>
      <c r="I99" s="699"/>
      <c r="L99" s="287"/>
      <c r="M99" s="1463"/>
      <c r="N99" s="1463"/>
      <c r="O99" s="1463"/>
      <c r="P99" s="1463"/>
      <c r="Q99" s="1463"/>
      <c r="R99" s="1463"/>
      <c r="S99" s="1463"/>
      <c r="T99" s="1463"/>
      <c r="U99" s="1463"/>
      <c r="V99" s="1463"/>
    </row>
    <row r="100" spans="1:22">
      <c r="A100" s="748">
        <f>ROW()</f>
        <v>100</v>
      </c>
      <c r="B100" s="1842"/>
      <c r="C100" s="1842"/>
      <c r="D100" s="1842"/>
      <c r="E100" s="743"/>
      <c r="F100" s="743"/>
      <c r="G100" s="744"/>
      <c r="H100" s="219"/>
      <c r="I100" s="745"/>
      <c r="L100" s="287"/>
      <c r="M100" s="1463"/>
      <c r="N100" s="1463"/>
      <c r="O100" s="1463"/>
      <c r="P100" s="1463"/>
      <c r="Q100" s="1463"/>
      <c r="R100" s="1463"/>
      <c r="S100" s="1463"/>
      <c r="T100" s="1463"/>
      <c r="U100" s="1463"/>
      <c r="V100" s="1463"/>
    </row>
    <row r="101" spans="1:22" ht="13.5" customHeight="1">
      <c r="A101" s="59"/>
      <c r="B101" s="122"/>
      <c r="C101" s="122"/>
      <c r="D101" s="122"/>
      <c r="E101" s="122"/>
      <c r="F101" s="122"/>
      <c r="G101" s="746"/>
      <c r="H101" s="746">
        <f>SUM(H81:H100)</f>
        <v>0</v>
      </c>
      <c r="I101" s="747">
        <f>IFERROR(SUMPRODUCT(H81:H100,I81:I100)/H101,0)</f>
        <v>0</v>
      </c>
      <c r="K101" s="135"/>
      <c r="L101" s="287"/>
      <c r="M101" s="1463"/>
      <c r="N101" s="1463"/>
      <c r="O101" s="1463"/>
      <c r="P101" s="1463"/>
      <c r="Q101" s="1463"/>
      <c r="R101" s="1463"/>
      <c r="S101" s="1463"/>
      <c r="T101" s="1463"/>
      <c r="U101" s="1463"/>
      <c r="V101" s="1463"/>
    </row>
    <row r="102" spans="1:22">
      <c r="A102" s="59"/>
      <c r="B102" s="44"/>
      <c r="C102" s="44"/>
      <c r="D102" s="44"/>
      <c r="E102" s="39"/>
      <c r="F102" s="67"/>
      <c r="G102" s="68"/>
      <c r="H102" s="68"/>
      <c r="I102" s="48"/>
      <c r="K102" s="135"/>
      <c r="L102" s="287"/>
      <c r="M102" s="1463"/>
      <c r="N102" s="1463"/>
      <c r="O102" s="1463"/>
      <c r="P102" s="1463"/>
      <c r="Q102" s="1463"/>
      <c r="R102" s="1463"/>
      <c r="S102" s="1463"/>
      <c r="T102" s="1463"/>
      <c r="U102" s="1463"/>
      <c r="V102" s="1463"/>
    </row>
    <row r="103" spans="1:22">
      <c r="I103" s="48"/>
      <c r="M103" s="1463"/>
      <c r="N103" s="1463"/>
      <c r="O103" s="1463"/>
      <c r="P103" s="1463"/>
      <c r="Q103" s="1463"/>
      <c r="R103" s="1463"/>
      <c r="S103" s="1463"/>
      <c r="T103" s="1463"/>
      <c r="U103" s="1463"/>
      <c r="V103" s="1463"/>
    </row>
    <row r="104" spans="1:22">
      <c r="M104" s="1463"/>
      <c r="N104" s="1463"/>
      <c r="O104" s="1463"/>
      <c r="P104" s="1463"/>
      <c r="Q104" s="1463"/>
      <c r="R104" s="1463"/>
      <c r="S104" s="1463"/>
      <c r="T104" s="1463"/>
      <c r="U104" s="1463"/>
      <c r="V104" s="1463"/>
    </row>
    <row r="105" spans="1:22">
      <c r="M105" s="1463"/>
      <c r="N105" s="1463"/>
      <c r="O105" s="1463"/>
      <c r="P105" s="1463"/>
      <c r="Q105" s="1463"/>
      <c r="R105" s="1463"/>
      <c r="S105" s="1463"/>
      <c r="T105" s="1463"/>
      <c r="U105" s="1463"/>
      <c r="V105" s="1463"/>
    </row>
    <row r="106" spans="1:22">
      <c r="M106" s="1463"/>
      <c r="N106" s="1463"/>
      <c r="O106" s="1463"/>
      <c r="P106" s="1463"/>
      <c r="Q106" s="1463"/>
      <c r="R106" s="1463"/>
      <c r="S106" s="1463"/>
      <c r="T106" s="1463"/>
      <c r="U106" s="1463"/>
      <c r="V106" s="1463"/>
    </row>
    <row r="107" spans="1:22">
      <c r="M107" s="1463"/>
      <c r="N107" s="1463"/>
      <c r="O107" s="1463"/>
      <c r="P107" s="1463"/>
      <c r="Q107" s="1463"/>
      <c r="R107" s="1463"/>
      <c r="S107" s="1463"/>
      <c r="T107" s="1463"/>
      <c r="U107" s="1463"/>
      <c r="V107" s="1463"/>
    </row>
    <row r="108" spans="1:22">
      <c r="M108" s="1463"/>
      <c r="N108" s="1463"/>
      <c r="O108" s="1463"/>
      <c r="P108" s="1463"/>
      <c r="Q108" s="1463"/>
      <c r="R108" s="1463"/>
      <c r="S108" s="1463"/>
      <c r="T108" s="1463"/>
      <c r="U108" s="1463"/>
      <c r="V108" s="1463"/>
    </row>
    <row r="109" spans="1:22">
      <c r="M109" s="1463"/>
      <c r="N109" s="1463"/>
      <c r="O109" s="1463"/>
      <c r="P109" s="1463"/>
      <c r="Q109" s="1463"/>
      <c r="R109" s="1463"/>
      <c r="S109" s="1463"/>
      <c r="T109" s="1463"/>
      <c r="U109" s="1463"/>
      <c r="V109" s="1463"/>
    </row>
    <row r="110" spans="1:22">
      <c r="M110" s="1463"/>
      <c r="N110" s="1463"/>
      <c r="O110" s="1463"/>
      <c r="P110" s="1463"/>
      <c r="Q110" s="1463"/>
      <c r="R110" s="1463"/>
      <c r="S110" s="1463"/>
      <c r="T110" s="1463"/>
      <c r="U110" s="1463"/>
      <c r="V110" s="1463"/>
    </row>
    <row r="111" spans="1:22">
      <c r="M111" s="1463"/>
      <c r="N111" s="1463"/>
      <c r="O111" s="1463"/>
      <c r="P111" s="1463"/>
      <c r="Q111" s="1463"/>
      <c r="R111" s="1463"/>
      <c r="S111" s="1463"/>
      <c r="T111" s="1463"/>
      <c r="U111" s="1463"/>
      <c r="V111" s="1463"/>
    </row>
    <row r="112" spans="1:22">
      <c r="M112" s="1463"/>
      <c r="N112" s="1463"/>
      <c r="O112" s="1463"/>
      <c r="P112" s="1463"/>
      <c r="Q112" s="1463"/>
      <c r="R112" s="1463"/>
      <c r="S112" s="1463"/>
      <c r="T112" s="1463"/>
      <c r="U112" s="1463"/>
      <c r="V112" s="1463"/>
    </row>
    <row r="113" spans="13:22">
      <c r="M113" s="1463"/>
      <c r="N113" s="1463"/>
      <c r="O113" s="1463"/>
      <c r="P113" s="1463"/>
      <c r="Q113" s="1463"/>
      <c r="R113" s="1463"/>
      <c r="S113" s="1463"/>
      <c r="T113" s="1463"/>
      <c r="U113" s="1463"/>
      <c r="V113" s="1463"/>
    </row>
    <row r="114" spans="13:22">
      <c r="M114" s="1463"/>
      <c r="N114" s="1463"/>
      <c r="O114" s="1463"/>
      <c r="P114" s="1463"/>
      <c r="Q114" s="1463"/>
      <c r="R114" s="1463"/>
      <c r="S114" s="1463"/>
      <c r="T114" s="1463"/>
      <c r="U114" s="1463"/>
      <c r="V114" s="1463"/>
    </row>
    <row r="115" spans="13:22">
      <c r="M115" s="1463"/>
      <c r="N115" s="1463"/>
      <c r="O115" s="1463"/>
      <c r="P115" s="1463"/>
      <c r="Q115" s="1463"/>
      <c r="R115" s="1463"/>
      <c r="S115" s="1463"/>
      <c r="T115" s="1463"/>
      <c r="U115" s="1463"/>
      <c r="V115" s="1463"/>
    </row>
  </sheetData>
  <sheetProtection sheet="1" objects="1" scenarios="1"/>
  <mergeCells count="14">
    <mergeCell ref="B100:D100"/>
    <mergeCell ref="B81:D81"/>
    <mergeCell ref="B82:D82"/>
    <mergeCell ref="B89:D89"/>
    <mergeCell ref="B48:C48"/>
    <mergeCell ref="B80:C80"/>
    <mergeCell ref="B49:D49"/>
    <mergeCell ref="B50:D50"/>
    <mergeCell ref="B51:D51"/>
    <mergeCell ref="B53:D53"/>
    <mergeCell ref="B54:D54"/>
    <mergeCell ref="B58:D58"/>
    <mergeCell ref="B59:D59"/>
    <mergeCell ref="B62:D62"/>
  </mergeCells>
  <conditionalFormatting sqref="B14:C26">
    <cfRule type="expression" dxfId="77" priority="66" stopIfTrue="1">
      <formula>MOD(ROW(),2)=0</formula>
    </cfRule>
  </conditionalFormatting>
  <conditionalFormatting sqref="D1">
    <cfRule type="expression" dxfId="76" priority="7" stopIfTrue="1">
      <formula>MOD(ROW(),2)=0</formula>
    </cfRule>
  </conditionalFormatting>
  <conditionalFormatting sqref="D11:J12">
    <cfRule type="cellIs" dxfId="75" priority="68" stopIfTrue="1" operator="equal">
      <formula>0</formula>
    </cfRule>
  </conditionalFormatting>
  <conditionalFormatting sqref="D14:J26">
    <cfRule type="cellIs" dxfId="74" priority="67" stopIfTrue="1" operator="equal">
      <formula>0</formula>
    </cfRule>
  </conditionalFormatting>
  <pageMargins left="0.25" right="0.25" top="0.5" bottom="0.45" header="0.25" footer="0.25"/>
  <pageSetup fitToHeight="3" orientation="landscape" r:id="rId1"/>
  <headerFooter>
    <oddHeader xml:space="preserve">&amp;L &amp;C &amp;R </oddHeader>
    <oddFooter>&amp;L&amp;7&amp;D  at &amp;T Mike 702.854.0691&amp;C&amp;7&amp;F  &amp;A&amp;R&amp;7Page &amp;P of &amp;N</oddFooter>
  </headerFooter>
  <rowBreaks count="2" manualBreakCount="2">
    <brk id="46" max="10" man="1"/>
    <brk id="7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99"/>
  </sheetPr>
  <dimension ref="A1:N149"/>
  <sheetViews>
    <sheetView zoomScale="81" zoomScaleNormal="145" workbookViewId="0">
      <selection activeCell="G135" sqref="G135"/>
    </sheetView>
  </sheetViews>
  <sheetFormatPr defaultColWidth="8.6640625" defaultRowHeight="13.8"/>
  <cols>
    <col min="1" max="1" width="5.5546875" style="32" customWidth="1"/>
    <col min="2" max="2" width="44.33203125" style="32" customWidth="1"/>
    <col min="3" max="3" width="17.6640625" style="32" customWidth="1"/>
    <col min="4" max="4" width="10.44140625" style="32" customWidth="1"/>
    <col min="5" max="5" width="11" style="32" customWidth="1"/>
    <col min="6" max="6" width="15.33203125" style="32" customWidth="1"/>
    <col min="7" max="7" width="16.33203125" style="32" customWidth="1"/>
    <col min="8" max="9" width="21" style="32" customWidth="1"/>
    <col min="10" max="12" width="17" style="32" customWidth="1"/>
    <col min="13" max="13" width="1.33203125" style="32" customWidth="1"/>
    <col min="14" max="14" width="88.5546875" style="257" customWidth="1"/>
    <col min="15" max="15" width="12.33203125" style="32" customWidth="1"/>
    <col min="16" max="16384" width="8.6640625" style="32"/>
  </cols>
  <sheetData>
    <row r="1" spans="1:14" ht="17.399999999999999">
      <c r="A1" s="1493" t="s">
        <v>39</v>
      </c>
      <c r="B1" s="1494"/>
      <c r="D1" s="347"/>
      <c r="E1" s="347"/>
    </row>
    <row r="2" spans="1:14" ht="15.6">
      <c r="A2" s="35" t="str">
        <f>SchoolName</f>
        <v>Game Changers Sports Academy</v>
      </c>
      <c r="B2" s="36"/>
    </row>
    <row r="3" spans="1:14">
      <c r="A3" s="37"/>
      <c r="K3" s="30"/>
    </row>
    <row r="4" spans="1:14">
      <c r="A4" s="38"/>
    </row>
    <row r="5" spans="1:14">
      <c r="A5" s="29"/>
    </row>
    <row r="6" spans="1:14" ht="15.6">
      <c r="A6" s="59"/>
      <c r="E6" s="60"/>
      <c r="G6" s="221"/>
      <c r="J6" s="60"/>
    </row>
    <row r="7" spans="1:14">
      <c r="A7" s="59"/>
      <c r="E7" s="31"/>
      <c r="G7" s="31"/>
      <c r="J7" s="31"/>
    </row>
    <row r="8" spans="1:14">
      <c r="A8" s="59"/>
      <c r="F8" s="31"/>
      <c r="G8" s="30"/>
    </row>
    <row r="9" spans="1:14">
      <c r="A9" s="59"/>
      <c r="B9" s="30"/>
      <c r="F9" s="1510">
        <v>0</v>
      </c>
      <c r="G9" s="1511">
        <v>1</v>
      </c>
      <c r="H9" s="1511">
        <f>1+G9</f>
        <v>2</v>
      </c>
      <c r="I9" s="1511">
        <f>1+H9</f>
        <v>3</v>
      </c>
      <c r="J9" s="1511">
        <f>1+I9</f>
        <v>4</v>
      </c>
      <c r="K9" s="1511">
        <f>1+J9</f>
        <v>5</v>
      </c>
      <c r="L9" s="1512">
        <f>1+K9</f>
        <v>6</v>
      </c>
    </row>
    <row r="10" spans="1:14">
      <c r="A10" s="290"/>
      <c r="B10" s="61"/>
      <c r="E10" s="60"/>
      <c r="F10" s="1513">
        <f>+G10-1</f>
        <v>2025</v>
      </c>
      <c r="G10" s="1514">
        <f>'Cover &amp; Loc'!C11</f>
        <v>2026</v>
      </c>
      <c r="H10" s="1514">
        <f>+G11</f>
        <v>2027</v>
      </c>
      <c r="I10" s="1514">
        <f>+H11</f>
        <v>2028</v>
      </c>
      <c r="J10" s="1514">
        <f>+I11</f>
        <v>2029</v>
      </c>
      <c r="K10" s="1514">
        <f>+J11</f>
        <v>2030</v>
      </c>
      <c r="L10" s="1515">
        <f>+K11</f>
        <v>2031</v>
      </c>
    </row>
    <row r="11" spans="1:14" ht="17.399999999999999">
      <c r="A11" s="290">
        <f>ROW()</f>
        <v>11</v>
      </c>
      <c r="B11" s="1497"/>
      <c r="C11" s="248"/>
      <c r="D11" s="244"/>
      <c r="E11" s="31"/>
      <c r="F11" s="1516">
        <f>+G11-1</f>
        <v>2026</v>
      </c>
      <c r="G11" s="1516">
        <f t="shared" ref="G11:L11" si="0">+G10+1</f>
        <v>2027</v>
      </c>
      <c r="H11" s="1516">
        <f t="shared" si="0"/>
        <v>2028</v>
      </c>
      <c r="I11" s="1516">
        <f t="shared" si="0"/>
        <v>2029</v>
      </c>
      <c r="J11" s="1516">
        <f t="shared" si="0"/>
        <v>2030</v>
      </c>
      <c r="K11" s="1516">
        <f t="shared" si="0"/>
        <v>2031</v>
      </c>
      <c r="L11" s="1517">
        <f t="shared" si="0"/>
        <v>2032</v>
      </c>
    </row>
    <row r="12" spans="1:14" s="58" customFormat="1" ht="15.6">
      <c r="A12" s="1498">
        <f>ROW()</f>
        <v>12</v>
      </c>
      <c r="B12" s="1495"/>
      <c r="D12" s="1496"/>
      <c r="E12" s="1496"/>
      <c r="F12" s="508"/>
      <c r="G12" s="1499">
        <f>+G36</f>
        <v>230</v>
      </c>
      <c r="H12" s="1499">
        <f t="shared" ref="H12:L12" si="1">+H36</f>
        <v>310</v>
      </c>
      <c r="I12" s="1499">
        <f t="shared" si="1"/>
        <v>390</v>
      </c>
      <c r="J12" s="1499">
        <f t="shared" si="1"/>
        <v>470</v>
      </c>
      <c r="K12" s="1499">
        <f t="shared" si="1"/>
        <v>550</v>
      </c>
      <c r="L12" s="1499">
        <f t="shared" si="1"/>
        <v>560</v>
      </c>
      <c r="N12" s="1136"/>
    </row>
    <row r="13" spans="1:14" ht="15.6" hidden="1">
      <c r="A13" s="290">
        <f>ROW()</f>
        <v>13</v>
      </c>
      <c r="B13" s="74"/>
      <c r="D13" s="244"/>
      <c r="E13" s="244"/>
      <c r="F13" s="244"/>
      <c r="G13" s="248"/>
      <c r="H13" s="248"/>
      <c r="I13" s="248"/>
      <c r="J13" s="248"/>
      <c r="K13" s="248"/>
      <c r="L13" s="248"/>
    </row>
    <row r="14" spans="1:14" ht="15.6" hidden="1">
      <c r="A14" s="290"/>
      <c r="B14" s="696"/>
      <c r="C14" s="1500"/>
      <c r="D14" s="1500"/>
      <c r="E14" s="1500"/>
      <c r="F14" s="508"/>
      <c r="G14" s="1501"/>
      <c r="H14" s="1501"/>
      <c r="I14" s="1501"/>
      <c r="J14" s="1501"/>
      <c r="K14" s="1501"/>
      <c r="L14" s="1501"/>
    </row>
    <row r="15" spans="1:14" ht="15.6">
      <c r="A15" s="290">
        <f>ROW()</f>
        <v>15</v>
      </c>
      <c r="B15" s="30"/>
      <c r="F15" s="244"/>
      <c r="G15" s="248"/>
      <c r="H15" s="248"/>
      <c r="I15" s="248"/>
      <c r="J15" s="248"/>
      <c r="K15" s="248"/>
      <c r="L15" s="248"/>
    </row>
    <row r="16" spans="1:14" ht="15.6">
      <c r="A16" s="290">
        <f>ROW()</f>
        <v>16</v>
      </c>
      <c r="B16" s="1502" t="s">
        <v>245</v>
      </c>
      <c r="C16" s="1503"/>
      <c r="D16" s="1503"/>
      <c r="E16" s="1503"/>
      <c r="F16" s="1504"/>
      <c r="G16" s="1505"/>
      <c r="H16" s="1505"/>
      <c r="I16" s="1505"/>
      <c r="J16" s="1505"/>
      <c r="K16" s="1505"/>
      <c r="L16" s="1505"/>
      <c r="N16" s="1425" t="s">
        <v>1253</v>
      </c>
    </row>
    <row r="17" spans="1:14">
      <c r="A17" s="290">
        <f>ROW()</f>
        <v>17</v>
      </c>
      <c r="B17" s="568" t="s">
        <v>212</v>
      </c>
      <c r="C17" s="450"/>
      <c r="D17" s="450"/>
      <c r="E17" s="450"/>
      <c r="F17" s="569"/>
      <c r="G17" s="677">
        <f t="shared" ref="G17:L17" si="2">COUNTIF(G23:G35,"&gt;0")</f>
        <v>3</v>
      </c>
      <c r="H17" s="677">
        <f t="shared" si="2"/>
        <v>4</v>
      </c>
      <c r="I17" s="677">
        <f t="shared" si="2"/>
        <v>5</v>
      </c>
      <c r="J17" s="677">
        <f t="shared" si="2"/>
        <v>6</v>
      </c>
      <c r="K17" s="677">
        <f t="shared" si="2"/>
        <v>7</v>
      </c>
      <c r="L17" s="677">
        <f t="shared" si="2"/>
        <v>7</v>
      </c>
      <c r="N17" s="287"/>
    </row>
    <row r="18" spans="1:14">
      <c r="A18" s="290">
        <f>ROW()</f>
        <v>18</v>
      </c>
      <c r="B18" s="64" t="s">
        <v>1256</v>
      </c>
      <c r="C18" s="66"/>
      <c r="D18" s="66"/>
      <c r="E18" s="66"/>
      <c r="F18" s="421"/>
      <c r="G18" s="534">
        <v>20</v>
      </c>
      <c r="H18" s="534">
        <v>20</v>
      </c>
      <c r="I18" s="534">
        <v>20</v>
      </c>
      <c r="J18" s="534">
        <v>20</v>
      </c>
      <c r="K18" s="534">
        <v>20</v>
      </c>
      <c r="L18" s="534">
        <v>20</v>
      </c>
      <c r="N18" s="287"/>
    </row>
    <row r="19" spans="1:14">
      <c r="A19" s="290">
        <f>ROW()</f>
        <v>19</v>
      </c>
      <c r="B19" s="64" t="s">
        <v>1257</v>
      </c>
      <c r="C19" s="66"/>
      <c r="D19" s="66"/>
      <c r="E19" s="66"/>
      <c r="F19" s="421"/>
      <c r="G19" s="678">
        <f>IFERROR(+G36/G18,0)</f>
        <v>11.5</v>
      </c>
      <c r="H19" s="678">
        <f t="shared" ref="H19:L19" si="3">IFERROR(+H36/H18,0)</f>
        <v>15.5</v>
      </c>
      <c r="I19" s="678">
        <f t="shared" si="3"/>
        <v>19.5</v>
      </c>
      <c r="J19" s="678">
        <f t="shared" si="3"/>
        <v>23.5</v>
      </c>
      <c r="K19" s="678">
        <f t="shared" si="3"/>
        <v>27.5</v>
      </c>
      <c r="L19" s="678">
        <f t="shared" si="3"/>
        <v>28</v>
      </c>
      <c r="N19" s="287"/>
    </row>
    <row r="20" spans="1:14">
      <c r="A20" s="290">
        <f>ROW()</f>
        <v>20</v>
      </c>
      <c r="B20" s="64" t="s">
        <v>1258</v>
      </c>
      <c r="C20" s="66"/>
      <c r="D20" s="66"/>
      <c r="E20" s="66"/>
      <c r="F20" s="421"/>
      <c r="G20" s="679">
        <v>26</v>
      </c>
      <c r="H20" s="679">
        <v>26</v>
      </c>
      <c r="I20" s="679">
        <v>26</v>
      </c>
      <c r="J20" s="679">
        <v>26</v>
      </c>
      <c r="K20" s="679">
        <v>26</v>
      </c>
      <c r="L20" s="679">
        <v>26</v>
      </c>
      <c r="N20" s="287"/>
    </row>
    <row r="21" spans="1:14">
      <c r="A21" s="290">
        <f>ROW()</f>
        <v>21</v>
      </c>
      <c r="B21" s="567" t="s">
        <v>246</v>
      </c>
      <c r="C21" s="580"/>
      <c r="D21" s="580"/>
      <c r="E21" s="580"/>
      <c r="F21" s="581"/>
      <c r="G21" s="680">
        <f>IFERROR(G36/G20,0)</f>
        <v>8.8461538461538467</v>
      </c>
      <c r="H21" s="680">
        <f t="shared" ref="H21:L21" si="4">IFERROR(H36/H20,0)</f>
        <v>11.923076923076923</v>
      </c>
      <c r="I21" s="680">
        <f t="shared" si="4"/>
        <v>15</v>
      </c>
      <c r="J21" s="680">
        <f t="shared" si="4"/>
        <v>18.076923076923077</v>
      </c>
      <c r="K21" s="680">
        <f t="shared" si="4"/>
        <v>21.153846153846153</v>
      </c>
      <c r="L21" s="680">
        <f t="shared" si="4"/>
        <v>21.53846153846154</v>
      </c>
      <c r="N21" s="287"/>
    </row>
    <row r="22" spans="1:14">
      <c r="A22" s="290">
        <f>ROW()</f>
        <v>22</v>
      </c>
      <c r="B22" s="39"/>
      <c r="C22" s="39"/>
      <c r="D22" s="39"/>
      <c r="E22" s="39"/>
      <c r="F22" s="212"/>
      <c r="G22" s="212"/>
      <c r="H22" s="212"/>
      <c r="I22" s="212"/>
      <c r="J22" s="212"/>
      <c r="K22" s="212"/>
      <c r="L22" s="212"/>
      <c r="N22" s="287"/>
    </row>
    <row r="23" spans="1:14">
      <c r="A23" s="290">
        <f>ROW()</f>
        <v>23</v>
      </c>
      <c r="B23" s="104" t="s">
        <v>214</v>
      </c>
      <c r="C23" s="104"/>
      <c r="D23" s="104"/>
      <c r="E23" s="104"/>
      <c r="F23" s="1787"/>
      <c r="G23" s="681"/>
      <c r="H23" s="681">
        <v>0</v>
      </c>
      <c r="I23" s="681">
        <v>0</v>
      </c>
      <c r="J23" s="681">
        <v>0</v>
      </c>
      <c r="K23" s="681">
        <v>0</v>
      </c>
      <c r="L23" s="681">
        <v>0</v>
      </c>
      <c r="N23" s="287"/>
    </row>
    <row r="24" spans="1:14">
      <c r="A24" s="290">
        <f>ROW()</f>
        <v>24</v>
      </c>
      <c r="B24" s="66" t="s">
        <v>215</v>
      </c>
      <c r="C24" s="66"/>
      <c r="D24" s="66"/>
      <c r="E24" s="66"/>
      <c r="F24" s="1788"/>
      <c r="G24" s="535">
        <v>0</v>
      </c>
      <c r="H24" s="535">
        <v>0</v>
      </c>
      <c r="I24" s="535">
        <v>0</v>
      </c>
      <c r="J24" s="535">
        <v>0</v>
      </c>
      <c r="K24" s="535">
        <v>0</v>
      </c>
      <c r="L24" s="535">
        <v>0</v>
      </c>
      <c r="N24" s="287"/>
    </row>
    <row r="25" spans="1:14">
      <c r="A25" s="290">
        <f>ROW()</f>
        <v>25</v>
      </c>
      <c r="B25" s="66" t="s">
        <v>216</v>
      </c>
      <c r="C25" s="66"/>
      <c r="D25" s="66"/>
      <c r="E25" s="66"/>
      <c r="F25" s="1788"/>
      <c r="G25" s="535">
        <v>0</v>
      </c>
      <c r="H25" s="535">
        <v>0</v>
      </c>
      <c r="I25" s="535">
        <v>0</v>
      </c>
      <c r="J25" s="535">
        <v>0</v>
      </c>
      <c r="K25" s="535">
        <v>0</v>
      </c>
      <c r="L25" s="535">
        <v>0</v>
      </c>
      <c r="N25" s="287"/>
    </row>
    <row r="26" spans="1:14">
      <c r="A26" s="290">
        <f>ROW()</f>
        <v>26</v>
      </c>
      <c r="B26" s="66" t="s">
        <v>217</v>
      </c>
      <c r="C26" s="66"/>
      <c r="D26" s="66"/>
      <c r="E26" s="66"/>
      <c r="F26" s="1788"/>
      <c r="G26" s="535">
        <v>0</v>
      </c>
      <c r="H26" s="535">
        <v>0</v>
      </c>
      <c r="I26" s="535">
        <v>0</v>
      </c>
      <c r="J26" s="535">
        <v>0</v>
      </c>
      <c r="K26" s="535">
        <v>0</v>
      </c>
      <c r="L26" s="535">
        <v>0</v>
      </c>
      <c r="N26" s="287"/>
    </row>
    <row r="27" spans="1:14">
      <c r="A27" s="290">
        <f>ROW()</f>
        <v>27</v>
      </c>
      <c r="B27" s="66" t="s">
        <v>218</v>
      </c>
      <c r="C27" s="66"/>
      <c r="D27" s="66"/>
      <c r="E27" s="66"/>
      <c r="F27" s="1788"/>
      <c r="G27" s="535">
        <v>0</v>
      </c>
      <c r="H27" s="535">
        <v>0</v>
      </c>
      <c r="I27" s="535">
        <v>0</v>
      </c>
      <c r="J27" s="535">
        <v>0</v>
      </c>
      <c r="K27" s="535">
        <v>0</v>
      </c>
      <c r="L27" s="535">
        <v>0</v>
      </c>
      <c r="N27" s="287"/>
    </row>
    <row r="28" spans="1:14">
      <c r="A28" s="290">
        <f>ROW()</f>
        <v>28</v>
      </c>
      <c r="B28" s="445" t="s">
        <v>219</v>
      </c>
      <c r="C28" s="445"/>
      <c r="D28" s="445"/>
      <c r="E28" s="445"/>
      <c r="F28" s="1789"/>
      <c r="G28" s="1290">
        <v>0</v>
      </c>
      <c r="H28" s="1290">
        <v>0</v>
      </c>
      <c r="I28" s="1290">
        <v>0</v>
      </c>
      <c r="J28" s="1290">
        <v>0</v>
      </c>
      <c r="K28" s="1290">
        <v>0</v>
      </c>
      <c r="L28" s="1290">
        <v>0</v>
      </c>
      <c r="N28" s="287"/>
    </row>
    <row r="29" spans="1:14">
      <c r="A29" s="290">
        <f>ROW()</f>
        <v>29</v>
      </c>
      <c r="B29" s="450" t="s">
        <v>220</v>
      </c>
      <c r="C29" s="450"/>
      <c r="D29" s="450"/>
      <c r="E29" s="450"/>
      <c r="F29" s="1790"/>
      <c r="G29" s="681">
        <v>80</v>
      </c>
      <c r="H29" s="681">
        <v>80</v>
      </c>
      <c r="I29" s="681">
        <v>80</v>
      </c>
      <c r="J29" s="681">
        <v>80</v>
      </c>
      <c r="K29" s="681">
        <v>80</v>
      </c>
      <c r="L29" s="681">
        <v>80</v>
      </c>
      <c r="N29" s="287"/>
    </row>
    <row r="30" spans="1:14">
      <c r="A30" s="290">
        <f>ROW()</f>
        <v>30</v>
      </c>
      <c r="B30" s="66" t="s">
        <v>221</v>
      </c>
      <c r="C30" s="66"/>
      <c r="D30" s="66"/>
      <c r="E30" s="66"/>
      <c r="F30" s="1791"/>
      <c r="G30" s="535">
        <v>80</v>
      </c>
      <c r="H30" s="535">
        <v>80</v>
      </c>
      <c r="I30" s="535">
        <v>80</v>
      </c>
      <c r="J30" s="535">
        <v>80</v>
      </c>
      <c r="K30" s="535">
        <v>80</v>
      </c>
      <c r="L30" s="535">
        <v>80</v>
      </c>
      <c r="N30" s="287"/>
    </row>
    <row r="31" spans="1:14">
      <c r="A31" s="290">
        <f>ROW()</f>
        <v>31</v>
      </c>
      <c r="B31" s="445" t="s">
        <v>222</v>
      </c>
      <c r="C31" s="445"/>
      <c r="D31" s="445"/>
      <c r="E31" s="445"/>
      <c r="F31" s="1789"/>
      <c r="G31" s="1290">
        <v>70</v>
      </c>
      <c r="H31" s="1290">
        <v>80</v>
      </c>
      <c r="I31" s="1290">
        <v>80</v>
      </c>
      <c r="J31" s="1290">
        <v>80</v>
      </c>
      <c r="K31" s="1290">
        <v>80</v>
      </c>
      <c r="L31" s="1290">
        <v>80</v>
      </c>
      <c r="N31" s="287"/>
    </row>
    <row r="32" spans="1:14">
      <c r="A32" s="290">
        <f>ROW()</f>
        <v>32</v>
      </c>
      <c r="B32" s="450" t="s">
        <v>223</v>
      </c>
      <c r="C32" s="450"/>
      <c r="D32" s="450"/>
      <c r="E32" s="450"/>
      <c r="F32" s="1790"/>
      <c r="G32" s="681">
        <v>0</v>
      </c>
      <c r="H32" s="681">
        <v>70</v>
      </c>
      <c r="I32" s="681">
        <v>80</v>
      </c>
      <c r="J32" s="681">
        <v>80</v>
      </c>
      <c r="K32" s="681">
        <v>80</v>
      </c>
      <c r="L32" s="681">
        <v>80</v>
      </c>
      <c r="N32" s="287"/>
    </row>
    <row r="33" spans="1:14">
      <c r="A33" s="290">
        <f>ROW()</f>
        <v>33</v>
      </c>
      <c r="B33" s="66" t="s">
        <v>224</v>
      </c>
      <c r="C33" s="66"/>
      <c r="D33" s="66"/>
      <c r="E33" s="66"/>
      <c r="F33" s="1791"/>
      <c r="G33" s="535">
        <v>0</v>
      </c>
      <c r="H33" s="535">
        <v>0</v>
      </c>
      <c r="I33" s="535">
        <v>70</v>
      </c>
      <c r="J33" s="535">
        <v>80</v>
      </c>
      <c r="K33" s="535">
        <v>80</v>
      </c>
      <c r="L33" s="535">
        <v>80</v>
      </c>
      <c r="N33" s="287"/>
    </row>
    <row r="34" spans="1:14">
      <c r="A34" s="290">
        <f>ROW()</f>
        <v>34</v>
      </c>
      <c r="B34" s="66" t="s">
        <v>225</v>
      </c>
      <c r="C34" s="66"/>
      <c r="D34" s="66"/>
      <c r="E34" s="66"/>
      <c r="F34" s="1791"/>
      <c r="G34" s="535">
        <v>0</v>
      </c>
      <c r="H34" s="535">
        <v>0</v>
      </c>
      <c r="I34" s="535">
        <v>0</v>
      </c>
      <c r="J34" s="535">
        <v>70</v>
      </c>
      <c r="K34" s="535">
        <v>80</v>
      </c>
      <c r="L34" s="535">
        <v>80</v>
      </c>
      <c r="N34" s="287"/>
    </row>
    <row r="35" spans="1:14">
      <c r="A35" s="290">
        <f>ROW()</f>
        <v>35</v>
      </c>
      <c r="B35" s="66" t="s">
        <v>226</v>
      </c>
      <c r="F35" s="1792"/>
      <c r="G35" s="536">
        <v>0</v>
      </c>
      <c r="H35" s="536">
        <v>0</v>
      </c>
      <c r="I35" s="536">
        <v>0</v>
      </c>
      <c r="J35" s="536">
        <v>0</v>
      </c>
      <c r="K35" s="536">
        <v>70</v>
      </c>
      <c r="L35" s="536">
        <v>80</v>
      </c>
      <c r="N35" s="287"/>
    </row>
    <row r="36" spans="1:14">
      <c r="A36" s="290">
        <f>ROW()</f>
        <v>36</v>
      </c>
      <c r="B36" s="122" t="s">
        <v>227</v>
      </c>
      <c r="C36" s="104"/>
      <c r="D36" s="104"/>
      <c r="E36" s="104"/>
      <c r="F36" s="105"/>
      <c r="G36" s="966">
        <f t="shared" ref="G36:L36" si="5">SUM(G23:G35)</f>
        <v>230</v>
      </c>
      <c r="H36" s="966">
        <f t="shared" si="5"/>
        <v>310</v>
      </c>
      <c r="I36" s="966">
        <f t="shared" si="5"/>
        <v>390</v>
      </c>
      <c r="J36" s="966">
        <f t="shared" si="5"/>
        <v>470</v>
      </c>
      <c r="K36" s="966">
        <f t="shared" si="5"/>
        <v>550</v>
      </c>
      <c r="L36" s="966">
        <f t="shared" si="5"/>
        <v>560</v>
      </c>
      <c r="N36" s="287"/>
    </row>
    <row r="37" spans="1:14">
      <c r="A37" s="290">
        <f>ROW()</f>
        <v>37</v>
      </c>
      <c r="B37" s="122" t="s">
        <v>1259</v>
      </c>
      <c r="C37" s="104"/>
      <c r="D37" s="104"/>
      <c r="E37" s="104"/>
      <c r="F37" s="105"/>
      <c r="G37" s="1343">
        <v>230</v>
      </c>
      <c r="H37" s="1343">
        <v>310</v>
      </c>
      <c r="I37" s="1343">
        <v>390</v>
      </c>
      <c r="J37" s="1343">
        <v>470</v>
      </c>
      <c r="K37" s="1343">
        <v>550</v>
      </c>
      <c r="L37" s="1343">
        <v>560</v>
      </c>
      <c r="N37" s="287"/>
    </row>
    <row r="38" spans="1:14">
      <c r="A38" s="290">
        <f>ROW()</f>
        <v>38</v>
      </c>
      <c r="B38" s="1268" t="s">
        <v>247</v>
      </c>
      <c r="F38" s="152"/>
      <c r="G38" s="1269">
        <f>+G36/G37</f>
        <v>1</v>
      </c>
      <c r="H38" s="1269">
        <f t="shared" ref="H38:L38" si="6">+H36/H37</f>
        <v>1</v>
      </c>
      <c r="I38" s="1269">
        <f t="shared" si="6"/>
        <v>1</v>
      </c>
      <c r="J38" s="1269">
        <f t="shared" si="6"/>
        <v>1</v>
      </c>
      <c r="K38" s="1269">
        <f t="shared" si="6"/>
        <v>1</v>
      </c>
      <c r="L38" s="1269">
        <f t="shared" si="6"/>
        <v>1</v>
      </c>
      <c r="N38" s="287"/>
    </row>
    <row r="39" spans="1:14">
      <c r="A39" s="290">
        <f>ROW()</f>
        <v>39</v>
      </c>
      <c r="B39" s="1268" t="s">
        <v>248</v>
      </c>
      <c r="F39" s="152"/>
      <c r="G39" s="1269"/>
      <c r="H39" s="1270">
        <f>(H36/G36)-1</f>
        <v>0.34782608695652173</v>
      </c>
      <c r="I39" s="1270">
        <f t="shared" ref="I39:L39" si="7">(I36/H36)-1</f>
        <v>0.25806451612903225</v>
      </c>
      <c r="J39" s="1270">
        <f t="shared" si="7"/>
        <v>0.20512820512820507</v>
      </c>
      <c r="K39" s="1270">
        <f t="shared" si="7"/>
        <v>0.17021276595744683</v>
      </c>
      <c r="L39" s="1270">
        <f t="shared" si="7"/>
        <v>1.8181818181818077E-2</v>
      </c>
      <c r="N39" s="287"/>
    </row>
    <row r="40" spans="1:14">
      <c r="A40" s="290">
        <f>ROW()</f>
        <v>40</v>
      </c>
      <c r="B40" s="122" t="s">
        <v>249</v>
      </c>
      <c r="C40" s="104"/>
      <c r="D40" s="104"/>
      <c r="E40" s="104"/>
      <c r="F40" s="967"/>
      <c r="G40" s="1794">
        <f>+'Mkt Res'!E29</f>
        <v>0</v>
      </c>
      <c r="H40" s="1794">
        <f>+'Mkt Res'!F29</f>
        <v>0</v>
      </c>
      <c r="I40" s="1794">
        <f>+'Mkt Res'!G29</f>
        <v>0</v>
      </c>
      <c r="J40" s="1794">
        <f>+'Mkt Res'!H29</f>
        <v>0</v>
      </c>
      <c r="K40" s="1794">
        <f>+'Mkt Res'!I29</f>
        <v>0</v>
      </c>
      <c r="L40" s="1794">
        <f>+'Mkt Res'!J29</f>
        <v>0</v>
      </c>
      <c r="N40" s="287"/>
    </row>
    <row r="41" spans="1:14">
      <c r="A41" s="290">
        <f>ROW()</f>
        <v>41</v>
      </c>
      <c r="B41" s="63" t="s">
        <v>250</v>
      </c>
      <c r="C41" s="58"/>
      <c r="D41" s="58"/>
      <c r="E41" s="58"/>
      <c r="F41" s="1795"/>
      <c r="G41" s="1796">
        <f>+'Mkt Res'!E30</f>
        <v>0</v>
      </c>
      <c r="H41" s="1796">
        <f>+'Mkt Res'!F30</f>
        <v>0</v>
      </c>
      <c r="I41" s="1796">
        <f>+'Mkt Res'!G30</f>
        <v>0</v>
      </c>
      <c r="J41" s="1796">
        <f>+'Mkt Res'!H30</f>
        <v>0</v>
      </c>
      <c r="K41" s="1796">
        <f>+'Mkt Res'!I30</f>
        <v>0</v>
      </c>
      <c r="L41" s="1796">
        <f>+'Mkt Res'!J30</f>
        <v>0</v>
      </c>
      <c r="N41" s="287"/>
    </row>
    <row r="42" spans="1:14">
      <c r="A42" s="290">
        <f>ROW()</f>
        <v>42</v>
      </c>
      <c r="B42" s="1268"/>
      <c r="F42" s="361"/>
      <c r="G42" s="650"/>
      <c r="H42" s="550"/>
      <c r="I42" s="550"/>
      <c r="J42" s="550"/>
      <c r="K42" s="550"/>
      <c r="L42" s="550"/>
      <c r="N42" s="287"/>
    </row>
    <row r="43" spans="1:14">
      <c r="A43" s="290">
        <f>ROW()</f>
        <v>43</v>
      </c>
      <c r="B43" s="74" t="s">
        <v>251</v>
      </c>
      <c r="G43" s="1083">
        <v>60</v>
      </c>
      <c r="N43" s="287"/>
    </row>
    <row r="44" spans="1:14" ht="14.4">
      <c r="A44" s="290">
        <f>ROW()</f>
        <v>44</v>
      </c>
      <c r="B44" s="102" t="s">
        <v>252</v>
      </c>
      <c r="F44" s="1330"/>
      <c r="G44" s="682">
        <v>0.85</v>
      </c>
      <c r="H44" s="682">
        <v>0.85</v>
      </c>
      <c r="I44" s="682">
        <v>0.85</v>
      </c>
      <c r="J44" s="682">
        <v>0.85</v>
      </c>
      <c r="K44" s="682">
        <v>0.85</v>
      </c>
      <c r="L44" s="682">
        <v>0.85</v>
      </c>
      <c r="N44" s="287"/>
    </row>
    <row r="45" spans="1:14" ht="14.4">
      <c r="A45" s="290">
        <f>ROW()</f>
        <v>45</v>
      </c>
      <c r="B45" s="102" t="s">
        <v>253</v>
      </c>
      <c r="F45" s="31"/>
      <c r="G45" s="1793">
        <f t="shared" ref="G45:L45" si="8">+G36*(1-G44)</f>
        <v>34.500000000000007</v>
      </c>
      <c r="H45" s="1793">
        <f t="shared" si="8"/>
        <v>46.500000000000007</v>
      </c>
      <c r="I45" s="1793">
        <f t="shared" si="8"/>
        <v>58.500000000000007</v>
      </c>
      <c r="J45" s="1793">
        <f t="shared" si="8"/>
        <v>70.500000000000014</v>
      </c>
      <c r="K45" s="1793">
        <f t="shared" si="8"/>
        <v>82.500000000000014</v>
      </c>
      <c r="L45" s="1793">
        <f t="shared" si="8"/>
        <v>84.000000000000014</v>
      </c>
      <c r="N45" s="287"/>
    </row>
    <row r="46" spans="1:14" ht="14.4">
      <c r="A46" s="290">
        <f>ROW()</f>
        <v>46</v>
      </c>
      <c r="B46" s="102"/>
      <c r="F46" s="31"/>
      <c r="G46" s="429"/>
      <c r="H46" s="429"/>
      <c r="I46" s="429"/>
      <c r="J46" s="429"/>
      <c r="K46" s="429"/>
      <c r="L46" s="429"/>
      <c r="N46" s="287"/>
    </row>
    <row r="47" spans="1:14">
      <c r="A47" s="290">
        <f>ROW()</f>
        <v>47</v>
      </c>
      <c r="B47" s="1507" t="s">
        <v>254</v>
      </c>
      <c r="C47" s="1508"/>
      <c r="D47" s="1508"/>
      <c r="E47" s="1508"/>
      <c r="F47" s="1445"/>
      <c r="G47" s="1491"/>
      <c r="H47" s="1445"/>
      <c r="I47" s="1445"/>
      <c r="J47" s="1445"/>
      <c r="K47" s="1445"/>
      <c r="L47" s="1445"/>
      <c r="N47" s="287"/>
    </row>
    <row r="48" spans="1:14">
      <c r="A48" s="290">
        <f>ROW()</f>
        <v>48</v>
      </c>
      <c r="B48" s="30"/>
      <c r="C48" s="1325"/>
      <c r="D48" s="40" t="s">
        <v>255</v>
      </c>
      <c r="E48" s="40"/>
      <c r="N48" s="287"/>
    </row>
    <row r="49" spans="1:14">
      <c r="A49" s="290">
        <f>ROW()</f>
        <v>49</v>
      </c>
      <c r="C49" s="40"/>
      <c r="D49" s="40" t="s">
        <v>256</v>
      </c>
      <c r="E49" s="40"/>
      <c r="N49" s="287"/>
    </row>
    <row r="50" spans="1:14" hidden="1">
      <c r="A50" s="290">
        <f>ROW()</f>
        <v>50</v>
      </c>
      <c r="B50" s="1326" t="s">
        <v>1166</v>
      </c>
      <c r="C50" s="1327"/>
      <c r="D50" s="450"/>
      <c r="E50" s="1331"/>
      <c r="F50" s="1321"/>
      <c r="G50" s="1321"/>
      <c r="H50" s="1321"/>
      <c r="I50" s="1321"/>
      <c r="J50" s="1321"/>
      <c r="K50" s="1321"/>
      <c r="L50" s="1321"/>
      <c r="N50" s="287"/>
    </row>
    <row r="51" spans="1:14" ht="14.4">
      <c r="A51" s="290">
        <f>ROW()</f>
        <v>51</v>
      </c>
      <c r="B51" s="66" t="s">
        <v>257</v>
      </c>
      <c r="C51" s="1328"/>
      <c r="D51" s="1033">
        <v>0.12</v>
      </c>
      <c r="E51" s="1328"/>
      <c r="F51" s="1332"/>
      <c r="G51" s="1322">
        <f t="shared" ref="G51:L54" si="9">+$D51*G$36</f>
        <v>27.599999999999998</v>
      </c>
      <c r="H51" s="1322">
        <f t="shared" si="9"/>
        <v>37.199999999999996</v>
      </c>
      <c r="I51" s="1322">
        <f t="shared" si="9"/>
        <v>46.8</v>
      </c>
      <c r="J51" s="1322">
        <f t="shared" si="9"/>
        <v>56.4</v>
      </c>
      <c r="K51" s="1322">
        <f t="shared" si="9"/>
        <v>66</v>
      </c>
      <c r="L51" s="1322">
        <f t="shared" si="9"/>
        <v>67.2</v>
      </c>
      <c r="N51" s="287"/>
    </row>
    <row r="52" spans="1:14">
      <c r="A52" s="290">
        <f>ROW()</f>
        <v>52</v>
      </c>
      <c r="B52" s="64" t="s">
        <v>258</v>
      </c>
      <c r="C52" s="1328"/>
      <c r="D52" s="1033">
        <v>0.45</v>
      </c>
      <c r="E52" s="1328"/>
      <c r="F52" s="1333"/>
      <c r="G52" s="1322">
        <f t="shared" si="9"/>
        <v>103.5</v>
      </c>
      <c r="H52" s="1322">
        <f t="shared" si="9"/>
        <v>139.5</v>
      </c>
      <c r="I52" s="1322">
        <f t="shared" si="9"/>
        <v>175.5</v>
      </c>
      <c r="J52" s="1322">
        <f t="shared" si="9"/>
        <v>211.5</v>
      </c>
      <c r="K52" s="1322">
        <f t="shared" si="9"/>
        <v>247.5</v>
      </c>
      <c r="L52" s="1322">
        <f t="shared" si="9"/>
        <v>252</v>
      </c>
      <c r="N52" s="287"/>
    </row>
    <row r="53" spans="1:14" ht="14.4">
      <c r="A53" s="290">
        <f>ROW()</f>
        <v>53</v>
      </c>
      <c r="B53" s="64" t="s">
        <v>259</v>
      </c>
      <c r="C53" s="1328"/>
      <c r="D53" s="1033">
        <v>0</v>
      </c>
      <c r="E53" s="1334"/>
      <c r="F53" s="1335"/>
      <c r="G53" s="1322">
        <f t="shared" si="9"/>
        <v>0</v>
      </c>
      <c r="H53" s="1322">
        <f t="shared" si="9"/>
        <v>0</v>
      </c>
      <c r="I53" s="1322">
        <f t="shared" si="9"/>
        <v>0</v>
      </c>
      <c r="J53" s="1322">
        <f t="shared" si="9"/>
        <v>0</v>
      </c>
      <c r="K53" s="1322">
        <f t="shared" si="9"/>
        <v>0</v>
      </c>
      <c r="L53" s="1322">
        <f t="shared" si="9"/>
        <v>0</v>
      </c>
      <c r="N53" s="287"/>
    </row>
    <row r="54" spans="1:14" ht="14.4">
      <c r="A54" s="290">
        <f>ROW()</f>
        <v>54</v>
      </c>
      <c r="B54" s="66" t="s">
        <v>1385</v>
      </c>
      <c r="C54" s="1328"/>
      <c r="D54" s="1826">
        <v>0.45</v>
      </c>
      <c r="E54" s="1328"/>
      <c r="F54" s="1335"/>
      <c r="G54" s="1322">
        <f t="shared" si="9"/>
        <v>103.5</v>
      </c>
      <c r="H54" s="1322">
        <f t="shared" si="9"/>
        <v>139.5</v>
      </c>
      <c r="I54" s="1322">
        <f t="shared" si="9"/>
        <v>175.5</v>
      </c>
      <c r="J54" s="1322">
        <f t="shared" si="9"/>
        <v>211.5</v>
      </c>
      <c r="K54" s="1322">
        <f t="shared" si="9"/>
        <v>247.5</v>
      </c>
      <c r="L54" s="1322">
        <f t="shared" si="9"/>
        <v>252</v>
      </c>
      <c r="N54" s="287"/>
    </row>
    <row r="55" spans="1:14" ht="14.4">
      <c r="A55" s="290">
        <f>ROW()</f>
        <v>55</v>
      </c>
      <c r="B55" s="567"/>
      <c r="C55" s="1329"/>
      <c r="D55" s="1336"/>
      <c r="E55" s="1336"/>
      <c r="F55" s="1337"/>
      <c r="G55" s="1323"/>
      <c r="H55" s="1323"/>
      <c r="I55" s="1323"/>
      <c r="J55" s="1323"/>
      <c r="K55" s="1323"/>
      <c r="L55" s="1323"/>
      <c r="N55" s="287"/>
    </row>
    <row r="56" spans="1:14">
      <c r="A56" s="290">
        <f>ROW()</f>
        <v>56</v>
      </c>
      <c r="B56" s="74" t="s">
        <v>260</v>
      </c>
      <c r="D56" s="1340">
        <f>SUM(D51:D55)</f>
        <v>1.02</v>
      </c>
      <c r="E56" s="1338"/>
      <c r="F56" s="1339" t="s">
        <v>261</v>
      </c>
      <c r="G56" s="1324">
        <f>SUM(G51:G55)</f>
        <v>234.6</v>
      </c>
      <c r="H56" s="1324">
        <f t="shared" ref="H56:L56" si="10">SUM(H51:H55)</f>
        <v>316.2</v>
      </c>
      <c r="I56" s="1324">
        <f t="shared" si="10"/>
        <v>397.8</v>
      </c>
      <c r="J56" s="1324">
        <f t="shared" si="10"/>
        <v>479.4</v>
      </c>
      <c r="K56" s="1324">
        <f t="shared" si="10"/>
        <v>561</v>
      </c>
      <c r="L56" s="1324">
        <f t="shared" si="10"/>
        <v>571.20000000000005</v>
      </c>
      <c r="N56" s="287"/>
    </row>
    <row r="57" spans="1:14">
      <c r="A57" s="290">
        <f>ROW()</f>
        <v>57</v>
      </c>
      <c r="B57" s="74"/>
      <c r="F57" s="1341"/>
      <c r="G57" s="1342"/>
      <c r="H57" s="1342"/>
      <c r="I57" s="1342"/>
      <c r="J57" s="1342"/>
      <c r="K57" s="1342"/>
      <c r="L57" s="1342"/>
      <c r="N57" s="287"/>
    </row>
    <row r="58" spans="1:14" ht="14.4">
      <c r="A58" s="290">
        <f>ROW()</f>
        <v>58</v>
      </c>
      <c r="B58" s="154"/>
      <c r="F58" s="31"/>
      <c r="G58" s="429"/>
      <c r="H58" s="429"/>
      <c r="I58" s="429"/>
      <c r="J58" s="429"/>
      <c r="K58" s="429"/>
      <c r="L58" s="429"/>
      <c r="N58" s="287"/>
    </row>
    <row r="59" spans="1:14">
      <c r="A59" s="290">
        <f>ROW()</f>
        <v>59</v>
      </c>
      <c r="B59" s="1509" t="s">
        <v>262</v>
      </c>
      <c r="C59" s="1508"/>
      <c r="D59" s="1508"/>
      <c r="E59" s="1508"/>
      <c r="F59" s="1445"/>
      <c r="G59" s="1491"/>
      <c r="H59" s="1445"/>
      <c r="I59" s="1445"/>
      <c r="J59" s="1445"/>
      <c r="K59" s="1445"/>
      <c r="L59" s="1445"/>
      <c r="N59" s="287"/>
    </row>
    <row r="60" spans="1:14">
      <c r="A60" s="290">
        <f>ROW()</f>
        <v>60</v>
      </c>
      <c r="B60" s="1344" t="s">
        <v>263</v>
      </c>
      <c r="C60" s="84"/>
      <c r="D60" s="84"/>
      <c r="E60" s="84"/>
      <c r="F60" s="84"/>
      <c r="G60" s="84"/>
      <c r="H60" s="84"/>
      <c r="I60" s="84"/>
      <c r="J60" s="84"/>
      <c r="K60" s="84"/>
      <c r="L60" s="84"/>
      <c r="N60" s="287"/>
    </row>
    <row r="61" spans="1:14">
      <c r="A61" s="290">
        <f>ROW()</f>
        <v>61</v>
      </c>
      <c r="B61" s="1344" t="s">
        <v>264</v>
      </c>
      <c r="C61" s="84"/>
      <c r="D61" s="1344"/>
      <c r="E61" s="84"/>
      <c r="F61" s="84"/>
      <c r="G61" s="84"/>
      <c r="H61" s="84"/>
      <c r="I61" s="84"/>
      <c r="J61" s="84"/>
      <c r="K61" s="84"/>
      <c r="L61" s="84"/>
      <c r="N61" s="287"/>
    </row>
    <row r="62" spans="1:14">
      <c r="A62" s="290">
        <f>ROW()</f>
        <v>62</v>
      </c>
      <c r="B62" s="1344" t="s">
        <v>265</v>
      </c>
      <c r="C62" s="84"/>
      <c r="D62" s="1344"/>
      <c r="E62" s="84"/>
      <c r="F62" s="84"/>
      <c r="G62" s="84"/>
      <c r="H62" s="84"/>
      <c r="I62" s="84"/>
      <c r="J62" s="84"/>
      <c r="K62" s="84"/>
      <c r="L62" s="84"/>
      <c r="N62" s="287"/>
    </row>
    <row r="63" spans="1:14">
      <c r="A63" s="290">
        <f>ROW()</f>
        <v>63</v>
      </c>
      <c r="B63" s="1344" t="s">
        <v>266</v>
      </c>
      <c r="C63" s="84"/>
      <c r="D63" s="1344"/>
      <c r="E63" s="84"/>
      <c r="F63" s="84"/>
      <c r="G63" s="84"/>
      <c r="H63" s="84"/>
      <c r="I63" s="84"/>
      <c r="J63" s="84"/>
      <c r="K63" s="84"/>
      <c r="L63" s="84"/>
      <c r="N63" s="287"/>
    </row>
    <row r="64" spans="1:14">
      <c r="A64" s="290">
        <f>ROW()</f>
        <v>64</v>
      </c>
      <c r="B64" s="1344"/>
      <c r="C64" s="84"/>
      <c r="D64" s="1344"/>
      <c r="E64" s="84"/>
      <c r="F64" s="84"/>
      <c r="G64" s="84"/>
      <c r="H64" s="84"/>
      <c r="I64" s="84"/>
      <c r="J64" s="84"/>
      <c r="K64" s="84"/>
      <c r="L64" s="84"/>
      <c r="N64" s="287"/>
    </row>
    <row r="65" spans="1:14">
      <c r="A65" s="290">
        <f>ROW()</f>
        <v>65</v>
      </c>
      <c r="B65" s="1325"/>
      <c r="C65" s="40" t="s">
        <v>267</v>
      </c>
      <c r="D65" s="1325" t="s">
        <v>268</v>
      </c>
      <c r="E65" s="40" t="s">
        <v>269</v>
      </c>
      <c r="N65" s="287"/>
    </row>
    <row r="66" spans="1:14">
      <c r="A66" s="290">
        <f>ROW()</f>
        <v>66</v>
      </c>
      <c r="C66" s="40" t="s">
        <v>270</v>
      </c>
      <c r="D66" s="40" t="s">
        <v>271</v>
      </c>
      <c r="E66" s="40" t="s">
        <v>270</v>
      </c>
      <c r="N66" s="287"/>
    </row>
    <row r="67" spans="1:14">
      <c r="A67" s="290">
        <f>ROW()</f>
        <v>67</v>
      </c>
      <c r="B67" s="450"/>
      <c r="C67" s="450"/>
      <c r="D67" s="450"/>
      <c r="E67" s="1331"/>
      <c r="F67" s="1782"/>
      <c r="G67" s="1782"/>
      <c r="H67" s="1782"/>
      <c r="I67" s="1782"/>
      <c r="J67" s="1782"/>
      <c r="K67" s="1782"/>
      <c r="L67" s="1782"/>
      <c r="N67" s="287"/>
    </row>
    <row r="68" spans="1:14">
      <c r="A68" s="290">
        <f>ROW()</f>
        <v>68</v>
      </c>
      <c r="B68" s="66" t="s">
        <v>257</v>
      </c>
      <c r="C68" s="1816">
        <v>0.12</v>
      </c>
      <c r="D68" s="1345">
        <v>1</v>
      </c>
      <c r="E68" s="1345">
        <f>+C68</f>
        <v>0.12</v>
      </c>
      <c r="F68" s="1783"/>
      <c r="G68" s="941">
        <f>+$E68*G$36</f>
        <v>27.599999999999998</v>
      </c>
      <c r="H68" s="941">
        <f t="shared" ref="H68:L68" si="11">+$E68*H$36</f>
        <v>37.199999999999996</v>
      </c>
      <c r="I68" s="941">
        <f t="shared" si="11"/>
        <v>46.8</v>
      </c>
      <c r="J68" s="941">
        <f t="shared" si="11"/>
        <v>56.4</v>
      </c>
      <c r="K68" s="941">
        <f t="shared" si="11"/>
        <v>66</v>
      </c>
      <c r="L68" s="941">
        <f t="shared" si="11"/>
        <v>67.2</v>
      </c>
      <c r="N68" s="287"/>
    </row>
    <row r="69" spans="1:14">
      <c r="A69" s="290">
        <f>ROW()</f>
        <v>69</v>
      </c>
      <c r="B69" s="64" t="s">
        <v>272</v>
      </c>
      <c r="C69" s="1816">
        <v>0.35</v>
      </c>
      <c r="D69" s="1345">
        <v>0.8579</v>
      </c>
      <c r="E69" s="1345">
        <f>+C69*D69</f>
        <v>0.300265</v>
      </c>
      <c r="F69" s="1784"/>
      <c r="G69" s="950">
        <f>+$E69*G$36</f>
        <v>69.060950000000005</v>
      </c>
      <c r="H69" s="950">
        <f t="shared" ref="H69:L71" si="12">+$E69*H$36</f>
        <v>93.082149999999999</v>
      </c>
      <c r="I69" s="950">
        <f t="shared" si="12"/>
        <v>117.10335000000001</v>
      </c>
      <c r="J69" s="950">
        <f t="shared" si="12"/>
        <v>141.12455</v>
      </c>
      <c r="K69" s="950">
        <f t="shared" si="12"/>
        <v>165.14574999999999</v>
      </c>
      <c r="L69" s="950">
        <f t="shared" si="12"/>
        <v>168.14840000000001</v>
      </c>
      <c r="N69" s="287"/>
    </row>
    <row r="70" spans="1:14">
      <c r="A70" s="290">
        <f>ROW()</f>
        <v>70</v>
      </c>
      <c r="B70" s="64" t="s">
        <v>259</v>
      </c>
      <c r="C70" s="1816">
        <f>+D53</f>
        <v>0</v>
      </c>
      <c r="D70" s="1345">
        <v>0.9556</v>
      </c>
      <c r="E70" s="1346">
        <f t="shared" ref="E70" si="13">+C70*D70</f>
        <v>0</v>
      </c>
      <c r="F70" s="1785"/>
      <c r="G70" s="941">
        <f>+$E70*G$36</f>
        <v>0</v>
      </c>
      <c r="H70" s="941">
        <f t="shared" si="12"/>
        <v>0</v>
      </c>
      <c r="I70" s="941">
        <f t="shared" si="12"/>
        <v>0</v>
      </c>
      <c r="J70" s="941">
        <f t="shared" si="12"/>
        <v>0</v>
      </c>
      <c r="K70" s="941">
        <f t="shared" si="12"/>
        <v>0</v>
      </c>
      <c r="L70" s="941">
        <f t="shared" si="12"/>
        <v>0</v>
      </c>
      <c r="N70" s="287"/>
    </row>
    <row r="71" spans="1:14">
      <c r="A71" s="290">
        <f>ROW()</f>
        <v>71</v>
      </c>
      <c r="B71" s="64" t="s">
        <v>1160</v>
      </c>
      <c r="C71" s="1816">
        <v>0.35</v>
      </c>
      <c r="D71" s="1345">
        <v>0.76949999999999996</v>
      </c>
      <c r="E71" s="1345">
        <f>MIN(C71*D71,1-SUM(E68:E70))</f>
        <v>0.26932499999999998</v>
      </c>
      <c r="F71" s="1785"/>
      <c r="G71" s="950">
        <f>+$E71*G$36</f>
        <v>61.944749999999999</v>
      </c>
      <c r="H71" s="950">
        <f t="shared" si="12"/>
        <v>83.490749999999991</v>
      </c>
      <c r="I71" s="950">
        <f t="shared" si="12"/>
        <v>105.03675</v>
      </c>
      <c r="J71" s="950">
        <f t="shared" si="12"/>
        <v>126.58274999999999</v>
      </c>
      <c r="K71" s="950">
        <f t="shared" si="12"/>
        <v>148.12875</v>
      </c>
      <c r="L71" s="950">
        <f t="shared" si="12"/>
        <v>150.822</v>
      </c>
      <c r="N71" s="287"/>
    </row>
    <row r="72" spans="1:14">
      <c r="A72" s="290">
        <f>ROW()</f>
        <v>72</v>
      </c>
      <c r="B72" s="567" t="s">
        <v>273</v>
      </c>
      <c r="C72" s="1817">
        <v>0.18</v>
      </c>
      <c r="D72" s="1347">
        <v>0</v>
      </c>
      <c r="E72" s="1348">
        <v>0</v>
      </c>
      <c r="F72" s="1786"/>
      <c r="G72" s="942">
        <f>G$36-SUM(G68:G71)</f>
        <v>71.394299999999987</v>
      </c>
      <c r="H72" s="942">
        <f t="shared" ref="H72" si="14">H$36-SUM(H68:H71)</f>
        <v>96.227100000000007</v>
      </c>
      <c r="I72" s="942">
        <f t="shared" ref="I72" si="15">I$36-SUM(I68:I71)</f>
        <v>121.05990000000003</v>
      </c>
      <c r="J72" s="942">
        <f t="shared" ref="J72" si="16">J$36-SUM(J68:J71)</f>
        <v>145.89269999999999</v>
      </c>
      <c r="K72" s="942">
        <f t="shared" ref="K72" si="17">K$36-SUM(K68:K71)</f>
        <v>170.72550000000001</v>
      </c>
      <c r="L72" s="942">
        <f t="shared" ref="L72" si="18">L$36-SUM(L68:L71)</f>
        <v>173.82959999999997</v>
      </c>
      <c r="N72" s="287"/>
    </row>
    <row r="73" spans="1:14">
      <c r="A73" s="290">
        <f>ROW()</f>
        <v>73</v>
      </c>
      <c r="C73" s="1349">
        <f>SUM(C68:C72)</f>
        <v>1</v>
      </c>
      <c r="D73" s="1350"/>
      <c r="E73" s="1350">
        <f>SUM(E68:E72)</f>
        <v>0.68958999999999993</v>
      </c>
      <c r="F73" s="1353"/>
      <c r="G73" s="1354">
        <f>SUM(G68:G72)</f>
        <v>230</v>
      </c>
      <c r="H73" s="1354">
        <f t="shared" ref="H73:L73" si="19">SUM(H68:H72)</f>
        <v>310</v>
      </c>
      <c r="I73" s="1354">
        <f t="shared" si="19"/>
        <v>390</v>
      </c>
      <c r="J73" s="1354">
        <f t="shared" si="19"/>
        <v>470</v>
      </c>
      <c r="K73" s="1354">
        <f t="shared" si="19"/>
        <v>550</v>
      </c>
      <c r="L73" s="1354">
        <f t="shared" si="19"/>
        <v>560</v>
      </c>
      <c r="N73" s="287"/>
    </row>
    <row r="74" spans="1:14">
      <c r="A74" s="290">
        <f>ROW()</f>
        <v>74</v>
      </c>
      <c r="B74" s="32" t="s">
        <v>274</v>
      </c>
      <c r="C74" s="1351">
        <f>IF(C73&gt;1,"Be sure next data tabe set =100%",0)</f>
        <v>0</v>
      </c>
      <c r="D74" s="1351"/>
      <c r="E74" s="1352"/>
      <c r="F74" s="1341"/>
      <c r="G74" s="1355">
        <f>SUM(G68:G71)</f>
        <v>158.60570000000001</v>
      </c>
      <c r="H74" s="1355">
        <f t="shared" ref="H74:L74" si="20">SUM(H68:H71)</f>
        <v>213.77289999999999</v>
      </c>
      <c r="I74" s="1355">
        <f t="shared" si="20"/>
        <v>268.94009999999997</v>
      </c>
      <c r="J74" s="1355">
        <f t="shared" si="20"/>
        <v>324.10730000000001</v>
      </c>
      <c r="K74" s="1355">
        <f t="shared" si="20"/>
        <v>379.27449999999999</v>
      </c>
      <c r="L74" s="1355">
        <f t="shared" si="20"/>
        <v>386.17040000000003</v>
      </c>
      <c r="N74" s="287"/>
    </row>
    <row r="75" spans="1:14">
      <c r="A75" s="290">
        <f>ROW()</f>
        <v>75</v>
      </c>
      <c r="B75" s="32" t="s">
        <v>275</v>
      </c>
      <c r="D75" s="1351"/>
      <c r="E75" s="1352"/>
      <c r="F75" s="1341"/>
      <c r="G75" s="1356">
        <f>+G74/G73</f>
        <v>0.68959000000000004</v>
      </c>
      <c r="H75" s="1356">
        <f t="shared" ref="H75:L75" si="21">+H74/H73</f>
        <v>0.68958999999999993</v>
      </c>
      <c r="I75" s="1356">
        <f t="shared" si="21"/>
        <v>0.68958999999999993</v>
      </c>
      <c r="J75" s="1356">
        <f t="shared" si="21"/>
        <v>0.68959000000000004</v>
      </c>
      <c r="K75" s="1356">
        <f t="shared" si="21"/>
        <v>0.68958999999999993</v>
      </c>
      <c r="L75" s="1356">
        <f t="shared" si="21"/>
        <v>0.68959000000000004</v>
      </c>
      <c r="N75" s="287"/>
    </row>
    <row r="76" spans="1:14">
      <c r="A76" s="290">
        <f>ROW()</f>
        <v>76</v>
      </c>
      <c r="B76" s="32" t="s">
        <v>276</v>
      </c>
      <c r="F76" s="1341"/>
      <c r="G76" s="1342" t="str">
        <f t="shared" ref="G76:L76" si="22">IF(G72&lt;0,"ERROR", "-")</f>
        <v>-</v>
      </c>
      <c r="H76" s="1342" t="str">
        <f t="shared" si="22"/>
        <v>-</v>
      </c>
      <c r="I76" s="1342" t="str">
        <f t="shared" si="22"/>
        <v>-</v>
      </c>
      <c r="J76" s="1342" t="str">
        <f t="shared" si="22"/>
        <v>-</v>
      </c>
      <c r="K76" s="1342" t="str">
        <f t="shared" si="22"/>
        <v>-</v>
      </c>
      <c r="L76" s="1342" t="str">
        <f t="shared" si="22"/>
        <v>-</v>
      </c>
      <c r="N76" s="287"/>
    </row>
    <row r="77" spans="1:14" ht="14.4" thickBot="1">
      <c r="A77" s="290">
        <f>ROW()</f>
        <v>77</v>
      </c>
      <c r="F77" s="1341"/>
      <c r="G77" s="1357"/>
      <c r="H77" s="1357"/>
      <c r="I77" s="1357"/>
      <c r="J77" s="1357"/>
      <c r="K77" s="1357"/>
      <c r="L77" s="1357"/>
      <c r="N77" s="287"/>
    </row>
    <row r="78" spans="1:14" ht="14.4" thickBot="1">
      <c r="A78" s="290">
        <f>ROW()</f>
        <v>78</v>
      </c>
      <c r="B78" s="32" t="s">
        <v>277</v>
      </c>
      <c r="C78" s="1316" t="s">
        <v>845</v>
      </c>
      <c r="N78" s="287"/>
    </row>
    <row r="79" spans="1:14">
      <c r="A79" s="290">
        <f>ROW()</f>
        <v>79</v>
      </c>
      <c r="D79" s="1360"/>
      <c r="F79" s="1358"/>
      <c r="G79" s="1359"/>
      <c r="H79" s="1359"/>
      <c r="I79" s="1359"/>
      <c r="J79" s="1359"/>
      <c r="K79" s="1359"/>
      <c r="L79" s="1359"/>
      <c r="N79" s="287"/>
    </row>
    <row r="80" spans="1:14">
      <c r="A80" s="290">
        <f>ROW()</f>
        <v>80</v>
      </c>
      <c r="F80" s="1358"/>
      <c r="G80" s="1359"/>
      <c r="H80" s="1359"/>
      <c r="I80" s="1359"/>
      <c r="J80" s="1359"/>
      <c r="K80" s="1359"/>
      <c r="L80" s="1359"/>
      <c r="N80" s="287"/>
    </row>
    <row r="81" spans="1:14">
      <c r="A81" s="290">
        <f>ROW()</f>
        <v>81</v>
      </c>
      <c r="B81" s="1509" t="s">
        <v>279</v>
      </c>
      <c r="C81" s="1518"/>
      <c r="D81" s="1445"/>
      <c r="E81" s="1445"/>
      <c r="F81" s="1519"/>
      <c r="G81" s="1520"/>
      <c r="H81" s="1520"/>
      <c r="I81" s="1520"/>
      <c r="J81" s="1520"/>
      <c r="K81" s="1520"/>
      <c r="L81" s="1520"/>
      <c r="N81" s="287"/>
    </row>
    <row r="82" spans="1:14">
      <c r="A82" s="290">
        <f>ROW()</f>
        <v>82</v>
      </c>
      <c r="B82" s="32" t="s">
        <v>1262</v>
      </c>
      <c r="F82" s="1358"/>
      <c r="G82" s="1358"/>
      <c r="H82" s="1358"/>
      <c r="I82" s="1358"/>
      <c r="J82" s="1358"/>
      <c r="K82" s="1358"/>
      <c r="L82" s="1358"/>
      <c r="N82" s="287"/>
    </row>
    <row r="83" spans="1:14">
      <c r="A83" s="290">
        <f>ROW()</f>
        <v>83</v>
      </c>
      <c r="C83" s="40" t="s">
        <v>280</v>
      </c>
      <c r="D83" s="40" t="s">
        <v>281</v>
      </c>
      <c r="F83" s="1358"/>
      <c r="G83" s="1358"/>
      <c r="H83" s="1358"/>
      <c r="I83" s="1358"/>
      <c r="J83" s="1358"/>
      <c r="K83" s="1358"/>
      <c r="L83" s="1358"/>
      <c r="N83" s="287"/>
    </row>
    <row r="84" spans="1:14">
      <c r="A84" s="290">
        <f>ROW()</f>
        <v>84</v>
      </c>
      <c r="B84" s="32" t="str">
        <f>+B51</f>
        <v>State Special Education (SPED)</v>
      </c>
      <c r="C84" s="1365">
        <f>+D84/C89</f>
        <v>0.40843424686636925</v>
      </c>
      <c r="D84" s="52">
        <f>+'PCFP Rates'!E26</f>
        <v>3845</v>
      </c>
      <c r="F84" s="1361"/>
      <c r="G84" s="1362">
        <f>+F68*$D84</f>
        <v>0</v>
      </c>
      <c r="H84" s="1362">
        <f>+G68*$D84</f>
        <v>106121.99999999999</v>
      </c>
      <c r="I84" s="1362">
        <f t="shared" ref="G84:L87" si="23">+H68*$D84</f>
        <v>143033.99999999997</v>
      </c>
      <c r="J84" s="1362">
        <f t="shared" si="23"/>
        <v>179946</v>
      </c>
      <c r="K84" s="1362">
        <f t="shared" si="23"/>
        <v>216858</v>
      </c>
      <c r="L84" s="1362">
        <f t="shared" si="23"/>
        <v>253770</v>
      </c>
      <c r="N84" s="287"/>
    </row>
    <row r="85" spans="1:14">
      <c r="A85" s="290">
        <f>ROW()</f>
        <v>85</v>
      </c>
      <c r="B85" s="32" t="str">
        <f>+B52</f>
        <v>English Language Learners (EL)</v>
      </c>
      <c r="C85" s="1365">
        <v>0.23</v>
      </c>
      <c r="D85" s="52">
        <f>+$C$89*C85</f>
        <v>2165.2200000000003</v>
      </c>
      <c r="F85" s="1358"/>
      <c r="G85" s="1363">
        <f t="shared" si="23"/>
        <v>0</v>
      </c>
      <c r="H85" s="1363">
        <f t="shared" si="23"/>
        <v>149532.15015900004</v>
      </c>
      <c r="I85" s="1363">
        <f t="shared" si="23"/>
        <v>201543.33282300003</v>
      </c>
      <c r="J85" s="1363">
        <f t="shared" si="23"/>
        <v>253554.51548700006</v>
      </c>
      <c r="K85" s="1363">
        <f t="shared" si="23"/>
        <v>305565.69815100002</v>
      </c>
      <c r="L85" s="1363">
        <f t="shared" si="23"/>
        <v>357576.88081500004</v>
      </c>
      <c r="N85" s="287"/>
    </row>
    <row r="86" spans="1:14">
      <c r="A86" s="290">
        <f>ROW()</f>
        <v>86</v>
      </c>
      <c r="B86" s="32" t="str">
        <f>+B53</f>
        <v>Gifted &amp; Talented (GATE)</v>
      </c>
      <c r="C86" s="1365">
        <v>0.12</v>
      </c>
      <c r="D86" s="52">
        <f>+$C$89*C86</f>
        <v>1129.68</v>
      </c>
      <c r="F86" s="1358"/>
      <c r="G86" s="1363">
        <f t="shared" si="23"/>
        <v>0</v>
      </c>
      <c r="H86" s="1363">
        <f t="shared" si="23"/>
        <v>0</v>
      </c>
      <c r="I86" s="1363">
        <f t="shared" si="23"/>
        <v>0</v>
      </c>
      <c r="J86" s="1363">
        <f t="shared" si="23"/>
        <v>0</v>
      </c>
      <c r="K86" s="1363">
        <f t="shared" si="23"/>
        <v>0</v>
      </c>
      <c r="L86" s="1363">
        <f t="shared" si="23"/>
        <v>0</v>
      </c>
      <c r="N86" s="287"/>
    </row>
    <row r="87" spans="1:14">
      <c r="A87" s="290">
        <f>ROW()</f>
        <v>87</v>
      </c>
      <c r="B87" s="30" t="s">
        <v>1216</v>
      </c>
      <c r="C87" s="1365"/>
      <c r="D87" s="1366"/>
      <c r="E87" s="66"/>
      <c r="F87" s="1521"/>
      <c r="G87" s="1522">
        <f t="shared" si="23"/>
        <v>0</v>
      </c>
      <c r="H87" s="1522">
        <f t="shared" si="23"/>
        <v>0</v>
      </c>
      <c r="I87" s="1522">
        <f t="shared" si="23"/>
        <v>0</v>
      </c>
      <c r="J87" s="1522">
        <f t="shared" si="23"/>
        <v>0</v>
      </c>
      <c r="K87" s="1522">
        <f t="shared" si="23"/>
        <v>0</v>
      </c>
      <c r="L87" s="1522">
        <f t="shared" si="23"/>
        <v>0</v>
      </c>
      <c r="N87" s="287"/>
    </row>
    <row r="88" spans="1:14">
      <c r="A88" s="290">
        <f>ROW()</f>
        <v>88</v>
      </c>
      <c r="B88" s="32" t="s">
        <v>282</v>
      </c>
      <c r="C88" s="518">
        <v>9414</v>
      </c>
      <c r="D88" s="1366">
        <v>9414</v>
      </c>
      <c r="E88" s="66"/>
      <c r="F88" s="66"/>
      <c r="G88" s="1364">
        <f t="shared" ref="G88:L88" si="24">+G36*$D88</f>
        <v>2165220</v>
      </c>
      <c r="H88" s="1364">
        <f t="shared" si="24"/>
        <v>2918340</v>
      </c>
      <c r="I88" s="1364">
        <f t="shared" si="24"/>
        <v>3671460</v>
      </c>
      <c r="J88" s="1364">
        <f t="shared" si="24"/>
        <v>4424580</v>
      </c>
      <c r="K88" s="1364">
        <f t="shared" si="24"/>
        <v>5177700</v>
      </c>
      <c r="L88" s="1364">
        <f t="shared" si="24"/>
        <v>5271840</v>
      </c>
      <c r="N88" s="287"/>
    </row>
    <row r="89" spans="1:14">
      <c r="A89" s="290">
        <f>ROW()</f>
        <v>89</v>
      </c>
      <c r="B89" s="32" t="s">
        <v>283</v>
      </c>
      <c r="C89" s="52">
        <f>+'PCFP Rates'!E20</f>
        <v>9414</v>
      </c>
      <c r="D89" s="190"/>
      <c r="E89" s="190"/>
      <c r="G89" s="190"/>
      <c r="H89" s="954"/>
      <c r="I89" s="954"/>
      <c r="J89" s="954"/>
      <c r="K89" s="954"/>
      <c r="L89" s="954"/>
      <c r="N89" s="287"/>
    </row>
    <row r="90" spans="1:14">
      <c r="A90" s="290">
        <f>ROW()</f>
        <v>90</v>
      </c>
      <c r="C90" s="190"/>
      <c r="D90" s="190"/>
      <c r="E90" s="190"/>
      <c r="F90" s="429"/>
      <c r="G90" s="60"/>
      <c r="H90" s="60"/>
      <c r="I90" s="60"/>
      <c r="J90" s="60"/>
      <c r="K90" s="60"/>
      <c r="L90" s="60"/>
      <c r="N90" s="287"/>
    </row>
    <row r="91" spans="1:14">
      <c r="A91" s="290">
        <f>ROW()</f>
        <v>91</v>
      </c>
      <c r="B91" s="1509" t="s">
        <v>284</v>
      </c>
      <c r="C91" s="1523"/>
      <c r="D91" s="1523"/>
      <c r="E91" s="1523"/>
      <c r="F91" s="1518"/>
      <c r="G91" s="1491"/>
      <c r="H91" s="1491"/>
      <c r="I91" s="1491"/>
      <c r="J91" s="1491"/>
      <c r="K91" s="1491"/>
      <c r="L91" s="1491"/>
      <c r="N91" s="287"/>
    </row>
    <row r="92" spans="1:14">
      <c r="A92" s="290">
        <f>ROW()</f>
        <v>92</v>
      </c>
      <c r="B92" s="342" t="s">
        <v>285</v>
      </c>
      <c r="C92" s="342"/>
      <c r="D92" s="342"/>
      <c r="E92" s="342"/>
      <c r="F92" s="1370"/>
      <c r="G92" s="1367">
        <f>+D54</f>
        <v>0.45</v>
      </c>
      <c r="H92" s="1367">
        <f>+G92</f>
        <v>0.45</v>
      </c>
      <c r="I92" s="1367">
        <f t="shared" ref="I92:L92" si="25">+H92</f>
        <v>0.45</v>
      </c>
      <c r="J92" s="1367">
        <f t="shared" si="25"/>
        <v>0.45</v>
      </c>
      <c r="K92" s="1367">
        <f t="shared" si="25"/>
        <v>0.45</v>
      </c>
      <c r="L92" s="1367">
        <f t="shared" si="25"/>
        <v>0.45</v>
      </c>
      <c r="N92" s="287"/>
    </row>
    <row r="93" spans="1:14">
      <c r="A93" s="290">
        <f>ROW()</f>
        <v>93</v>
      </c>
      <c r="B93" s="64" t="s">
        <v>286</v>
      </c>
      <c r="C93" s="66"/>
      <c r="D93" s="66"/>
      <c r="E93" s="66"/>
      <c r="F93" s="1371"/>
      <c r="G93" s="1368">
        <f>+D52</f>
        <v>0.45</v>
      </c>
      <c r="H93" s="1368">
        <f t="shared" ref="H93:L93" si="26">+G93</f>
        <v>0.45</v>
      </c>
      <c r="I93" s="1368">
        <f t="shared" si="26"/>
        <v>0.45</v>
      </c>
      <c r="J93" s="1368">
        <f t="shared" si="26"/>
        <v>0.45</v>
      </c>
      <c r="K93" s="1368">
        <f t="shared" si="26"/>
        <v>0.45</v>
      </c>
      <c r="L93" s="1368">
        <f t="shared" si="26"/>
        <v>0.45</v>
      </c>
      <c r="N93" s="287"/>
    </row>
    <row r="94" spans="1:14">
      <c r="A94" s="290">
        <f>ROW()</f>
        <v>94</v>
      </c>
      <c r="B94" s="1029" t="s">
        <v>287</v>
      </c>
      <c r="C94" s="445"/>
      <c r="D94" s="445"/>
      <c r="E94" s="445"/>
      <c r="F94" s="1372"/>
      <c r="G94" s="1369">
        <f>+D51</f>
        <v>0.12</v>
      </c>
      <c r="H94" s="1369">
        <f t="shared" ref="H94:L94" si="27">+G94</f>
        <v>0.12</v>
      </c>
      <c r="I94" s="1369">
        <f t="shared" si="27"/>
        <v>0.12</v>
      </c>
      <c r="J94" s="1369">
        <f t="shared" si="27"/>
        <v>0.12</v>
      </c>
      <c r="K94" s="1369">
        <f t="shared" si="27"/>
        <v>0.12</v>
      </c>
      <c r="L94" s="1369">
        <f t="shared" si="27"/>
        <v>0.12</v>
      </c>
      <c r="N94" s="287"/>
    </row>
    <row r="95" spans="1:14">
      <c r="A95" s="290">
        <f>ROW()</f>
        <v>95</v>
      </c>
      <c r="B95" s="568" t="s">
        <v>288</v>
      </c>
      <c r="C95" s="450"/>
      <c r="D95" s="450"/>
      <c r="E95" s="450"/>
      <c r="F95" s="1030"/>
      <c r="G95" s="1031">
        <f t="shared" ref="G95:L95" si="28">+G$36*G94</f>
        <v>27.599999999999998</v>
      </c>
      <c r="H95" s="1031">
        <f t="shared" si="28"/>
        <v>37.199999999999996</v>
      </c>
      <c r="I95" s="1031">
        <f t="shared" si="28"/>
        <v>46.8</v>
      </c>
      <c r="J95" s="1031">
        <f t="shared" si="28"/>
        <v>56.4</v>
      </c>
      <c r="K95" s="1031">
        <f t="shared" si="28"/>
        <v>66</v>
      </c>
      <c r="L95" s="1031">
        <f t="shared" si="28"/>
        <v>67.2</v>
      </c>
      <c r="N95" s="287"/>
    </row>
    <row r="96" spans="1:14">
      <c r="A96" s="290">
        <f>ROW()</f>
        <v>96</v>
      </c>
      <c r="B96" s="773"/>
      <c r="C96" s="774"/>
      <c r="D96" s="774"/>
      <c r="E96" s="774"/>
      <c r="F96" s="58"/>
      <c r="G96" s="58"/>
      <c r="H96" s="58"/>
      <c r="I96" s="58"/>
      <c r="J96" s="775"/>
      <c r="K96" s="775"/>
      <c r="L96" s="775"/>
      <c r="M96" s="83"/>
      <c r="N96" s="287"/>
    </row>
    <row r="97" spans="1:14">
      <c r="A97" s="290">
        <f>ROW()</f>
        <v>97</v>
      </c>
      <c r="B97" s="32" t="s">
        <v>289</v>
      </c>
      <c r="C97" s="772">
        <v>0.01</v>
      </c>
      <c r="D97" s="32" t="s">
        <v>290</v>
      </c>
      <c r="M97" s="39"/>
      <c r="N97" s="287"/>
    </row>
    <row r="98" spans="1:14">
      <c r="A98" s="290">
        <f>ROW()</f>
        <v>98</v>
      </c>
      <c r="B98" s="32" t="s">
        <v>291</v>
      </c>
      <c r="C98" s="1818">
        <v>1.2500000000000001E-2</v>
      </c>
      <c r="D98" s="40" t="s">
        <v>292</v>
      </c>
      <c r="E98" s="31"/>
      <c r="H98" s="31"/>
      <c r="I98" s="31"/>
      <c r="J98" s="40"/>
      <c r="K98" s="40"/>
      <c r="L98" s="40"/>
      <c r="M98" s="85"/>
      <c r="N98" s="287"/>
    </row>
    <row r="99" spans="1:14">
      <c r="A99" s="290">
        <f>ROW()</f>
        <v>99</v>
      </c>
      <c r="B99" s="32" t="s">
        <v>293</v>
      </c>
      <c r="C99" s="771">
        <v>400</v>
      </c>
      <c r="D99" s="84" t="s">
        <v>1219</v>
      </c>
      <c r="E99" s="84"/>
      <c r="H99" s="84"/>
      <c r="I99" s="84"/>
      <c r="J99" s="1760"/>
      <c r="K99" s="1760"/>
      <c r="L99" s="1760"/>
      <c r="M99" s="70"/>
      <c r="N99" s="287"/>
    </row>
    <row r="100" spans="1:14">
      <c r="A100" s="290">
        <f>ROW()</f>
        <v>100</v>
      </c>
      <c r="B100" s="32" t="s">
        <v>1220</v>
      </c>
      <c r="C100" s="771">
        <v>66</v>
      </c>
      <c r="D100" s="84" t="s">
        <v>1219</v>
      </c>
      <c r="E100" s="84"/>
      <c r="H100" s="84"/>
      <c r="I100" s="84"/>
      <c r="J100" s="1760"/>
      <c r="K100" s="1760"/>
      <c r="L100" s="1760"/>
      <c r="M100" s="70"/>
      <c r="N100" s="287"/>
    </row>
    <row r="101" spans="1:14">
      <c r="A101" s="290">
        <f>ROW()</f>
        <v>101</v>
      </c>
      <c r="B101" s="32" t="s">
        <v>294</v>
      </c>
      <c r="C101" s="1819">
        <v>4</v>
      </c>
      <c r="D101" s="84" t="s">
        <v>1219</v>
      </c>
      <c r="E101" s="84"/>
      <c r="H101" s="84"/>
      <c r="I101" s="84"/>
      <c r="J101" s="1760"/>
      <c r="K101" s="1760"/>
      <c r="L101" s="1760"/>
      <c r="M101" s="70"/>
      <c r="N101" s="287"/>
    </row>
    <row r="102" spans="1:14">
      <c r="A102" s="290">
        <f>ROW()</f>
        <v>102</v>
      </c>
      <c r="B102" s="32" t="s">
        <v>295</v>
      </c>
      <c r="C102" s="771">
        <v>97</v>
      </c>
      <c r="D102" s="84" t="s">
        <v>296</v>
      </c>
      <c r="E102" s="84"/>
      <c r="H102" s="84"/>
      <c r="I102" s="84"/>
      <c r="J102" s="1760"/>
      <c r="K102" s="1760"/>
      <c r="L102" s="1760"/>
      <c r="M102" s="70"/>
      <c r="N102" s="287"/>
    </row>
    <row r="103" spans="1:14" hidden="1">
      <c r="A103" s="290">
        <f>ROW()</f>
        <v>103</v>
      </c>
      <c r="B103" s="32" t="s">
        <v>297</v>
      </c>
      <c r="C103" s="1317" t="s">
        <v>298</v>
      </c>
      <c r="D103" s="84"/>
      <c r="E103" s="84"/>
      <c r="H103" s="84"/>
      <c r="I103" s="84"/>
      <c r="J103" s="1760"/>
      <c r="K103" s="1760"/>
      <c r="L103" s="1760"/>
      <c r="M103" s="70"/>
      <c r="N103" s="287"/>
    </row>
    <row r="104" spans="1:14">
      <c r="A104" s="290">
        <f>ROW()</f>
        <v>104</v>
      </c>
      <c r="B104" s="32" t="s">
        <v>299</v>
      </c>
      <c r="C104" s="771">
        <v>1005</v>
      </c>
      <c r="D104" s="32" t="s">
        <v>300</v>
      </c>
      <c r="M104" s="39"/>
      <c r="N104" s="287"/>
    </row>
    <row r="105" spans="1:14">
      <c r="A105" s="290">
        <f>ROW()</f>
        <v>105</v>
      </c>
      <c r="B105" s="32" t="s">
        <v>301</v>
      </c>
      <c r="C105" s="657" t="s">
        <v>1251</v>
      </c>
      <c r="D105" s="32" t="s">
        <v>1300</v>
      </c>
      <c r="G105" s="52"/>
      <c r="M105" s="39"/>
      <c r="N105" s="287"/>
    </row>
    <row r="106" spans="1:14">
      <c r="A106" s="290">
        <f>ROW()</f>
        <v>106</v>
      </c>
      <c r="B106" s="32" t="s">
        <v>302</v>
      </c>
      <c r="C106" s="657">
        <v>1.8</v>
      </c>
      <c r="D106" s="32" t="s">
        <v>303</v>
      </c>
      <c r="G106" s="52"/>
      <c r="M106" s="39"/>
      <c r="N106" s="287"/>
    </row>
    <row r="107" spans="1:14">
      <c r="A107" s="290">
        <f>ROW()</f>
        <v>107</v>
      </c>
      <c r="B107" s="32" t="s">
        <v>304</v>
      </c>
      <c r="C107" s="657">
        <v>2.5</v>
      </c>
      <c r="D107" s="32" t="s">
        <v>303</v>
      </c>
      <c r="H107" s="78"/>
      <c r="M107" s="39"/>
      <c r="N107" s="287"/>
    </row>
    <row r="108" spans="1:14">
      <c r="A108" s="290">
        <f>ROW()</f>
        <v>108</v>
      </c>
      <c r="B108" s="32" t="s">
        <v>98</v>
      </c>
      <c r="C108" s="657">
        <v>0</v>
      </c>
      <c r="D108" s="32" t="s">
        <v>305</v>
      </c>
      <c r="G108" s="48"/>
      <c r="H108" s="52"/>
      <c r="M108" s="39"/>
      <c r="N108" s="287"/>
    </row>
    <row r="109" spans="1:14">
      <c r="A109" s="290">
        <f>ROW()</f>
        <v>109</v>
      </c>
      <c r="B109" s="30" t="s">
        <v>306</v>
      </c>
      <c r="C109" s="1374" t="str">
        <f>+C78</f>
        <v>Clark</v>
      </c>
      <c r="D109" s="144"/>
      <c r="E109" s="144"/>
      <c r="F109" s="39"/>
      <c r="G109" s="123"/>
      <c r="H109" s="296"/>
      <c r="M109" s="39"/>
      <c r="N109" s="287"/>
    </row>
    <row r="110" spans="1:14">
      <c r="A110" s="290">
        <f>ROW()</f>
        <v>110</v>
      </c>
      <c r="B110" s="106"/>
      <c r="C110" s="106"/>
      <c r="D110" s="106"/>
      <c r="E110" s="106"/>
      <c r="F110" s="104"/>
      <c r="G110" s="303"/>
      <c r="H110" s="303"/>
      <c r="I110" s="303"/>
      <c r="J110" s="303"/>
      <c r="K110" s="303"/>
      <c r="L110" s="303"/>
      <c r="M110" s="86"/>
      <c r="N110" s="287"/>
    </row>
    <row r="111" spans="1:14" hidden="1">
      <c r="A111" s="290">
        <f>ROW()</f>
        <v>111</v>
      </c>
      <c r="B111" s="30" t="s">
        <v>307</v>
      </c>
      <c r="C111" s="30"/>
      <c r="D111" s="30"/>
      <c r="E111" s="30"/>
      <c r="F111" s="1358"/>
      <c r="G111" s="48">
        <f t="shared" ref="G111:L111" si="29">+G36</f>
        <v>230</v>
      </c>
      <c r="H111" s="48">
        <f t="shared" si="29"/>
        <v>310</v>
      </c>
      <c r="I111" s="48">
        <f t="shared" si="29"/>
        <v>390</v>
      </c>
      <c r="J111" s="48">
        <f t="shared" si="29"/>
        <v>470</v>
      </c>
      <c r="K111" s="48">
        <f t="shared" si="29"/>
        <v>550</v>
      </c>
      <c r="L111" s="48">
        <f t="shared" si="29"/>
        <v>560</v>
      </c>
      <c r="M111" s="86"/>
      <c r="N111" s="287"/>
    </row>
    <row r="112" spans="1:14" hidden="1">
      <c r="A112" s="290">
        <f>ROW()</f>
        <v>112</v>
      </c>
      <c r="B112" s="30"/>
      <c r="C112" s="30"/>
      <c r="D112" s="30"/>
      <c r="E112" s="30"/>
      <c r="F112" s="1358"/>
      <c r="G112" s="48"/>
      <c r="H112" s="48"/>
      <c r="I112" s="48"/>
      <c r="J112" s="48"/>
      <c r="K112" s="48"/>
      <c r="L112" s="48"/>
      <c r="M112" s="86"/>
      <c r="N112" s="287"/>
    </row>
    <row r="113" spans="1:14">
      <c r="A113" s="290">
        <f>ROW()</f>
        <v>113</v>
      </c>
      <c r="B113" s="1502" t="s">
        <v>308</v>
      </c>
      <c r="C113" s="1502"/>
      <c r="D113" s="1502"/>
      <c r="E113" s="1502"/>
      <c r="F113" s="1524"/>
      <c r="G113" s="1525"/>
      <c r="H113" s="1525"/>
      <c r="I113" s="1525"/>
      <c r="J113" s="1525"/>
      <c r="K113" s="1525"/>
      <c r="L113" s="1525"/>
      <c r="M113" s="86"/>
      <c r="N113" s="287"/>
    </row>
    <row r="114" spans="1:14">
      <c r="A114" s="290">
        <f>ROW()</f>
        <v>114</v>
      </c>
      <c r="B114" s="104" t="s">
        <v>309</v>
      </c>
      <c r="C114" s="104"/>
      <c r="D114" s="104"/>
      <c r="E114" s="104"/>
      <c r="F114" s="952"/>
      <c r="G114" s="1373">
        <f t="shared" ref="G114:L114" si="30">+G88</f>
        <v>2165220</v>
      </c>
      <c r="H114" s="1373">
        <f t="shared" si="30"/>
        <v>2918340</v>
      </c>
      <c r="I114" s="1373">
        <f t="shared" si="30"/>
        <v>3671460</v>
      </c>
      <c r="J114" s="1373">
        <f t="shared" si="30"/>
        <v>4424580</v>
      </c>
      <c r="K114" s="1373">
        <f t="shared" si="30"/>
        <v>5177700</v>
      </c>
      <c r="L114" s="1373">
        <f t="shared" si="30"/>
        <v>5271840</v>
      </c>
      <c r="M114" s="86"/>
      <c r="N114" s="287"/>
    </row>
    <row r="115" spans="1:14">
      <c r="A115" s="290">
        <f>ROW()</f>
        <v>115</v>
      </c>
      <c r="B115" s="32" t="s">
        <v>1167</v>
      </c>
      <c r="F115" s="948"/>
      <c r="G115" s="1362">
        <f t="shared" ref="G115:L115" si="31">SUM(G85:G87)</f>
        <v>0</v>
      </c>
      <c r="H115" s="1362">
        <f t="shared" si="31"/>
        <v>149532.15015900004</v>
      </c>
      <c r="I115" s="1362">
        <f t="shared" si="31"/>
        <v>201543.33282300003</v>
      </c>
      <c r="J115" s="1362">
        <f t="shared" si="31"/>
        <v>253554.51548700006</v>
      </c>
      <c r="K115" s="1362">
        <f t="shared" si="31"/>
        <v>305565.69815100002</v>
      </c>
      <c r="L115" s="1362">
        <f t="shared" si="31"/>
        <v>357576.88081500004</v>
      </c>
      <c r="M115" s="86"/>
      <c r="N115" s="287"/>
    </row>
    <row r="116" spans="1:14">
      <c r="A116" s="290">
        <f>ROW()</f>
        <v>116</v>
      </c>
      <c r="B116" s="32" t="s">
        <v>310</v>
      </c>
      <c r="F116" s="948"/>
      <c r="G116" s="1363">
        <f t="shared" ref="G116:L116" si="32">+G84</f>
        <v>0</v>
      </c>
      <c r="H116" s="1363">
        <f t="shared" si="32"/>
        <v>106121.99999999999</v>
      </c>
      <c r="I116" s="1363">
        <f t="shared" si="32"/>
        <v>143033.99999999997</v>
      </c>
      <c r="J116" s="1363">
        <f t="shared" si="32"/>
        <v>179946</v>
      </c>
      <c r="K116" s="1363">
        <f t="shared" si="32"/>
        <v>216858</v>
      </c>
      <c r="L116" s="1363">
        <f t="shared" si="32"/>
        <v>253770</v>
      </c>
      <c r="M116" s="86"/>
      <c r="N116" s="740"/>
    </row>
    <row r="117" spans="1:14">
      <c r="A117" s="290">
        <f>ROW()</f>
        <v>117</v>
      </c>
      <c r="B117" s="32" t="s">
        <v>311</v>
      </c>
      <c r="F117" s="948"/>
      <c r="G117" s="1363">
        <f t="shared" ref="G117:L117" si="33">+G82</f>
        <v>0</v>
      </c>
      <c r="H117" s="1363">
        <f t="shared" si="33"/>
        <v>0</v>
      </c>
      <c r="I117" s="1363">
        <f t="shared" si="33"/>
        <v>0</v>
      </c>
      <c r="J117" s="1363">
        <f t="shared" si="33"/>
        <v>0</v>
      </c>
      <c r="K117" s="1363">
        <f t="shared" si="33"/>
        <v>0</v>
      </c>
      <c r="L117" s="1363">
        <f t="shared" si="33"/>
        <v>0</v>
      </c>
      <c r="M117" s="86"/>
      <c r="N117" s="287"/>
    </row>
    <row r="118" spans="1:14">
      <c r="A118" s="290">
        <f>ROW()</f>
        <v>118</v>
      </c>
      <c r="B118" s="32" t="s">
        <v>1165</v>
      </c>
      <c r="C118" s="951">
        <f>+C97</f>
        <v>0.01</v>
      </c>
      <c r="G118" s="949"/>
      <c r="H118" s="949">
        <f>+$C$97*H114</f>
        <v>29183.4</v>
      </c>
      <c r="I118" s="949">
        <f>+$C$97*I114</f>
        <v>36714.6</v>
      </c>
      <c r="J118" s="949">
        <f>+$C$97*J114</f>
        <v>44245.8</v>
      </c>
      <c r="K118" s="949">
        <f>+$C$97*K114</f>
        <v>51777</v>
      </c>
      <c r="L118" s="949">
        <f>+$C$97*L114</f>
        <v>52718.400000000001</v>
      </c>
      <c r="M118" s="86"/>
      <c r="N118" s="287"/>
    </row>
    <row r="119" spans="1:14">
      <c r="A119" s="290">
        <f>ROW()</f>
        <v>119</v>
      </c>
      <c r="B119" s="104" t="s">
        <v>312</v>
      </c>
      <c r="C119" s="104"/>
      <c r="D119" s="104"/>
      <c r="E119" s="104"/>
      <c r="F119" s="952"/>
      <c r="G119" s="953">
        <f t="shared" ref="G119:L119" si="34">SUM(G114:G118)</f>
        <v>2165220</v>
      </c>
      <c r="H119" s="953">
        <f t="shared" si="34"/>
        <v>3203177.5501589999</v>
      </c>
      <c r="I119" s="953">
        <f>SUM(I114:I118)</f>
        <v>4052751.932823</v>
      </c>
      <c r="J119" s="953">
        <f t="shared" si="34"/>
        <v>4902326.3154870002</v>
      </c>
      <c r="K119" s="953">
        <f t="shared" si="34"/>
        <v>5751900.6981509998</v>
      </c>
      <c r="L119" s="953">
        <f t="shared" si="34"/>
        <v>5935905.2808150006</v>
      </c>
      <c r="M119" s="86"/>
      <c r="N119" s="287"/>
    </row>
    <row r="120" spans="1:14">
      <c r="A120" s="290">
        <f>ROW()</f>
        <v>120</v>
      </c>
      <c r="B120" s="32" t="s">
        <v>313</v>
      </c>
      <c r="C120" s="30"/>
      <c r="F120" s="948"/>
      <c r="G120" s="949">
        <f t="shared" ref="G120:L120" si="35">-G114*$C$98</f>
        <v>-27065.25</v>
      </c>
      <c r="H120" s="949">
        <f t="shared" si="35"/>
        <v>-36479.25</v>
      </c>
      <c r="I120" s="949">
        <f t="shared" si="35"/>
        <v>-45893.25</v>
      </c>
      <c r="J120" s="949">
        <f t="shared" si="35"/>
        <v>-55307.25</v>
      </c>
      <c r="K120" s="949">
        <f t="shared" si="35"/>
        <v>-64721.25</v>
      </c>
      <c r="L120" s="949">
        <f t="shared" si="35"/>
        <v>-65898</v>
      </c>
      <c r="M120" s="86"/>
      <c r="N120" s="287"/>
    </row>
    <row r="121" spans="1:14">
      <c r="A121" s="290">
        <f>ROW()</f>
        <v>121</v>
      </c>
      <c r="B121" s="106" t="s">
        <v>314</v>
      </c>
      <c r="C121" s="106"/>
      <c r="D121" s="106"/>
      <c r="E121" s="106"/>
      <c r="F121" s="104"/>
      <c r="G121" s="955">
        <f>SUM(G119:G120)</f>
        <v>2138154.75</v>
      </c>
      <c r="H121" s="955">
        <f t="shared" ref="H121:L121" si="36">SUM(H119:H120)</f>
        <v>3166698.3001589999</v>
      </c>
      <c r="I121" s="955">
        <f t="shared" si="36"/>
        <v>4006858.682823</v>
      </c>
      <c r="J121" s="955">
        <f t="shared" si="36"/>
        <v>4847019.0654870002</v>
      </c>
      <c r="K121" s="955">
        <f t="shared" si="36"/>
        <v>5687179.4481509998</v>
      </c>
      <c r="L121" s="955">
        <f t="shared" si="36"/>
        <v>5870007.2808150006</v>
      </c>
      <c r="M121" s="86"/>
      <c r="N121" s="287"/>
    </row>
    <row r="122" spans="1:14">
      <c r="A122" s="290">
        <f>ROW()</f>
        <v>122</v>
      </c>
      <c r="B122" s="30" t="s">
        <v>315</v>
      </c>
      <c r="C122" s="30"/>
      <c r="D122" s="30"/>
      <c r="E122" s="30"/>
      <c r="G122" s="52">
        <f>+G121/G111</f>
        <v>9296.3250000000007</v>
      </c>
      <c r="H122" s="52">
        <f t="shared" ref="H122:L122" si="37">+H121/H111</f>
        <v>10215.155806964516</v>
      </c>
      <c r="I122" s="52">
        <f t="shared" si="37"/>
        <v>10273.996622623077</v>
      </c>
      <c r="J122" s="52">
        <f t="shared" si="37"/>
        <v>10312.806522312767</v>
      </c>
      <c r="K122" s="52">
        <f t="shared" si="37"/>
        <v>10340.326269365454</v>
      </c>
      <c r="L122" s="52">
        <f t="shared" si="37"/>
        <v>10482.155858598215</v>
      </c>
      <c r="M122" s="86"/>
      <c r="N122" s="287"/>
    </row>
    <row r="123" spans="1:14">
      <c r="A123" s="290">
        <f>ROW()</f>
        <v>123</v>
      </c>
      <c r="B123" s="30"/>
      <c r="C123" s="30"/>
      <c r="D123" s="30"/>
      <c r="E123" s="30"/>
      <c r="G123" s="52"/>
      <c r="H123" s="52"/>
      <c r="I123" s="52"/>
      <c r="J123" s="52"/>
      <c r="K123" s="52"/>
      <c r="L123" s="52"/>
      <c r="M123" s="86"/>
      <c r="N123" s="287"/>
    </row>
    <row r="124" spans="1:14">
      <c r="A124" s="290">
        <f>ROW()</f>
        <v>124</v>
      </c>
      <c r="B124" s="1509" t="s">
        <v>316</v>
      </c>
      <c r="C124" s="1523"/>
      <c r="D124" s="1523"/>
      <c r="E124" s="1523"/>
      <c r="F124" s="1518"/>
      <c r="G124" s="1491"/>
      <c r="H124" s="1491"/>
      <c r="I124" s="1491"/>
      <c r="J124" s="1491"/>
      <c r="K124" s="1491"/>
      <c r="L124" s="1491"/>
      <c r="N124" s="287"/>
    </row>
    <row r="125" spans="1:14">
      <c r="A125" s="290">
        <f>ROW()</f>
        <v>125</v>
      </c>
      <c r="B125" s="32" t="s">
        <v>83</v>
      </c>
      <c r="C125" s="48">
        <f t="shared" ref="C125:C132" si="38">SUM(F125:L125)</f>
        <v>451800</v>
      </c>
      <c r="D125" s="48"/>
      <c r="E125" s="48"/>
      <c r="F125" s="512"/>
      <c r="G125" s="656">
        <f t="shared" ref="G125:L125" si="39">(G36*G92)*($C$99)</f>
        <v>41400</v>
      </c>
      <c r="H125" s="656">
        <f t="shared" si="39"/>
        <v>55800</v>
      </c>
      <c r="I125" s="656">
        <f t="shared" si="39"/>
        <v>70200</v>
      </c>
      <c r="J125" s="656">
        <f t="shared" si="39"/>
        <v>84600</v>
      </c>
      <c r="K125" s="656">
        <f t="shared" si="39"/>
        <v>99000</v>
      </c>
      <c r="L125" s="656">
        <f t="shared" si="39"/>
        <v>100800</v>
      </c>
      <c r="N125" s="287"/>
    </row>
    <row r="126" spans="1:14">
      <c r="A126" s="290">
        <f>ROW()</f>
        <v>126</v>
      </c>
      <c r="B126" s="32" t="s">
        <v>1221</v>
      </c>
      <c r="C126" s="48">
        <f t="shared" si="38"/>
        <v>83332</v>
      </c>
      <c r="D126" s="48"/>
      <c r="E126" s="48"/>
      <c r="F126" s="512"/>
      <c r="G126" s="656">
        <f t="shared" ref="G126:L126" si="40">($C$100*G36*G92)+(G36*3.5)</f>
        <v>7636</v>
      </c>
      <c r="H126" s="656">
        <f t="shared" si="40"/>
        <v>10292</v>
      </c>
      <c r="I126" s="656">
        <f t="shared" si="40"/>
        <v>12948</v>
      </c>
      <c r="J126" s="656">
        <f t="shared" si="40"/>
        <v>15604</v>
      </c>
      <c r="K126" s="656">
        <f t="shared" si="40"/>
        <v>18260</v>
      </c>
      <c r="L126" s="656">
        <f t="shared" si="40"/>
        <v>18592</v>
      </c>
      <c r="N126" s="287"/>
    </row>
    <row r="127" spans="1:14">
      <c r="A127" s="290">
        <f>ROW()</f>
        <v>127</v>
      </c>
      <c r="B127" s="32" t="s">
        <v>1222</v>
      </c>
      <c r="C127" s="48">
        <f t="shared" ref="C127" si="41">SUM(F127:L127)</f>
        <v>10040</v>
      </c>
      <c r="D127" s="48"/>
      <c r="E127" s="48"/>
      <c r="F127" s="512"/>
      <c r="G127" s="1112">
        <f t="shared" ref="G127:L127" si="42">+$C$101*G36</f>
        <v>920</v>
      </c>
      <c r="H127" s="1112">
        <f t="shared" si="42"/>
        <v>1240</v>
      </c>
      <c r="I127" s="1112">
        <f t="shared" si="42"/>
        <v>1560</v>
      </c>
      <c r="J127" s="1112">
        <f t="shared" si="42"/>
        <v>1880</v>
      </c>
      <c r="K127" s="1112">
        <f t="shared" si="42"/>
        <v>2200</v>
      </c>
      <c r="L127" s="1112">
        <f t="shared" si="42"/>
        <v>2240</v>
      </c>
      <c r="N127" s="287"/>
    </row>
    <row r="128" spans="1:14">
      <c r="A128" s="290">
        <f>ROW()</f>
        <v>128</v>
      </c>
      <c r="B128" s="32" t="s">
        <v>85</v>
      </c>
      <c r="C128" s="48">
        <f t="shared" si="38"/>
        <v>109561.5</v>
      </c>
      <c r="D128" s="48"/>
      <c r="E128" s="48"/>
      <c r="F128" s="512"/>
      <c r="G128" s="656">
        <f t="shared" ref="G128:L128" si="43">$C$102*G36*G93</f>
        <v>10039.5</v>
      </c>
      <c r="H128" s="656">
        <f t="shared" si="43"/>
        <v>13531.5</v>
      </c>
      <c r="I128" s="656">
        <f t="shared" si="43"/>
        <v>17023.5</v>
      </c>
      <c r="J128" s="656">
        <f t="shared" si="43"/>
        <v>20515.5</v>
      </c>
      <c r="K128" s="656">
        <f t="shared" si="43"/>
        <v>24007.5</v>
      </c>
      <c r="L128" s="656">
        <f t="shared" si="43"/>
        <v>24444</v>
      </c>
      <c r="N128" s="287"/>
    </row>
    <row r="129" spans="1:14" hidden="1">
      <c r="A129" s="290">
        <f>ROW()</f>
        <v>129</v>
      </c>
      <c r="B129" s="32" t="s">
        <v>86</v>
      </c>
      <c r="C129" s="48"/>
      <c r="D129" s="48"/>
      <c r="E129" s="48"/>
      <c r="F129" s="512"/>
      <c r="G129" s="656"/>
      <c r="H129" s="656"/>
      <c r="I129" s="656"/>
      <c r="J129" s="656"/>
      <c r="K129" s="656"/>
      <c r="L129" s="656"/>
      <c r="N129" s="287"/>
    </row>
    <row r="130" spans="1:14">
      <c r="A130" s="290">
        <f>ROW()</f>
        <v>130</v>
      </c>
      <c r="B130" s="32" t="s">
        <v>87</v>
      </c>
      <c r="C130" s="48">
        <f t="shared" si="38"/>
        <v>365958</v>
      </c>
      <c r="D130" s="48"/>
      <c r="E130" s="48"/>
      <c r="F130" s="512"/>
      <c r="G130" s="656">
        <f>IF($C$105="yes",$C$106*Staff!$C$71*(G36*G92),0)</f>
        <v>33534</v>
      </c>
      <c r="H130" s="656">
        <f>IF($C$105="yes",$C$106*Staff!$C$71*(H36*H92),0)</f>
        <v>45198</v>
      </c>
      <c r="I130" s="656">
        <f>IF($C$105="yes",$C$106*Staff!$C$71*(I36*I92),0)</f>
        <v>56862</v>
      </c>
      <c r="J130" s="656">
        <f>IF($C$105="yes",$C$106*Staff!$C$71*(J36*J92),0)</f>
        <v>68526</v>
      </c>
      <c r="K130" s="656">
        <f>IF($C$105="yes",$C$106*Staff!$C$71*(K36*K92),0)</f>
        <v>80190</v>
      </c>
      <c r="L130" s="656">
        <f>IF($C$105="yes",$C$106*Staff!$C$71*(L36*L92),0)</f>
        <v>81648</v>
      </c>
      <c r="N130" s="287"/>
    </row>
    <row r="131" spans="1:14">
      <c r="A131" s="290">
        <f>ROW()</f>
        <v>131</v>
      </c>
      <c r="B131" s="32" t="s">
        <v>317</v>
      </c>
      <c r="C131" s="48">
        <f t="shared" si="38"/>
        <v>508275</v>
      </c>
      <c r="D131" s="48"/>
      <c r="E131" s="48"/>
      <c r="F131" s="512"/>
      <c r="G131" s="656">
        <f>(G36*G92)*Staff!$C$71*$C$107</f>
        <v>46575</v>
      </c>
      <c r="H131" s="656">
        <f>(H36*H92)*Staff!$C$71*$C$107</f>
        <v>62775</v>
      </c>
      <c r="I131" s="656">
        <f>(I36*I92)*Staff!$C$71*$C$107</f>
        <v>78975</v>
      </c>
      <c r="J131" s="656">
        <f>(J36*J92)*Staff!$C$71*$C$107</f>
        <v>95175</v>
      </c>
      <c r="K131" s="656">
        <f>(K36*K92)*Staff!$C$71*$C$107</f>
        <v>111375</v>
      </c>
      <c r="L131" s="656">
        <f>(L36*L92)*Staff!$C$71*$C$107</f>
        <v>113400</v>
      </c>
      <c r="N131" s="287"/>
    </row>
    <row r="132" spans="1:14">
      <c r="A132" s="290">
        <f>ROW()</f>
        <v>132</v>
      </c>
      <c r="B132" s="32" t="s">
        <v>89</v>
      </c>
      <c r="C132" s="48">
        <f t="shared" si="38"/>
        <v>302706</v>
      </c>
      <c r="D132" s="48"/>
      <c r="E132" s="48"/>
      <c r="F132" s="512"/>
      <c r="G132" s="656">
        <f t="shared" ref="G132:L132" si="44">(G36*G94)*$C$104</f>
        <v>27737.999999999996</v>
      </c>
      <c r="H132" s="656">
        <f t="shared" si="44"/>
        <v>37385.999999999993</v>
      </c>
      <c r="I132" s="656">
        <f t="shared" si="44"/>
        <v>47034</v>
      </c>
      <c r="J132" s="656">
        <f t="shared" si="44"/>
        <v>56682</v>
      </c>
      <c r="K132" s="656">
        <f t="shared" si="44"/>
        <v>66330</v>
      </c>
      <c r="L132" s="656">
        <f t="shared" si="44"/>
        <v>67536</v>
      </c>
      <c r="N132" s="287"/>
    </row>
    <row r="133" spans="1:14" ht="27.6">
      <c r="A133" s="725">
        <f>ROW()</f>
        <v>133</v>
      </c>
      <c r="B133" s="41" t="s">
        <v>1312</v>
      </c>
      <c r="C133" s="48">
        <f>SUM(F133:L133)</f>
        <v>0</v>
      </c>
      <c r="D133" s="48"/>
      <c r="E133" s="48"/>
      <c r="F133" s="1071">
        <v>0</v>
      </c>
      <c r="G133" s="759">
        <v>0</v>
      </c>
      <c r="H133" s="759">
        <v>0</v>
      </c>
      <c r="I133" s="759">
        <v>0</v>
      </c>
      <c r="J133" s="759">
        <v>0</v>
      </c>
      <c r="K133" s="759">
        <v>0</v>
      </c>
      <c r="L133" s="759">
        <v>0</v>
      </c>
      <c r="N133" s="287"/>
    </row>
    <row r="134" spans="1:14">
      <c r="A134" s="725">
        <f>ROW()</f>
        <v>134</v>
      </c>
      <c r="B134" s="41" t="s">
        <v>1307</v>
      </c>
      <c r="C134" s="48">
        <f t="shared" ref="C134:C142" si="45">SUM(F134:L134)</f>
        <v>100000</v>
      </c>
      <c r="D134" s="48"/>
      <c r="E134" s="48"/>
      <c r="F134" s="1073"/>
      <c r="G134" s="266">
        <v>100000</v>
      </c>
      <c r="H134" s="266">
        <v>0</v>
      </c>
      <c r="I134" s="266">
        <v>0</v>
      </c>
      <c r="J134" s="266">
        <v>0</v>
      </c>
      <c r="K134" s="266">
        <v>0</v>
      </c>
      <c r="L134" s="266">
        <v>0</v>
      </c>
      <c r="N134" s="287"/>
    </row>
    <row r="135" spans="1:14">
      <c r="A135" s="725">
        <f>ROW()</f>
        <v>135</v>
      </c>
      <c r="B135" s="32" t="s">
        <v>1308</v>
      </c>
      <c r="C135" s="48">
        <f t="shared" si="45"/>
        <v>0</v>
      </c>
      <c r="D135" s="48"/>
      <c r="E135" s="48"/>
      <c r="F135" s="1072">
        <v>0</v>
      </c>
      <c r="G135" s="266">
        <v>0</v>
      </c>
      <c r="H135" s="266">
        <v>0</v>
      </c>
      <c r="I135" s="266">
        <v>0</v>
      </c>
      <c r="J135" s="266">
        <v>0</v>
      </c>
      <c r="K135" s="266">
        <v>0</v>
      </c>
      <c r="L135" s="266">
        <v>0</v>
      </c>
      <c r="N135" s="287"/>
    </row>
    <row r="136" spans="1:14">
      <c r="A136" s="725">
        <f>ROW()</f>
        <v>136</v>
      </c>
      <c r="B136" s="32" t="s">
        <v>1309</v>
      </c>
      <c r="C136" s="48">
        <f t="shared" si="45"/>
        <v>0</v>
      </c>
      <c r="D136" s="48"/>
      <c r="E136" s="48"/>
      <c r="F136" s="1072">
        <v>0</v>
      </c>
      <c r="G136" s="1111">
        <f t="shared" ref="G136:L136" si="46">$C$108*G36</f>
        <v>0</v>
      </c>
      <c r="H136" s="1111">
        <f t="shared" si="46"/>
        <v>0</v>
      </c>
      <c r="I136" s="1111">
        <f t="shared" si="46"/>
        <v>0</v>
      </c>
      <c r="J136" s="1111">
        <f t="shared" si="46"/>
        <v>0</v>
      </c>
      <c r="K136" s="1111">
        <f t="shared" si="46"/>
        <v>0</v>
      </c>
      <c r="L136" s="1111">
        <f t="shared" si="46"/>
        <v>0</v>
      </c>
      <c r="N136" s="287"/>
    </row>
    <row r="137" spans="1:14">
      <c r="A137" s="725">
        <f>ROW()</f>
        <v>137</v>
      </c>
      <c r="B137" s="32" t="s">
        <v>94</v>
      </c>
      <c r="C137" s="48">
        <f t="shared" si="45"/>
        <v>0</v>
      </c>
      <c r="D137" s="48"/>
      <c r="E137" s="48"/>
      <c r="F137" s="1072">
        <v>0</v>
      </c>
      <c r="G137" s="266">
        <v>0</v>
      </c>
      <c r="H137" s="266">
        <v>0</v>
      </c>
      <c r="I137" s="266">
        <v>0</v>
      </c>
      <c r="J137" s="266">
        <v>0</v>
      </c>
      <c r="K137" s="266">
        <v>0</v>
      </c>
      <c r="L137" s="266">
        <v>0</v>
      </c>
      <c r="N137" s="287"/>
    </row>
    <row r="138" spans="1:14">
      <c r="A138" s="725">
        <f>ROW()</f>
        <v>138</v>
      </c>
      <c r="B138" s="32" t="s">
        <v>318</v>
      </c>
      <c r="C138" s="48">
        <f t="shared" si="45"/>
        <v>0</v>
      </c>
      <c r="D138" s="48"/>
      <c r="E138" s="48"/>
      <c r="F138" s="1072">
        <v>0</v>
      </c>
      <c r="G138" s="266">
        <v>0</v>
      </c>
      <c r="H138" s="266">
        <v>0</v>
      </c>
      <c r="I138" s="266">
        <v>0</v>
      </c>
      <c r="J138" s="266">
        <v>0</v>
      </c>
      <c r="K138" s="266">
        <v>0</v>
      </c>
      <c r="L138" s="266">
        <v>0</v>
      </c>
      <c r="N138" s="287"/>
    </row>
    <row r="139" spans="1:14">
      <c r="A139" s="725">
        <f>ROW()</f>
        <v>139</v>
      </c>
      <c r="B139" s="32" t="s">
        <v>319</v>
      </c>
      <c r="C139" s="48">
        <f t="shared" si="45"/>
        <v>0</v>
      </c>
      <c r="D139" s="48"/>
      <c r="E139" s="48"/>
      <c r="F139" s="1072">
        <v>0</v>
      </c>
      <c r="G139" s="266">
        <v>0</v>
      </c>
      <c r="H139" s="266">
        <v>0</v>
      </c>
      <c r="I139" s="266">
        <v>0</v>
      </c>
      <c r="J139" s="266">
        <v>0</v>
      </c>
      <c r="K139" s="266">
        <v>0</v>
      </c>
      <c r="L139" s="266">
        <v>0</v>
      </c>
      <c r="N139" s="287"/>
    </row>
    <row r="140" spans="1:14">
      <c r="A140" s="725">
        <f>ROW()</f>
        <v>140</v>
      </c>
      <c r="B140" s="32" t="s">
        <v>1310</v>
      </c>
      <c r="C140" s="48">
        <f t="shared" si="45"/>
        <v>0</v>
      </c>
      <c r="D140" s="48"/>
      <c r="E140" s="48"/>
      <c r="F140" s="1072">
        <v>0</v>
      </c>
      <c r="G140" s="266">
        <v>0</v>
      </c>
      <c r="H140" s="266">
        <v>0</v>
      </c>
      <c r="I140" s="266">
        <v>0</v>
      </c>
      <c r="J140" s="266">
        <v>0</v>
      </c>
      <c r="K140" s="266">
        <v>0</v>
      </c>
      <c r="L140" s="266">
        <v>0</v>
      </c>
      <c r="N140" s="287"/>
    </row>
    <row r="141" spans="1:14">
      <c r="A141" s="725">
        <f>ROW()</f>
        <v>141</v>
      </c>
      <c r="B141" s="32" t="s">
        <v>1311</v>
      </c>
      <c r="C141" s="48">
        <f t="shared" si="45"/>
        <v>0</v>
      </c>
      <c r="D141" s="48"/>
      <c r="E141" s="48"/>
      <c r="F141" s="1072">
        <v>0</v>
      </c>
      <c r="G141" s="266">
        <v>0</v>
      </c>
      <c r="H141" s="266">
        <v>0</v>
      </c>
      <c r="I141" s="266">
        <v>0</v>
      </c>
      <c r="J141" s="266">
        <v>0</v>
      </c>
      <c r="K141" s="266">
        <v>0</v>
      </c>
      <c r="L141" s="266">
        <v>0</v>
      </c>
      <c r="N141" s="287"/>
    </row>
    <row r="142" spans="1:14">
      <c r="A142" s="725">
        <f>ROW()</f>
        <v>142</v>
      </c>
      <c r="B142" s="32" t="s">
        <v>1313</v>
      </c>
      <c r="C142" s="48">
        <f t="shared" si="45"/>
        <v>0</v>
      </c>
      <c r="D142" s="48"/>
      <c r="E142" s="48"/>
      <c r="F142" s="1072">
        <v>0</v>
      </c>
      <c r="G142" s="267">
        <v>0</v>
      </c>
      <c r="H142" s="266">
        <v>0</v>
      </c>
      <c r="I142" s="266">
        <v>0</v>
      </c>
      <c r="J142" s="266">
        <v>0</v>
      </c>
      <c r="K142" s="266">
        <v>0</v>
      </c>
      <c r="L142" s="266">
        <v>0</v>
      </c>
      <c r="N142" s="287"/>
    </row>
    <row r="143" spans="1:14" ht="15.6">
      <c r="A143" s="725">
        <f>ROW()</f>
        <v>143</v>
      </c>
      <c r="B143" s="106"/>
      <c r="C143" s="1068"/>
      <c r="D143" s="1069"/>
      <c r="E143" s="1069"/>
      <c r="F143" s="1070">
        <f t="shared" ref="F143:L143" si="47">SUM(F125:F142)</f>
        <v>0</v>
      </c>
      <c r="G143" s="1070">
        <f>SUM(G125:G142)</f>
        <v>267842.5</v>
      </c>
      <c r="H143" s="1070">
        <f t="shared" si="47"/>
        <v>226222.5</v>
      </c>
      <c r="I143" s="1070">
        <f t="shared" si="47"/>
        <v>284602.5</v>
      </c>
      <c r="J143" s="1070">
        <f t="shared" si="47"/>
        <v>342982.5</v>
      </c>
      <c r="K143" s="1070">
        <f t="shared" si="47"/>
        <v>401362.5</v>
      </c>
      <c r="L143" s="1070">
        <f t="shared" si="47"/>
        <v>408660</v>
      </c>
      <c r="N143" s="287"/>
    </row>
    <row r="144" spans="1:14" ht="15.6">
      <c r="A144" s="725">
        <f>ROW()</f>
        <v>144</v>
      </c>
      <c r="B144" s="106" t="s">
        <v>320</v>
      </c>
      <c r="C144" s="1068"/>
      <c r="D144" s="1069"/>
      <c r="E144" s="1069"/>
      <c r="F144" s="1070"/>
      <c r="G144" s="1113">
        <f t="shared" ref="G144:L144" si="48">+G143/G36</f>
        <v>1164.5326086956522</v>
      </c>
      <c r="H144" s="1113">
        <f t="shared" si="48"/>
        <v>729.75</v>
      </c>
      <c r="I144" s="1113">
        <f t="shared" si="48"/>
        <v>729.75</v>
      </c>
      <c r="J144" s="1113">
        <f t="shared" si="48"/>
        <v>729.75</v>
      </c>
      <c r="K144" s="1113">
        <f t="shared" si="48"/>
        <v>729.75</v>
      </c>
      <c r="L144" s="1113">
        <f t="shared" si="48"/>
        <v>729.75</v>
      </c>
      <c r="N144" s="287"/>
    </row>
    <row r="145" spans="1:14" ht="15.6">
      <c r="A145" s="725">
        <f>ROW()</f>
        <v>145</v>
      </c>
      <c r="B145" s="106" t="s">
        <v>102</v>
      </c>
      <c r="C145" s="1068">
        <f t="shared" ref="C145" si="49">SUM(G145:L145)</f>
        <v>27647590.027435001</v>
      </c>
      <c r="D145" s="1069"/>
      <c r="E145" s="1069"/>
      <c r="F145" s="1070">
        <f t="shared" ref="F145:L145" si="50">+F143+F121</f>
        <v>0</v>
      </c>
      <c r="G145" s="1070">
        <f t="shared" si="50"/>
        <v>2405997.25</v>
      </c>
      <c r="H145" s="1070">
        <f t="shared" si="50"/>
        <v>3392920.8001589999</v>
      </c>
      <c r="I145" s="1070">
        <f>+I143+I121</f>
        <v>4291461.1828230005</v>
      </c>
      <c r="J145" s="1070">
        <f t="shared" si="50"/>
        <v>5190001.5654870002</v>
      </c>
      <c r="K145" s="1070">
        <f t="shared" si="50"/>
        <v>6088541.9481509998</v>
      </c>
      <c r="L145" s="1070">
        <f t="shared" si="50"/>
        <v>6278667.2808150006</v>
      </c>
      <c r="N145" s="287"/>
    </row>
    <row r="146" spans="1:14" ht="14.4">
      <c r="A146" s="725">
        <f>ROW()</f>
        <v>146</v>
      </c>
      <c r="B146" s="154" t="s">
        <v>321</v>
      </c>
      <c r="C146" s="74"/>
      <c r="D146" s="74"/>
      <c r="E146" s="74"/>
      <c r="F146" s="956"/>
      <c r="G146" s="1114">
        <f t="shared" ref="G146:L146" si="51">IFERROR(G145/G36,0)</f>
        <v>10460.857608695653</v>
      </c>
      <c r="H146" s="1114">
        <f t="shared" si="51"/>
        <v>10944.905806964516</v>
      </c>
      <c r="I146" s="1114">
        <f t="shared" si="51"/>
        <v>11003.746622623079</v>
      </c>
      <c r="J146" s="1114">
        <f t="shared" si="51"/>
        <v>11042.556522312767</v>
      </c>
      <c r="K146" s="1114">
        <f t="shared" si="51"/>
        <v>11070.076269365454</v>
      </c>
      <c r="L146" s="1114">
        <f t="shared" si="51"/>
        <v>11211.905858598215</v>
      </c>
      <c r="N146" s="287"/>
    </row>
    <row r="147" spans="1:14">
      <c r="A147" s="290"/>
      <c r="B147" s="30" t="s">
        <v>322</v>
      </c>
      <c r="C147" s="30"/>
      <c r="D147" s="30"/>
      <c r="E147" s="30"/>
      <c r="G147" s="52">
        <f>+Summary!G35</f>
        <v>2405997.25</v>
      </c>
      <c r="H147" s="52">
        <f>+Summary!H35</f>
        <v>3392920.8001589999</v>
      </c>
      <c r="I147" s="52">
        <f>+Summary!I35</f>
        <v>4291461.1828229995</v>
      </c>
      <c r="J147" s="52">
        <f>+Summary!J35</f>
        <v>5190001.5654870002</v>
      </c>
      <c r="K147" s="52">
        <f>+Summary!K35</f>
        <v>6088541.9481509998</v>
      </c>
      <c r="L147" s="52">
        <f>+Summary!L35</f>
        <v>6278667.2808150006</v>
      </c>
      <c r="N147" s="1421"/>
    </row>
    <row r="148" spans="1:14">
      <c r="A148" s="290"/>
      <c r="B148" s="106" t="s">
        <v>323</v>
      </c>
      <c r="C148" s="106"/>
      <c r="D148" s="106"/>
      <c r="E148" s="106"/>
      <c r="F148" s="104"/>
      <c r="G148" s="955">
        <f>+G145-G147</f>
        <v>0</v>
      </c>
      <c r="H148" s="955">
        <f t="shared" ref="H148:L148" si="52">+H145-H147</f>
        <v>0</v>
      </c>
      <c r="I148" s="955">
        <f t="shared" si="52"/>
        <v>0</v>
      </c>
      <c r="J148" s="955">
        <f t="shared" si="52"/>
        <v>0</v>
      </c>
      <c r="K148" s="955">
        <f t="shared" si="52"/>
        <v>0</v>
      </c>
      <c r="L148" s="955">
        <f t="shared" si="52"/>
        <v>0</v>
      </c>
    </row>
    <row r="149" spans="1:14">
      <c r="A149" s="59"/>
      <c r="B149" s="74"/>
      <c r="C149" s="30"/>
      <c r="D149" s="30"/>
      <c r="E149" s="30"/>
    </row>
  </sheetData>
  <phoneticPr fontId="7" type="noConversion"/>
  <conditionalFormatting sqref="C73">
    <cfRule type="top10" dxfId="73" priority="6" rank="10"/>
  </conditionalFormatting>
  <conditionalFormatting sqref="D1:E1 C14:E14 B23:E35">
    <cfRule type="expression" dxfId="72" priority="171" stopIfTrue="1">
      <formula>MOD(ROW(),2)=0</formula>
    </cfRule>
  </conditionalFormatting>
  <conditionalFormatting sqref="D73:E73">
    <cfRule type="cellIs" dxfId="71" priority="4" operator="greaterThan">
      <formula>1</formula>
    </cfRule>
  </conditionalFormatting>
  <conditionalFormatting sqref="G94:H94">
    <cfRule type="cellIs" dxfId="70" priority="21" operator="greaterThan">
      <formula>0.25</formula>
    </cfRule>
  </conditionalFormatting>
  <conditionalFormatting sqref="G17:L17">
    <cfRule type="cellIs" dxfId="69" priority="215" stopIfTrue="1" operator="equal">
      <formula>0</formula>
    </cfRule>
  </conditionalFormatting>
  <conditionalFormatting sqref="G19:L19">
    <cfRule type="cellIs" dxfId="68" priority="14" stopIfTrue="1" operator="equal">
      <formula>0</formula>
    </cfRule>
  </conditionalFormatting>
  <conditionalFormatting sqref="G95:L95">
    <cfRule type="cellIs" dxfId="67" priority="146" stopIfTrue="1" operator="equal">
      <formula>0</formula>
    </cfRule>
  </conditionalFormatting>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9" max="12" man="1"/>
  </rowBreaks>
  <legacyDrawing r:id="rId2"/>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xr:uid="{00000000-0002-0000-0500-000000000000}">
          <x14:formula1>
            <xm:f>'PCFP Rates'!$B$12:$B$20</xm:f>
          </x14:formula1>
          <xm:sqref>C78</xm:sqref>
        </x14:dataValidation>
        <x14:dataValidation type="list" allowBlank="1" showInputMessage="1" showErrorMessage="1" promptTitle="County" prompt="In the Dropdown Box select the county where your school will be located." xr:uid="{00000000-0002-0000-0500-000001000000}">
          <x14:formula1>
            <xm:f>'PCFP Rates'!$O$49:$O$80</xm:f>
          </x14:formula1>
          <xm:sqref>D109:E109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M56"/>
  <sheetViews>
    <sheetView workbookViewId="0"/>
  </sheetViews>
  <sheetFormatPr defaultColWidth="8.6640625" defaultRowHeight="13.2"/>
  <cols>
    <col min="1" max="1" width="4.6640625" style="5" customWidth="1"/>
    <col min="2" max="2" width="30.33203125" style="5" customWidth="1"/>
    <col min="3" max="3" width="16.6640625" style="5" customWidth="1"/>
    <col min="4" max="4" width="15.33203125" style="5" bestFit="1" customWidth="1"/>
    <col min="5" max="5" width="13.6640625" style="5" customWidth="1"/>
    <col min="6" max="6" width="3.6640625" style="5" customWidth="1"/>
    <col min="7" max="7" width="35.6640625" style="5" customWidth="1"/>
    <col min="8" max="8" width="3.5546875" style="5" customWidth="1"/>
    <col min="9" max="16384" width="8.6640625" style="5"/>
  </cols>
  <sheetData>
    <row r="1" spans="1:13" ht="17.399999999999999">
      <c r="A1" s="21" t="s">
        <v>324</v>
      </c>
      <c r="B1" s="20"/>
      <c r="C1" s="20"/>
      <c r="D1" s="20"/>
      <c r="E1" s="347" t="s">
        <v>1</v>
      </c>
    </row>
    <row r="2" spans="1:13" ht="15.6">
      <c r="A2" s="24" t="str">
        <f>SchoolName</f>
        <v>Game Changers Sports Academy</v>
      </c>
      <c r="B2" s="23"/>
      <c r="C2" s="23"/>
      <c r="D2" s="23"/>
    </row>
    <row r="3" spans="1:13">
      <c r="A3" s="9" t="s">
        <v>325</v>
      </c>
    </row>
    <row r="4" spans="1:13">
      <c r="A4" s="8" t="s">
        <v>5</v>
      </c>
      <c r="H4" s="6"/>
      <c r="I4" s="6"/>
      <c r="J4" s="6"/>
      <c r="K4" s="6"/>
      <c r="L4" s="6"/>
      <c r="M4" s="6"/>
    </row>
    <row r="5" spans="1:13">
      <c r="A5" s="7" t="str">
        <f ca="1">CELL("filename")</f>
        <v>https://myccmortgage-my.sharepoint.com/personal/dolly_alexander_myccmortgage_com/Documents/Documents/GCSA Hylo Park/[Attachment 24 Financial Budget Template.xlsx]Cover &amp; Loc</v>
      </c>
      <c r="H5" s="6"/>
      <c r="I5" s="6"/>
      <c r="J5" s="6"/>
      <c r="K5" s="6"/>
      <c r="L5" s="6"/>
      <c r="M5" s="6"/>
    </row>
    <row r="6" spans="1:13">
      <c r="A6" s="6"/>
      <c r="B6" s="6"/>
      <c r="C6" s="6"/>
      <c r="D6" s="6"/>
      <c r="E6" s="1086" t="s">
        <v>326</v>
      </c>
      <c r="F6" s="6"/>
      <c r="G6" s="6"/>
      <c r="H6" s="6"/>
      <c r="I6" s="6"/>
      <c r="J6" s="6"/>
      <c r="K6" s="6"/>
      <c r="L6" s="6"/>
      <c r="M6" s="6"/>
    </row>
    <row r="7" spans="1:13">
      <c r="A7" s="6"/>
      <c r="B7" s="6"/>
      <c r="C7" s="6"/>
      <c r="D7" s="6"/>
      <c r="E7" s="1084">
        <f>+'Cover &amp; Loc'!C11-1</f>
        <v>2025</v>
      </c>
      <c r="F7" s="6"/>
      <c r="G7" s="1018" t="s">
        <v>327</v>
      </c>
      <c r="H7" s="1018"/>
      <c r="I7" s="1018"/>
      <c r="J7" s="1018"/>
      <c r="K7" s="6"/>
      <c r="L7" s="6"/>
      <c r="M7" s="6"/>
    </row>
    <row r="8" spans="1:13">
      <c r="A8" s="6"/>
      <c r="B8" s="6"/>
      <c r="C8" s="6"/>
      <c r="D8" s="6"/>
      <c r="E8" s="1085">
        <f>+E7+1</f>
        <v>2026</v>
      </c>
      <c r="F8" s="6"/>
      <c r="G8" s="1018"/>
      <c r="H8" s="1018"/>
      <c r="I8" s="1018"/>
      <c r="J8" s="1018"/>
      <c r="K8" s="6"/>
      <c r="L8" s="6"/>
      <c r="M8" s="6"/>
    </row>
    <row r="9" spans="1:13" ht="13.8">
      <c r="A9" s="6"/>
      <c r="B9" s="10"/>
      <c r="C9" s="6"/>
      <c r="D9" s="6"/>
      <c r="E9" s="6"/>
      <c r="F9" s="6"/>
      <c r="G9" s="6"/>
      <c r="H9" s="6"/>
      <c r="I9" s="6"/>
      <c r="J9" s="6"/>
      <c r="K9" s="6"/>
      <c r="L9" s="6"/>
      <c r="M9" s="6"/>
    </row>
    <row r="10" spans="1:13" ht="13.8">
      <c r="A10" s="6"/>
      <c r="B10" s="1846" t="s">
        <v>328</v>
      </c>
      <c r="C10" s="1847"/>
      <c r="D10" s="1847"/>
      <c r="E10" s="1848"/>
      <c r="F10" s="6"/>
      <c r="G10" s="1307" t="s">
        <v>26</v>
      </c>
      <c r="H10" s="6"/>
      <c r="I10" s="6"/>
      <c r="J10" s="6"/>
      <c r="K10" s="6"/>
      <c r="L10" s="6"/>
      <c r="M10" s="6"/>
    </row>
    <row r="11" spans="1:13" ht="13.8">
      <c r="A11" s="419">
        <f>ROW()</f>
        <v>11</v>
      </c>
      <c r="B11" s="1013"/>
      <c r="C11" s="1013"/>
      <c r="D11" s="1013"/>
      <c r="E11" s="1022"/>
      <c r="F11" s="14"/>
      <c r="G11" s="394"/>
      <c r="H11" s="6"/>
      <c r="I11" s="6"/>
      <c r="J11" s="6"/>
      <c r="K11" s="6"/>
      <c r="L11" s="6"/>
      <c r="M11" s="6"/>
    </row>
    <row r="12" spans="1:13" ht="13.8">
      <c r="A12" s="419">
        <f>ROW()</f>
        <v>12</v>
      </c>
      <c r="B12" s="1014"/>
      <c r="C12" s="1014"/>
      <c r="D12" s="1014"/>
      <c r="E12" s="1023">
        <v>0</v>
      </c>
      <c r="F12" s="14"/>
      <c r="G12" s="287"/>
      <c r="H12" s="6"/>
      <c r="I12" s="6"/>
      <c r="J12" s="6"/>
      <c r="K12" s="6"/>
      <c r="L12" s="6"/>
      <c r="M12" s="6"/>
    </row>
    <row r="13" spans="1:13" ht="13.8">
      <c r="A13" s="419">
        <f>ROW()</f>
        <v>13</v>
      </c>
      <c r="B13" s="1014"/>
      <c r="C13" s="1014"/>
      <c r="D13" s="1014"/>
      <c r="E13" s="384">
        <v>0</v>
      </c>
      <c r="F13" s="14"/>
      <c r="G13" s="287"/>
      <c r="H13" s="6"/>
      <c r="I13" s="6"/>
      <c r="J13" s="6"/>
      <c r="K13" s="6"/>
      <c r="L13" s="6"/>
      <c r="M13" s="6"/>
    </row>
    <row r="14" spans="1:13" ht="13.8">
      <c r="A14" s="419">
        <f>ROW()</f>
        <v>14</v>
      </c>
      <c r="B14" s="1014"/>
      <c r="C14" s="1014"/>
      <c r="D14" s="1014"/>
      <c r="E14" s="384"/>
      <c r="F14" s="14"/>
      <c r="G14" s="287"/>
      <c r="H14" s="6"/>
      <c r="I14" s="6"/>
      <c r="J14" s="6"/>
      <c r="K14" s="6"/>
      <c r="L14" s="6"/>
      <c r="M14" s="6"/>
    </row>
    <row r="15" spans="1:13" ht="13.8">
      <c r="A15" s="419">
        <f>ROW()</f>
        <v>15</v>
      </c>
      <c r="B15" s="1014" t="s">
        <v>329</v>
      </c>
      <c r="C15" s="1014"/>
      <c r="D15" s="1014"/>
      <c r="E15" s="384">
        <v>0</v>
      </c>
      <c r="F15" s="14"/>
      <c r="G15" s="287"/>
      <c r="H15" s="6"/>
      <c r="I15" s="6"/>
      <c r="J15" s="6"/>
      <c r="K15" s="6"/>
      <c r="L15" s="6"/>
      <c r="M15" s="6"/>
    </row>
    <row r="16" spans="1:13" ht="13.8">
      <c r="A16" s="419">
        <f>ROW()</f>
        <v>16</v>
      </c>
      <c r="B16" s="1014" t="s">
        <v>330</v>
      </c>
      <c r="C16" s="1014"/>
      <c r="D16" s="1014"/>
      <c r="E16" s="384">
        <v>0</v>
      </c>
      <c r="F16" s="14"/>
      <c r="G16" s="287"/>
      <c r="H16" s="6"/>
      <c r="I16" s="6"/>
      <c r="J16" s="6"/>
      <c r="K16" s="6"/>
      <c r="L16" s="6"/>
      <c r="M16" s="6"/>
    </row>
    <row r="17" spans="1:13" ht="13.8">
      <c r="A17" s="419">
        <f>ROW()</f>
        <v>17</v>
      </c>
      <c r="B17" s="1014" t="s">
        <v>331</v>
      </c>
      <c r="C17" s="1014"/>
      <c r="D17" s="1014"/>
      <c r="E17" s="384">
        <v>0</v>
      </c>
      <c r="F17" s="14"/>
      <c r="G17" s="287"/>
      <c r="H17" s="6"/>
      <c r="I17" s="6"/>
      <c r="J17" s="6"/>
      <c r="K17" s="6"/>
      <c r="L17" s="6"/>
      <c r="M17" s="6"/>
    </row>
    <row r="18" spans="1:13" ht="13.8">
      <c r="A18" s="419">
        <f>ROW()</f>
        <v>18</v>
      </c>
      <c r="B18" s="1014" t="s">
        <v>332</v>
      </c>
      <c r="C18" s="1014"/>
      <c r="D18" s="1014"/>
      <c r="E18" s="384">
        <v>0</v>
      </c>
      <c r="F18" s="14"/>
      <c r="G18" s="287"/>
      <c r="H18" s="6"/>
      <c r="I18" s="6"/>
      <c r="J18" s="6"/>
      <c r="K18" s="6"/>
      <c r="L18" s="6"/>
      <c r="M18" s="6"/>
    </row>
    <row r="19" spans="1:13" ht="13.8">
      <c r="A19" s="419">
        <f>ROW()</f>
        <v>19</v>
      </c>
      <c r="B19" s="1012" t="s">
        <v>333</v>
      </c>
      <c r="C19" s="1014"/>
      <c r="D19" s="1014"/>
      <c r="E19" s="384">
        <v>0</v>
      </c>
      <c r="F19" s="14"/>
      <c r="G19" s="287"/>
      <c r="H19" s="6"/>
      <c r="I19" s="6"/>
      <c r="J19" s="6"/>
      <c r="K19" s="6"/>
      <c r="L19" s="6"/>
      <c r="M19" s="6"/>
    </row>
    <row r="20" spans="1:13" ht="13.8">
      <c r="A20" s="419">
        <f>ROW()</f>
        <v>20</v>
      </c>
      <c r="B20" s="1014" t="s">
        <v>334</v>
      </c>
      <c r="C20" s="1014"/>
      <c r="D20" s="1014"/>
      <c r="E20" s="384">
        <v>0</v>
      </c>
      <c r="F20" s="14"/>
      <c r="G20" s="287"/>
      <c r="H20" s="6"/>
      <c r="I20" s="1018"/>
      <c r="J20" s="6"/>
      <c r="K20" s="6"/>
      <c r="L20" s="6"/>
      <c r="M20" s="6"/>
    </row>
    <row r="21" spans="1:13" ht="13.8">
      <c r="A21" s="419">
        <f>ROW()</f>
        <v>21</v>
      </c>
      <c r="B21" s="1014" t="s">
        <v>335</v>
      </c>
      <c r="C21" s="1014"/>
      <c r="D21" s="1014"/>
      <c r="E21" s="384">
        <v>0</v>
      </c>
      <c r="F21" s="14"/>
      <c r="G21" s="287"/>
      <c r="H21" s="6"/>
      <c r="I21" s="1018"/>
      <c r="J21" s="6"/>
      <c r="K21" s="6"/>
      <c r="L21" s="6"/>
      <c r="M21" s="6"/>
    </row>
    <row r="22" spans="1:13" ht="13.8">
      <c r="A22" s="419">
        <f>ROW()</f>
        <v>22</v>
      </c>
      <c r="B22" s="1014" t="s">
        <v>336</v>
      </c>
      <c r="C22" s="1014"/>
      <c r="D22" s="1014"/>
      <c r="E22" s="384"/>
      <c r="F22" s="14"/>
      <c r="G22" s="287"/>
      <c r="H22" s="6"/>
      <c r="I22" s="1018"/>
      <c r="J22" s="6"/>
      <c r="K22" s="6"/>
      <c r="L22" s="6"/>
      <c r="M22" s="6"/>
    </row>
    <row r="23" spans="1:13" ht="13.8">
      <c r="A23" s="419">
        <f>ROW()</f>
        <v>23</v>
      </c>
      <c r="B23" s="1014" t="s">
        <v>337</v>
      </c>
      <c r="C23" s="1014"/>
      <c r="D23" s="1014"/>
      <c r="E23" s="384"/>
      <c r="F23" s="14"/>
      <c r="G23" s="287"/>
      <c r="H23" s="6"/>
      <c r="I23" s="1018"/>
      <c r="J23" s="6"/>
      <c r="K23" s="6"/>
      <c r="L23" s="6"/>
      <c r="M23" s="6"/>
    </row>
    <row r="24" spans="1:13" ht="13.8">
      <c r="A24" s="419">
        <f>ROW()</f>
        <v>24</v>
      </c>
      <c r="B24" s="1014" t="s">
        <v>338</v>
      </c>
      <c r="C24" s="1014"/>
      <c r="D24" s="1014"/>
      <c r="E24" s="384"/>
      <c r="F24" s="14"/>
      <c r="G24" s="287"/>
      <c r="H24" s="6"/>
      <c r="I24" s="1018"/>
      <c r="J24" s="6"/>
      <c r="K24" s="6"/>
      <c r="L24" s="6"/>
      <c r="M24" s="6"/>
    </row>
    <row r="25" spans="1:13" ht="13.8">
      <c r="A25" s="419">
        <f>ROW()</f>
        <v>25</v>
      </c>
      <c r="B25" s="1014" t="s">
        <v>339</v>
      </c>
      <c r="C25" s="1014"/>
      <c r="D25" s="1014"/>
      <c r="E25" s="384">
        <v>5000</v>
      </c>
      <c r="F25" s="14"/>
      <c r="G25" s="287"/>
      <c r="H25" s="6"/>
      <c r="I25" s="1018"/>
      <c r="J25" s="6"/>
      <c r="K25" s="6"/>
      <c r="L25" s="6"/>
      <c r="M25" s="6"/>
    </row>
    <row r="26" spans="1:13" ht="13.8">
      <c r="A26" s="419">
        <f>ROW()</f>
        <v>26</v>
      </c>
      <c r="B26" s="1014" t="s">
        <v>37</v>
      </c>
      <c r="C26" s="1014"/>
      <c r="D26" s="1014"/>
      <c r="E26" s="384"/>
      <c r="F26" s="14"/>
      <c r="G26" s="287"/>
      <c r="H26" s="6"/>
      <c r="I26" s="6"/>
      <c r="J26" s="6"/>
      <c r="K26" s="6"/>
      <c r="L26" s="6"/>
      <c r="M26" s="6"/>
    </row>
    <row r="27" spans="1:13" ht="13.8">
      <c r="A27" s="419">
        <f>ROW()</f>
        <v>27</v>
      </c>
      <c r="B27" s="1014" t="s">
        <v>340</v>
      </c>
      <c r="C27" s="1014"/>
      <c r="D27" s="1014"/>
      <c r="E27" s="384">
        <v>0</v>
      </c>
      <c r="F27" s="14"/>
      <c r="G27" s="287"/>
      <c r="H27" s="6"/>
      <c r="I27" s="6"/>
      <c r="J27" s="6"/>
      <c r="K27" s="6"/>
      <c r="L27" s="6"/>
      <c r="M27" s="6"/>
    </row>
    <row r="28" spans="1:13" ht="13.8">
      <c r="A28" s="419">
        <f>ROW()</f>
        <v>28</v>
      </c>
      <c r="B28" s="1014" t="s">
        <v>341</v>
      </c>
      <c r="C28" s="1014"/>
      <c r="D28" s="1014"/>
      <c r="E28" s="384">
        <v>0</v>
      </c>
      <c r="F28" s="14"/>
      <c r="G28" s="287"/>
      <c r="H28" s="6"/>
      <c r="I28" s="6"/>
      <c r="J28" s="6"/>
      <c r="K28" s="6"/>
      <c r="L28" s="6"/>
      <c r="M28" s="6"/>
    </row>
    <row r="29" spans="1:13" ht="13.8">
      <c r="A29" s="419">
        <f>ROW()</f>
        <v>29</v>
      </c>
      <c r="B29" s="1014" t="s">
        <v>342</v>
      </c>
      <c r="C29" s="1014"/>
      <c r="D29" s="1014"/>
      <c r="E29" s="384">
        <v>0</v>
      </c>
      <c r="F29" s="14"/>
      <c r="G29" s="287"/>
      <c r="H29" s="6"/>
      <c r="I29" s="6"/>
      <c r="J29" s="6"/>
      <c r="K29" s="6"/>
      <c r="L29" s="6"/>
      <c r="M29" s="6"/>
    </row>
    <row r="30" spans="1:13" ht="13.8">
      <c r="A30" s="419">
        <f>ROW()</f>
        <v>30</v>
      </c>
      <c r="B30" s="1014" t="s">
        <v>343</v>
      </c>
      <c r="C30" s="1014"/>
      <c r="D30" s="1014"/>
      <c r="E30" s="384">
        <v>0</v>
      </c>
      <c r="F30" s="14"/>
      <c r="G30" s="287"/>
      <c r="H30" s="6"/>
      <c r="I30" s="6"/>
      <c r="J30" s="6"/>
      <c r="K30" s="6"/>
      <c r="L30" s="6"/>
      <c r="M30" s="6"/>
    </row>
    <row r="31" spans="1:13" ht="13.8">
      <c r="A31" s="419">
        <f>ROW()</f>
        <v>31</v>
      </c>
      <c r="B31" s="1014" t="s">
        <v>344</v>
      </c>
      <c r="C31" s="1014"/>
      <c r="D31" s="1014"/>
      <c r="E31" s="384">
        <v>0</v>
      </c>
      <c r="F31" s="14"/>
      <c r="G31" s="287"/>
      <c r="H31" s="6"/>
      <c r="I31" s="6"/>
      <c r="J31" s="6"/>
      <c r="K31" s="6"/>
      <c r="L31" s="6"/>
      <c r="M31" s="6"/>
    </row>
    <row r="32" spans="1:13" ht="13.8">
      <c r="A32" s="419">
        <f>ROW()</f>
        <v>32</v>
      </c>
      <c r="B32" s="1014" t="s">
        <v>345</v>
      </c>
      <c r="C32" s="1014"/>
      <c r="D32" s="1014"/>
      <c r="E32" s="384"/>
      <c r="F32" s="14"/>
      <c r="G32" s="287"/>
      <c r="H32" s="6"/>
      <c r="I32" s="6"/>
      <c r="J32" s="6"/>
      <c r="K32" s="6"/>
      <c r="L32" s="6"/>
      <c r="M32" s="6"/>
    </row>
    <row r="33" spans="1:13" ht="13.8">
      <c r="A33" s="419">
        <f>ROW()</f>
        <v>33</v>
      </c>
      <c r="B33" s="1021" t="s">
        <v>346</v>
      </c>
      <c r="C33" s="1021"/>
      <c r="D33" s="1021"/>
      <c r="E33" s="384">
        <v>98000</v>
      </c>
      <c r="F33" s="14"/>
      <c r="G33" s="287"/>
      <c r="H33" s="6"/>
      <c r="I33" s="6"/>
      <c r="J33" s="6"/>
      <c r="K33" s="6"/>
      <c r="L33" s="6"/>
      <c r="M33" s="6"/>
    </row>
    <row r="34" spans="1:13" ht="13.8">
      <c r="A34" s="419">
        <f>ROW()</f>
        <v>34</v>
      </c>
      <c r="B34" s="1021"/>
      <c r="C34" s="1021"/>
      <c r="D34" s="1021"/>
      <c r="E34" s="384"/>
      <c r="F34" s="14"/>
      <c r="G34" s="287"/>
      <c r="H34" s="6"/>
      <c r="I34" s="6"/>
      <c r="J34" s="6"/>
      <c r="K34" s="6"/>
      <c r="L34" s="6"/>
      <c r="M34" s="6"/>
    </row>
    <row r="35" spans="1:13" ht="13.8">
      <c r="A35" s="419">
        <f>ROW()</f>
        <v>35</v>
      </c>
      <c r="B35" s="1021"/>
      <c r="C35" s="1021"/>
      <c r="D35" s="1021"/>
      <c r="E35" s="384"/>
      <c r="F35" s="14"/>
      <c r="G35" s="287"/>
      <c r="H35" s="6"/>
      <c r="I35" s="6"/>
      <c r="J35" s="6"/>
      <c r="K35" s="6"/>
      <c r="L35" s="6"/>
      <c r="M35" s="6"/>
    </row>
    <row r="36" spans="1:13" ht="13.8">
      <c r="A36" s="419">
        <f>ROW()</f>
        <v>36</v>
      </c>
      <c r="B36" s="1021"/>
      <c r="C36" s="1021"/>
      <c r="D36" s="1021"/>
      <c r="E36" s="384"/>
      <c r="F36" s="14"/>
      <c r="G36" s="287"/>
      <c r="H36" s="6"/>
      <c r="I36" s="6"/>
      <c r="J36" s="6"/>
      <c r="K36" s="6"/>
      <c r="L36" s="6"/>
      <c r="M36" s="6"/>
    </row>
    <row r="37" spans="1:13" ht="13.8">
      <c r="A37" s="419">
        <f>ROW()</f>
        <v>37</v>
      </c>
      <c r="B37" s="1849"/>
      <c r="C37" s="1849"/>
      <c r="D37" s="1849"/>
      <c r="E37" s="384">
        <v>0</v>
      </c>
      <c r="F37" s="14"/>
      <c r="G37" s="287"/>
      <c r="H37" s="6"/>
      <c r="I37" s="6"/>
      <c r="J37" s="6"/>
      <c r="K37" s="6"/>
      <c r="L37" s="6"/>
      <c r="M37" s="6"/>
    </row>
    <row r="38" spans="1:13" ht="13.8">
      <c r="A38" s="419">
        <f>ROW()</f>
        <v>38</v>
      </c>
      <c r="B38" s="975" t="s">
        <v>347</v>
      </c>
      <c r="C38" s="975"/>
      <c r="D38" s="976"/>
      <c r="E38" s="977" t="s">
        <v>348</v>
      </c>
      <c r="F38" s="15"/>
      <c r="G38" s="6"/>
      <c r="H38" s="6"/>
      <c r="I38" s="6"/>
      <c r="J38" s="6"/>
      <c r="K38" s="6"/>
      <c r="L38" s="6"/>
      <c r="M38" s="6"/>
    </row>
    <row r="39" spans="1:13" ht="13.8">
      <c r="A39" s="419">
        <f>ROW()</f>
        <v>39</v>
      </c>
      <c r="B39" s="1074" t="s">
        <v>104</v>
      </c>
      <c r="C39" s="1074"/>
      <c r="D39" s="1075"/>
      <c r="E39" s="1076" t="e">
        <f>+#REF!-E38</f>
        <v>#REF!</v>
      </c>
      <c r="F39" s="15"/>
      <c r="G39" s="6"/>
      <c r="H39" s="6"/>
      <c r="I39" s="6"/>
      <c r="J39" s="6"/>
      <c r="K39" s="6"/>
      <c r="L39" s="6"/>
      <c r="M39" s="6"/>
    </row>
    <row r="40" spans="1:13" ht="13.8">
      <c r="A40" s="419">
        <f>ROW()</f>
        <v>40</v>
      </c>
      <c r="B40" s="10" t="s">
        <v>349</v>
      </c>
      <c r="C40" s="17"/>
      <c r="D40" s="17"/>
      <c r="E40" s="17"/>
      <c r="F40" s="17"/>
      <c r="G40" s="6"/>
      <c r="H40" s="6"/>
      <c r="I40" s="6"/>
      <c r="J40" s="6"/>
      <c r="K40" s="6"/>
      <c r="L40" s="6"/>
      <c r="M40" s="6"/>
    </row>
    <row r="41" spans="1:13">
      <c r="A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6" priority="1" stopIfTrue="1">
      <formula>MOD(ROW(),2)=0</formula>
    </cfRule>
  </conditionalFormatting>
  <dataValidations count="1">
    <dataValidation allowBlank="1" showInputMessage="1" showErrorMessage="1" prompt="You may change any of the job titles." sqref="B11:B37" xr:uid="{00000000-0002-0000-0600-000000000000}"/>
  </dataValidations>
  <hyperlinks>
    <hyperlink ref="E1" location="HypLink1" display="HypLink1" xr:uid="{00000000-0004-0000-0600-000000000000}"/>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FF99"/>
    <pageSetUpPr fitToPage="1"/>
  </sheetPr>
  <dimension ref="A1:AO136"/>
  <sheetViews>
    <sheetView zoomScale="80" zoomScaleNormal="80" workbookViewId="0">
      <selection activeCell="F32" sqref="F32"/>
    </sheetView>
  </sheetViews>
  <sheetFormatPr defaultColWidth="9.33203125" defaultRowHeight="13.8"/>
  <cols>
    <col min="1" max="1" width="4.6640625" style="32" customWidth="1"/>
    <col min="2" max="2" width="28.6640625" style="32" customWidth="1"/>
    <col min="3" max="3" width="12.33203125" style="32" customWidth="1"/>
    <col min="4" max="4" width="11.5546875" style="32" customWidth="1"/>
    <col min="5" max="6" width="13.6640625" style="32" customWidth="1"/>
    <col min="7" max="7" width="14.33203125" style="32" customWidth="1"/>
    <col min="8" max="8" width="14" style="32" customWidth="1"/>
    <col min="9" max="15" width="12.6640625" style="32" customWidth="1"/>
    <col min="16" max="17" width="13.33203125" style="32" customWidth="1"/>
    <col min="18" max="18" width="14.44140625" style="32" customWidth="1"/>
    <col min="19" max="19" width="2.44140625" style="32" customWidth="1"/>
    <col min="20" max="20" width="3.6640625" style="32" customWidth="1"/>
    <col min="21" max="21" width="58.6640625" style="257" customWidth="1"/>
    <col min="22" max="22" width="9.33203125" style="32"/>
    <col min="23" max="41" width="4" style="32" customWidth="1"/>
    <col min="42" max="16384" width="9.33203125" style="32"/>
  </cols>
  <sheetData>
    <row r="1" spans="1:41" ht="15.6">
      <c r="A1" s="1633" t="s">
        <v>350</v>
      </c>
      <c r="B1" s="1633"/>
      <c r="C1" s="1634"/>
      <c r="D1" s="347"/>
      <c r="F1" s="74"/>
      <c r="G1" s="74"/>
      <c r="H1" s="74"/>
      <c r="I1" s="74"/>
      <c r="J1" s="74"/>
      <c r="K1" s="74"/>
      <c r="L1" s="74"/>
      <c r="P1" s="34"/>
      <c r="Q1" s="34"/>
      <c r="W1" s="48"/>
      <c r="X1" s="48"/>
      <c r="Y1" s="48"/>
      <c r="Z1" s="48"/>
      <c r="AA1" s="48"/>
      <c r="AB1" s="48"/>
      <c r="AC1" s="48"/>
      <c r="AD1" s="48"/>
      <c r="AE1" s="48"/>
      <c r="AF1" s="48"/>
      <c r="AG1" s="48"/>
      <c r="AH1" s="48"/>
      <c r="AI1" s="48"/>
      <c r="AJ1" s="48"/>
      <c r="AK1" s="48"/>
      <c r="AL1" s="48"/>
      <c r="AM1" s="48"/>
      <c r="AN1" s="48"/>
      <c r="AO1" s="48"/>
    </row>
    <row r="2" spans="1:41" ht="15.6">
      <c r="A2" s="35" t="str">
        <f>SchoolName</f>
        <v>Game Changers Sports Academy</v>
      </c>
      <c r="B2" s="35"/>
      <c r="C2" s="35"/>
      <c r="F2" s="74"/>
      <c r="G2" s="74"/>
      <c r="H2" s="74"/>
      <c r="I2" s="74"/>
      <c r="J2" s="74"/>
      <c r="K2" s="74"/>
      <c r="L2" s="74"/>
      <c r="W2" s="48"/>
      <c r="X2" s="48"/>
      <c r="Y2" s="48"/>
      <c r="Z2" s="48"/>
      <c r="AA2" s="48"/>
      <c r="AB2" s="48"/>
      <c r="AC2" s="48"/>
      <c r="AD2" s="48"/>
      <c r="AE2" s="48"/>
      <c r="AF2" s="48"/>
      <c r="AG2" s="48"/>
      <c r="AH2" s="48"/>
      <c r="AI2" s="48"/>
      <c r="AJ2" s="48"/>
      <c r="AK2" s="48"/>
      <c r="AL2" s="48"/>
      <c r="AM2" s="48"/>
      <c r="AN2" s="48"/>
      <c r="AO2" s="48"/>
    </row>
    <row r="3" spans="1:41">
      <c r="A3" s="37"/>
      <c r="B3" s="37"/>
      <c r="C3" s="37"/>
      <c r="D3" s="37"/>
      <c r="L3" s="74"/>
      <c r="W3" s="48"/>
      <c r="X3" s="48"/>
      <c r="Y3" s="48"/>
      <c r="Z3" s="48"/>
      <c r="AA3" s="48"/>
      <c r="AB3" s="48"/>
      <c r="AC3" s="48"/>
      <c r="AD3" s="48"/>
      <c r="AE3" s="48"/>
      <c r="AF3" s="48"/>
      <c r="AG3" s="48"/>
      <c r="AH3" s="48"/>
      <c r="AI3" s="48"/>
      <c r="AJ3" s="48"/>
      <c r="AK3" s="48"/>
      <c r="AL3" s="48"/>
      <c r="AM3" s="48"/>
      <c r="AN3" s="48"/>
      <c r="AO3" s="48"/>
    </row>
    <row r="4" spans="1:41">
      <c r="A4" s="38"/>
      <c r="B4" s="38"/>
      <c r="C4" s="38"/>
      <c r="D4" s="38"/>
      <c r="L4" s="74"/>
      <c r="W4" s="48"/>
      <c r="X4" s="48"/>
      <c r="Y4" s="48"/>
      <c r="Z4" s="48"/>
      <c r="AA4" s="48"/>
      <c r="AB4" s="48"/>
      <c r="AC4" s="48"/>
      <c r="AD4" s="48"/>
      <c r="AE4" s="48"/>
      <c r="AF4" s="48"/>
      <c r="AG4" s="48"/>
      <c r="AH4" s="48"/>
      <c r="AI4" s="48"/>
      <c r="AJ4" s="48"/>
      <c r="AK4" s="48"/>
      <c r="AL4" s="48"/>
      <c r="AM4" s="48"/>
      <c r="AN4" s="48"/>
      <c r="AO4" s="48"/>
    </row>
    <row r="5" spans="1:41">
      <c r="A5" s="29"/>
      <c r="B5" s="29"/>
      <c r="C5" s="29"/>
      <c r="D5" s="29"/>
      <c r="L5" s="74"/>
      <c r="W5" s="48"/>
      <c r="X5" s="48"/>
      <c r="Y5" s="48"/>
      <c r="Z5" s="48"/>
      <c r="AA5" s="48"/>
      <c r="AB5" s="48"/>
      <c r="AC5" s="48"/>
      <c r="AD5" s="48"/>
      <c r="AE5" s="48"/>
      <c r="AF5" s="48"/>
      <c r="AG5" s="48"/>
      <c r="AH5" s="48"/>
      <c r="AI5" s="48"/>
      <c r="AJ5" s="48"/>
      <c r="AK5" s="48"/>
      <c r="AL5" s="48"/>
      <c r="AM5" s="48"/>
      <c r="AN5" s="48"/>
      <c r="AO5" s="48"/>
    </row>
    <row r="6" spans="1:41">
      <c r="W6" s="48"/>
      <c r="X6" s="48"/>
      <c r="Y6" s="48"/>
      <c r="Z6" s="48"/>
      <c r="AA6" s="48"/>
      <c r="AB6" s="48"/>
      <c r="AC6" s="48"/>
      <c r="AD6" s="48"/>
      <c r="AE6" s="48"/>
      <c r="AF6" s="48"/>
      <c r="AG6" s="48"/>
      <c r="AH6" s="48"/>
      <c r="AI6" s="48"/>
      <c r="AJ6" s="48"/>
      <c r="AK6" s="48"/>
      <c r="AL6" s="48"/>
      <c r="AM6" s="48"/>
      <c r="AN6" s="48"/>
      <c r="AO6" s="48"/>
    </row>
    <row r="7" spans="1:41" ht="17.399999999999999">
      <c r="B7" s="71" t="s">
        <v>351</v>
      </c>
      <c r="C7" s="189">
        <f>' Enrol &amp; Rev'!G10</f>
        <v>2026</v>
      </c>
      <c r="D7" s="71"/>
      <c r="F7" s="72" t="s">
        <v>352</v>
      </c>
      <c r="M7" s="11"/>
      <c r="N7" s="11"/>
      <c r="O7" s="11"/>
      <c r="P7" s="11"/>
      <c r="Q7" s="11"/>
      <c r="R7" s="11"/>
      <c r="W7" s="48"/>
      <c r="X7" s="48"/>
      <c r="Y7" s="48"/>
      <c r="Z7" s="48"/>
      <c r="AA7" s="48"/>
      <c r="AB7" s="48"/>
      <c r="AC7" s="48"/>
      <c r="AD7" s="48"/>
      <c r="AE7" s="48"/>
      <c r="AF7" s="48"/>
      <c r="AG7" s="48"/>
      <c r="AH7" s="48"/>
      <c r="AI7" s="48"/>
      <c r="AJ7" s="48"/>
      <c r="AK7" s="48"/>
      <c r="AL7" s="48"/>
      <c r="AM7" s="48"/>
      <c r="AN7" s="48"/>
      <c r="AO7" s="48"/>
    </row>
    <row r="8" spans="1:41" ht="14.4">
      <c r="B8" s="73" t="s">
        <v>353</v>
      </c>
      <c r="C8" s="189">
        <f>' Enrol &amp; Rev'!G11</f>
        <v>2027</v>
      </c>
      <c r="D8" s="73"/>
      <c r="F8" s="154"/>
      <c r="G8" s="75"/>
      <c r="L8" s="75"/>
      <c r="M8" s="75"/>
      <c r="N8" s="75"/>
      <c r="O8" s="75"/>
      <c r="P8" s="75"/>
      <c r="Q8" s="75"/>
      <c r="R8" s="75"/>
      <c r="W8" s="48"/>
      <c r="X8" s="48"/>
      <c r="Y8" s="48"/>
      <c r="Z8" s="48"/>
      <c r="AA8" s="48"/>
      <c r="AB8" s="48"/>
      <c r="AC8" s="48"/>
      <c r="AD8" s="48"/>
      <c r="AE8" s="48"/>
      <c r="AF8" s="48"/>
      <c r="AG8" s="48"/>
      <c r="AH8" s="48"/>
      <c r="AI8" s="48"/>
      <c r="AJ8" s="48"/>
      <c r="AK8" s="48"/>
      <c r="AL8" s="48"/>
      <c r="AM8" s="48"/>
      <c r="AN8" s="48"/>
      <c r="AO8" s="48"/>
    </row>
    <row r="9" spans="1:41">
      <c r="B9" s="73" t="s">
        <v>354</v>
      </c>
      <c r="C9" s="204">
        <v>1.2500000000000001E-2</v>
      </c>
      <c r="D9" s="73"/>
      <c r="E9" s="1552"/>
      <c r="F9" s="1375">
        <v>1</v>
      </c>
      <c r="G9" s="1376">
        <f>1+F9</f>
        <v>2</v>
      </c>
      <c r="H9" s="1376">
        <f t="shared" ref="H9:Q9" si="0">1+G9</f>
        <v>3</v>
      </c>
      <c r="I9" s="1376">
        <f t="shared" si="0"/>
        <v>4</v>
      </c>
      <c r="J9" s="1376">
        <f t="shared" si="0"/>
        <v>5</v>
      </c>
      <c r="K9" s="1376">
        <f t="shared" si="0"/>
        <v>6</v>
      </c>
      <c r="L9" s="1376">
        <f t="shared" si="0"/>
        <v>7</v>
      </c>
      <c r="M9" s="1376">
        <f t="shared" si="0"/>
        <v>8</v>
      </c>
      <c r="N9" s="1376">
        <f t="shared" si="0"/>
        <v>9</v>
      </c>
      <c r="O9" s="1376">
        <f t="shared" si="0"/>
        <v>10</v>
      </c>
      <c r="P9" s="1376">
        <f t="shared" si="0"/>
        <v>11</v>
      </c>
      <c r="Q9" s="1376">
        <f t="shared" si="0"/>
        <v>12</v>
      </c>
      <c r="R9" s="1377" t="s">
        <v>1169</v>
      </c>
      <c r="W9" s="48"/>
      <c r="X9" s="48"/>
      <c r="Y9" s="48"/>
      <c r="Z9" s="48"/>
      <c r="AA9" s="48"/>
      <c r="AB9" s="48"/>
      <c r="AC9" s="48"/>
      <c r="AD9" s="48"/>
      <c r="AE9" s="48"/>
      <c r="AF9" s="48"/>
      <c r="AG9" s="48"/>
      <c r="AH9" s="48"/>
      <c r="AI9" s="48"/>
      <c r="AJ9" s="48"/>
      <c r="AK9" s="48"/>
      <c r="AL9" s="48"/>
      <c r="AM9" s="48"/>
      <c r="AN9" s="48"/>
      <c r="AO9" s="48"/>
    </row>
    <row r="10" spans="1:41">
      <c r="B10" s="74"/>
      <c r="C10" s="74"/>
      <c r="D10" s="74"/>
      <c r="E10" s="1553"/>
      <c r="F10" s="1378"/>
      <c r="G10" s="1379"/>
      <c r="H10" s="1535" t="s">
        <v>355</v>
      </c>
      <c r="I10" s="1379"/>
      <c r="J10" s="1380"/>
      <c r="K10" s="1535" t="s">
        <v>355</v>
      </c>
      <c r="L10" s="1380"/>
      <c r="M10" s="1380"/>
      <c r="N10" s="1535" t="s">
        <v>355</v>
      </c>
      <c r="O10" s="1380"/>
      <c r="P10" s="1380"/>
      <c r="Q10" s="1535" t="s">
        <v>355</v>
      </c>
      <c r="R10" s="1381"/>
      <c r="W10" s="48"/>
      <c r="X10" s="48"/>
      <c r="Y10" s="48"/>
      <c r="Z10" s="48"/>
      <c r="AA10" s="48"/>
      <c r="AB10" s="48"/>
      <c r="AC10" s="48"/>
      <c r="AD10" s="48"/>
      <c r="AE10" s="48"/>
      <c r="AF10" s="48"/>
      <c r="AG10" s="48"/>
      <c r="AH10" s="48"/>
      <c r="AI10" s="48"/>
      <c r="AJ10" s="48"/>
      <c r="AK10" s="48"/>
      <c r="AL10" s="48"/>
      <c r="AM10" s="48"/>
      <c r="AN10" s="48"/>
      <c r="AO10" s="48"/>
    </row>
    <row r="11" spans="1:41" ht="15" customHeight="1">
      <c r="C11" s="1002"/>
      <c r="D11" s="1002"/>
      <c r="E11" s="1554" t="s">
        <v>356</v>
      </c>
      <c r="F11" s="1531" t="s">
        <v>357</v>
      </c>
      <c r="G11" s="1531" t="s">
        <v>357</v>
      </c>
      <c r="H11" s="1531" t="s">
        <v>357</v>
      </c>
      <c r="I11" s="1531" t="s">
        <v>357</v>
      </c>
      <c r="J11" s="1531" t="s">
        <v>357</v>
      </c>
      <c r="K11" s="1531" t="s">
        <v>357</v>
      </c>
      <c r="L11" s="1531" t="s">
        <v>357</v>
      </c>
      <c r="M11" s="1531" t="s">
        <v>357</v>
      </c>
      <c r="N11" s="1531" t="s">
        <v>357</v>
      </c>
      <c r="O11" s="1531" t="s">
        <v>357</v>
      </c>
      <c r="P11" s="1531" t="s">
        <v>357</v>
      </c>
      <c r="Q11" s="1531" t="s">
        <v>357</v>
      </c>
      <c r="R11" s="1532" t="s">
        <v>357</v>
      </c>
      <c r="W11" s="48"/>
      <c r="X11" s="48"/>
      <c r="Y11" s="48"/>
      <c r="Z11" s="48"/>
      <c r="AA11" s="48"/>
      <c r="AB11" s="48"/>
      <c r="AC11" s="48"/>
      <c r="AD11" s="48"/>
      <c r="AE11" s="48"/>
      <c r="AF11" s="48"/>
      <c r="AG11" s="48"/>
      <c r="AH11" s="48"/>
      <c r="AI11" s="48"/>
      <c r="AJ11" s="48"/>
      <c r="AK11" s="48"/>
      <c r="AL11" s="48"/>
      <c r="AM11" s="48"/>
      <c r="AN11" s="48"/>
      <c r="AO11" s="48"/>
    </row>
    <row r="12" spans="1:41">
      <c r="B12" s="12"/>
      <c r="C12" s="1002"/>
      <c r="D12" s="1003"/>
      <c r="E12" s="1555">
        <f>+C8</f>
        <v>2027</v>
      </c>
      <c r="F12" s="1533">
        <v>44378</v>
      </c>
      <c r="G12" s="1533">
        <v>44409</v>
      </c>
      <c r="H12" s="1533">
        <v>44440</v>
      </c>
      <c r="I12" s="1533">
        <v>44470</v>
      </c>
      <c r="J12" s="1533">
        <v>44501</v>
      </c>
      <c r="K12" s="1533">
        <v>44531</v>
      </c>
      <c r="L12" s="1533">
        <v>44197</v>
      </c>
      <c r="M12" s="1533">
        <v>44228</v>
      </c>
      <c r="N12" s="1533">
        <v>44256</v>
      </c>
      <c r="O12" s="1533">
        <v>44287</v>
      </c>
      <c r="P12" s="1533">
        <v>44317</v>
      </c>
      <c r="Q12" s="1533">
        <v>44348</v>
      </c>
      <c r="R12" s="1534">
        <v>44378</v>
      </c>
      <c r="U12" s="1032"/>
      <c r="W12" s="48"/>
      <c r="X12" s="48"/>
      <c r="Y12" s="48"/>
      <c r="Z12" s="48"/>
      <c r="AA12" s="48"/>
      <c r="AB12" s="48"/>
      <c r="AC12" s="48"/>
      <c r="AD12" s="48"/>
      <c r="AE12" s="48"/>
      <c r="AF12" s="48"/>
      <c r="AG12" s="48"/>
      <c r="AH12" s="48"/>
      <c r="AI12" s="48"/>
      <c r="AJ12" s="48"/>
      <c r="AK12" s="48"/>
      <c r="AL12" s="48"/>
      <c r="AM12" s="48"/>
      <c r="AN12" s="48"/>
      <c r="AO12" s="48"/>
    </row>
    <row r="13" spans="1:41">
      <c r="B13" s="12"/>
      <c r="C13" s="1002"/>
      <c r="D13" s="1003"/>
      <c r="E13" s="1556" t="s">
        <v>359</v>
      </c>
      <c r="F13" s="1004">
        <v>7</v>
      </c>
      <c r="G13" s="1004">
        <f>+F13+1</f>
        <v>8</v>
      </c>
      <c r="H13" s="1004">
        <f>+G13+1</f>
        <v>9</v>
      </c>
      <c r="I13" s="1004">
        <f>+H13+1</f>
        <v>10</v>
      </c>
      <c r="J13" s="1004">
        <f>+I13+1</f>
        <v>11</v>
      </c>
      <c r="K13" s="1004">
        <f>+J13+1</f>
        <v>12</v>
      </c>
      <c r="L13" s="1004">
        <v>1</v>
      </c>
      <c r="M13" s="1004">
        <f t="shared" ref="M13:R13" si="1">+L13+1</f>
        <v>2</v>
      </c>
      <c r="N13" s="1004">
        <f t="shared" si="1"/>
        <v>3</v>
      </c>
      <c r="O13" s="1004">
        <f t="shared" si="1"/>
        <v>4</v>
      </c>
      <c r="P13" s="1004">
        <f t="shared" si="1"/>
        <v>5</v>
      </c>
      <c r="Q13" s="1004">
        <f t="shared" si="1"/>
        <v>6</v>
      </c>
      <c r="R13" s="1557">
        <f t="shared" si="1"/>
        <v>7</v>
      </c>
      <c r="U13" s="1032"/>
      <c r="W13" s="48"/>
      <c r="X13" s="48"/>
      <c r="Y13" s="48"/>
      <c r="Z13" s="48"/>
      <c r="AA13" s="48"/>
      <c r="AB13" s="48"/>
      <c r="AC13" s="48"/>
      <c r="AD13" s="48"/>
      <c r="AE13" s="48"/>
      <c r="AF13" s="48"/>
      <c r="AG13" s="48"/>
      <c r="AH13" s="48"/>
      <c r="AI13" s="48"/>
      <c r="AJ13" s="48"/>
      <c r="AK13" s="48"/>
      <c r="AL13" s="48"/>
      <c r="AM13" s="48"/>
      <c r="AN13" s="48"/>
      <c r="AO13" s="48"/>
    </row>
    <row r="14" spans="1:41">
      <c r="B14" s="12"/>
      <c r="C14" s="1002"/>
      <c r="D14" s="1003"/>
      <c r="E14" s="1556" t="s">
        <v>360</v>
      </c>
      <c r="F14" s="1005">
        <f t="shared" ref="F14:K14" si="2">DATE($E$12-1,F13,1)</f>
        <v>46204</v>
      </c>
      <c r="G14" s="1005">
        <f t="shared" si="2"/>
        <v>46235</v>
      </c>
      <c r="H14" s="1005">
        <f t="shared" si="2"/>
        <v>46266</v>
      </c>
      <c r="I14" s="1005">
        <f t="shared" si="2"/>
        <v>46296</v>
      </c>
      <c r="J14" s="1005">
        <f t="shared" si="2"/>
        <v>46327</v>
      </c>
      <c r="K14" s="1005">
        <f t="shared" si="2"/>
        <v>46357</v>
      </c>
      <c r="L14" s="1005">
        <f t="shared" ref="L14:R14" si="3">DATE($E$12,L13,1)</f>
        <v>46388</v>
      </c>
      <c r="M14" s="1005">
        <f t="shared" si="3"/>
        <v>46419</v>
      </c>
      <c r="N14" s="1005">
        <f t="shared" si="3"/>
        <v>46447</v>
      </c>
      <c r="O14" s="1005">
        <f t="shared" si="3"/>
        <v>46478</v>
      </c>
      <c r="P14" s="1005">
        <f t="shared" si="3"/>
        <v>46508</v>
      </c>
      <c r="Q14" s="1005">
        <f t="shared" ref="Q14" si="4">DATE($E$12,Q13,1)</f>
        <v>46539</v>
      </c>
      <c r="R14" s="1558">
        <f t="shared" si="3"/>
        <v>46569</v>
      </c>
      <c r="U14" s="1032"/>
      <c r="W14" s="48"/>
      <c r="X14" s="48"/>
      <c r="Y14" s="48"/>
      <c r="Z14" s="48"/>
      <c r="AA14" s="48"/>
      <c r="AB14" s="48"/>
      <c r="AC14" s="48"/>
      <c r="AD14" s="48"/>
      <c r="AE14" s="48"/>
      <c r="AF14" s="48"/>
      <c r="AG14" s="48"/>
      <c r="AH14" s="48"/>
      <c r="AI14" s="48"/>
      <c r="AJ14" s="48"/>
      <c r="AK14" s="48"/>
      <c r="AL14" s="48"/>
      <c r="AM14" s="48"/>
      <c r="AN14" s="48"/>
      <c r="AO14" s="48"/>
    </row>
    <row r="15" spans="1:41">
      <c r="B15" s="12"/>
      <c r="C15" s="1002"/>
      <c r="D15" s="1003"/>
      <c r="E15" s="1559" t="s">
        <v>361</v>
      </c>
      <c r="F15" s="1560">
        <f t="shared" ref="F15:Q15" si="5">+G14-F14</f>
        <v>31</v>
      </c>
      <c r="G15" s="1560">
        <f t="shared" si="5"/>
        <v>31</v>
      </c>
      <c r="H15" s="1560">
        <f t="shared" si="5"/>
        <v>30</v>
      </c>
      <c r="I15" s="1560">
        <f t="shared" si="5"/>
        <v>31</v>
      </c>
      <c r="J15" s="1560">
        <f t="shared" si="5"/>
        <v>30</v>
      </c>
      <c r="K15" s="1560">
        <f t="shared" si="5"/>
        <v>31</v>
      </c>
      <c r="L15" s="1560">
        <f t="shared" si="5"/>
        <v>31</v>
      </c>
      <c r="M15" s="1560">
        <f t="shared" si="5"/>
        <v>28</v>
      </c>
      <c r="N15" s="1560">
        <f t="shared" si="5"/>
        <v>31</v>
      </c>
      <c r="O15" s="1560">
        <f t="shared" si="5"/>
        <v>30</v>
      </c>
      <c r="P15" s="1560">
        <f t="shared" si="5"/>
        <v>31</v>
      </c>
      <c r="Q15" s="1560">
        <f t="shared" si="5"/>
        <v>30</v>
      </c>
      <c r="R15" s="1561">
        <f>DATE($E$12,7,1)-R14</f>
        <v>0</v>
      </c>
      <c r="U15" s="1032"/>
      <c r="W15" s="48"/>
      <c r="X15" s="48"/>
      <c r="Y15" s="48"/>
      <c r="Z15" s="48"/>
      <c r="AA15" s="48"/>
      <c r="AB15" s="48"/>
      <c r="AC15" s="48"/>
      <c r="AD15" s="48"/>
      <c r="AE15" s="48"/>
      <c r="AF15" s="48"/>
      <c r="AG15" s="48"/>
      <c r="AH15" s="48"/>
      <c r="AI15" s="48"/>
      <c r="AJ15" s="48"/>
      <c r="AK15" s="48"/>
      <c r="AL15" s="48"/>
      <c r="AM15" s="48"/>
      <c r="AN15" s="48"/>
      <c r="AO15" s="48"/>
    </row>
    <row r="16" spans="1:41" ht="15.6">
      <c r="B16" s="1541" t="s">
        <v>1240</v>
      </c>
      <c r="C16" s="1002"/>
      <c r="D16" s="1003"/>
      <c r="U16" s="1032"/>
      <c r="W16" s="48"/>
      <c r="X16" s="48"/>
      <c r="Y16" s="48"/>
      <c r="Z16" s="48"/>
      <c r="AA16" s="48"/>
      <c r="AB16" s="48"/>
      <c r="AC16" s="48"/>
      <c r="AD16" s="48"/>
      <c r="AE16" s="48"/>
      <c r="AF16" s="48"/>
      <c r="AG16" s="48"/>
      <c r="AH16" s="48"/>
      <c r="AI16" s="48"/>
      <c r="AJ16" s="48"/>
      <c r="AK16" s="48"/>
      <c r="AL16" s="48"/>
      <c r="AM16" s="48"/>
      <c r="AN16" s="48"/>
      <c r="AO16" s="48"/>
    </row>
    <row r="17" spans="1:41" ht="15.6">
      <c r="B17" s="1541"/>
      <c r="C17" s="1594" t="s">
        <v>1264</v>
      </c>
      <c r="D17" s="1596" t="s">
        <v>358</v>
      </c>
      <c r="E17" s="1594" t="s">
        <v>1263</v>
      </c>
      <c r="U17" s="1032"/>
      <c r="W17" s="48"/>
      <c r="X17" s="48"/>
      <c r="Y17" s="48"/>
      <c r="Z17" s="48"/>
      <c r="AA17" s="48"/>
      <c r="AB17" s="48"/>
      <c r="AC17" s="48"/>
      <c r="AD17" s="48"/>
      <c r="AE17" s="48"/>
      <c r="AF17" s="48"/>
      <c r="AG17" s="48"/>
      <c r="AH17" s="48"/>
      <c r="AI17" s="48"/>
      <c r="AJ17" s="48"/>
      <c r="AK17" s="48"/>
      <c r="AL17" s="48"/>
      <c r="AM17" s="48"/>
      <c r="AN17" s="48"/>
      <c r="AO17" s="48"/>
    </row>
    <row r="18" spans="1:41">
      <c r="A18" s="290">
        <f>ROW()</f>
        <v>18</v>
      </c>
      <c r="B18" s="1529" t="s">
        <v>362</v>
      </c>
      <c r="C18" s="1595"/>
      <c r="D18" s="1595"/>
      <c r="E18" s="1595"/>
      <c r="F18" s="1582"/>
      <c r="G18" s="1530"/>
      <c r="H18" s="1530"/>
      <c r="I18" s="1530"/>
      <c r="J18" s="1530"/>
      <c r="K18" s="1530"/>
      <c r="L18" s="1530"/>
      <c r="M18" s="1530"/>
      <c r="N18" s="1530"/>
      <c r="O18" s="1530"/>
      <c r="P18" s="1530"/>
      <c r="Q18" s="1530"/>
      <c r="R18" s="1530"/>
      <c r="U18" s="1425" t="s">
        <v>1253</v>
      </c>
      <c r="W18" s="48"/>
      <c r="X18" s="48"/>
      <c r="Y18" s="48"/>
      <c r="Z18" s="48"/>
      <c r="AA18" s="48"/>
      <c r="AB18" s="48"/>
      <c r="AC18" s="48"/>
      <c r="AD18" s="48"/>
      <c r="AE18" s="48"/>
      <c r="AF18" s="48"/>
      <c r="AG18" s="48"/>
      <c r="AH18" s="48"/>
      <c r="AI18" s="48"/>
      <c r="AJ18" s="48"/>
      <c r="AK18" s="48"/>
      <c r="AL18" s="48"/>
      <c r="AM18" s="48"/>
      <c r="AN18" s="48"/>
      <c r="AO18" s="48"/>
    </row>
    <row r="19" spans="1:41">
      <c r="A19" s="290">
        <f>ROW()</f>
        <v>19</v>
      </c>
      <c r="B19" s="1579" t="s">
        <v>363</v>
      </c>
      <c r="C19" s="1590">
        <f>' Enrol &amp; Rev'!G119</f>
        <v>2165220</v>
      </c>
      <c r="D19" s="1590">
        <f>+C19-E19</f>
        <v>0</v>
      </c>
      <c r="E19" s="1590">
        <f>SUM(F19:R19)</f>
        <v>2165220</v>
      </c>
      <c r="F19" s="1583"/>
      <c r="G19" s="686">
        <f>$C$19/12</f>
        <v>180435</v>
      </c>
      <c r="H19" s="686">
        <f t="shared" ref="H19:R19" si="6">$C$19/12</f>
        <v>180435</v>
      </c>
      <c r="I19" s="685">
        <f t="shared" si="6"/>
        <v>180435</v>
      </c>
      <c r="J19" s="686">
        <f t="shared" si="6"/>
        <v>180435</v>
      </c>
      <c r="K19" s="686">
        <f t="shared" si="6"/>
        <v>180435</v>
      </c>
      <c r="L19" s="686">
        <f t="shared" si="6"/>
        <v>180435</v>
      </c>
      <c r="M19" s="686">
        <f t="shared" si="6"/>
        <v>180435</v>
      </c>
      <c r="N19" s="686">
        <f t="shared" si="6"/>
        <v>180435</v>
      </c>
      <c r="O19" s="686">
        <f t="shared" si="6"/>
        <v>180435</v>
      </c>
      <c r="P19" s="686">
        <f t="shared" si="6"/>
        <v>180435</v>
      </c>
      <c r="Q19" s="686">
        <f t="shared" si="6"/>
        <v>180435</v>
      </c>
      <c r="R19" s="686">
        <f t="shared" si="6"/>
        <v>180435</v>
      </c>
      <c r="S19" s="257"/>
      <c r="T19" s="257"/>
      <c r="U19" s="287"/>
      <c r="W19" s="48"/>
      <c r="X19" s="48"/>
      <c r="Y19" s="48"/>
      <c r="Z19" s="48"/>
      <c r="AA19" s="48"/>
      <c r="AB19" s="48"/>
      <c r="AC19" s="48"/>
      <c r="AD19" s="48"/>
      <c r="AE19" s="48"/>
      <c r="AF19" s="48"/>
      <c r="AG19" s="48"/>
      <c r="AH19" s="48"/>
      <c r="AI19" s="48"/>
      <c r="AJ19" s="48"/>
      <c r="AK19" s="48"/>
      <c r="AL19" s="48"/>
      <c r="AM19" s="48"/>
      <c r="AN19" s="48"/>
      <c r="AO19" s="48"/>
    </row>
    <row r="20" spans="1:41">
      <c r="A20" s="290">
        <f>ROW()</f>
        <v>20</v>
      </c>
      <c r="B20" s="1580" t="s">
        <v>364</v>
      </c>
      <c r="C20" s="1591">
        <f>' Enrol &amp; Rev'!G120</f>
        <v>-27065.25</v>
      </c>
      <c r="D20" s="1591">
        <f t="shared" ref="D20:D36" si="7">+C20-E20</f>
        <v>0</v>
      </c>
      <c r="E20" s="1591">
        <f>SUM(F20:R20)</f>
        <v>-27065.25</v>
      </c>
      <c r="F20" s="1584"/>
      <c r="G20" s="457">
        <f t="shared" ref="G20:R20" si="8">-0.0125*G19</f>
        <v>-2255.4375</v>
      </c>
      <c r="H20" s="457">
        <f t="shared" si="8"/>
        <v>-2255.4375</v>
      </c>
      <c r="I20" s="457">
        <f t="shared" si="8"/>
        <v>-2255.4375</v>
      </c>
      <c r="J20" s="457">
        <f t="shared" si="8"/>
        <v>-2255.4375</v>
      </c>
      <c r="K20" s="457">
        <f t="shared" si="8"/>
        <v>-2255.4375</v>
      </c>
      <c r="L20" s="457">
        <f t="shared" si="8"/>
        <v>-2255.4375</v>
      </c>
      <c r="M20" s="457">
        <f t="shared" si="8"/>
        <v>-2255.4375</v>
      </c>
      <c r="N20" s="457">
        <f t="shared" si="8"/>
        <v>-2255.4375</v>
      </c>
      <c r="O20" s="457">
        <f t="shared" si="8"/>
        <v>-2255.4375</v>
      </c>
      <c r="P20" s="457">
        <f t="shared" si="8"/>
        <v>-2255.4375</v>
      </c>
      <c r="Q20" s="457">
        <f t="shared" si="8"/>
        <v>-2255.4375</v>
      </c>
      <c r="R20" s="457">
        <f t="shared" si="8"/>
        <v>-2255.4375</v>
      </c>
      <c r="S20" s="257"/>
      <c r="T20" s="257"/>
      <c r="U20" s="287"/>
      <c r="W20" s="48"/>
      <c r="X20" s="48"/>
      <c r="Y20" s="48"/>
      <c r="Z20" s="48"/>
      <c r="AA20" s="48"/>
      <c r="AB20" s="48"/>
      <c r="AC20" s="48"/>
      <c r="AD20" s="48"/>
      <c r="AE20" s="48"/>
      <c r="AF20" s="48"/>
      <c r="AG20" s="48"/>
      <c r="AH20" s="48"/>
      <c r="AI20" s="48"/>
      <c r="AJ20" s="48"/>
      <c r="AK20" s="48"/>
      <c r="AL20" s="48"/>
      <c r="AM20" s="48"/>
      <c r="AN20" s="48"/>
      <c r="AO20" s="48"/>
    </row>
    <row r="21" spans="1:41">
      <c r="A21" s="290">
        <f>ROW()</f>
        <v>21</v>
      </c>
      <c r="B21" s="1580" t="s">
        <v>83</v>
      </c>
      <c r="C21" s="1591">
        <f>' Enrol &amp; Rev'!G125</f>
        <v>41400</v>
      </c>
      <c r="D21" s="1591">
        <f t="shared" si="7"/>
        <v>41400</v>
      </c>
      <c r="E21" s="1591">
        <f>SUM(F21:R21)</f>
        <v>0</v>
      </c>
      <c r="F21" s="1585">
        <v>0</v>
      </c>
      <c r="G21" s="457">
        <v>0</v>
      </c>
      <c r="H21" s="457">
        <v>0</v>
      </c>
      <c r="I21" s="457">
        <v>0</v>
      </c>
      <c r="J21" s="457">
        <v>0</v>
      </c>
      <c r="K21" s="457">
        <v>0</v>
      </c>
      <c r="L21" s="457">
        <v>0</v>
      </c>
      <c r="M21" s="457">
        <v>0</v>
      </c>
      <c r="N21" s="457">
        <v>0</v>
      </c>
      <c r="O21" s="457">
        <v>0</v>
      </c>
      <c r="P21" s="457">
        <v>0</v>
      </c>
      <c r="Q21" s="457">
        <v>0</v>
      </c>
      <c r="R21" s="1252"/>
      <c r="S21" s="257"/>
      <c r="T21" s="257"/>
      <c r="U21" s="287"/>
      <c r="W21" s="48"/>
      <c r="X21" s="48"/>
      <c r="Y21" s="48"/>
      <c r="Z21" s="48"/>
      <c r="AA21" s="48"/>
      <c r="AB21" s="48"/>
      <c r="AC21" s="48"/>
      <c r="AD21" s="48"/>
      <c r="AE21" s="48"/>
      <c r="AF21" s="48"/>
      <c r="AG21" s="48"/>
      <c r="AH21" s="48"/>
      <c r="AI21" s="48"/>
      <c r="AJ21" s="48"/>
      <c r="AK21" s="48"/>
      <c r="AL21" s="48"/>
      <c r="AM21" s="48"/>
      <c r="AN21" s="48"/>
      <c r="AO21" s="48"/>
    </row>
    <row r="22" spans="1:41">
      <c r="A22" s="290">
        <f>ROW()</f>
        <v>22</v>
      </c>
      <c r="B22" s="1580" t="s">
        <v>84</v>
      </c>
      <c r="C22" s="1591">
        <f>' Enrol &amp; Rev'!G126</f>
        <v>7636</v>
      </c>
      <c r="D22" s="1591">
        <f t="shared" si="7"/>
        <v>7636</v>
      </c>
      <c r="E22" s="1591">
        <f>SUM(F22:R22)</f>
        <v>0</v>
      </c>
      <c r="F22" s="1585">
        <v>0</v>
      </c>
      <c r="G22" s="457">
        <v>0</v>
      </c>
      <c r="H22" s="457">
        <v>0</v>
      </c>
      <c r="I22" s="457">
        <v>0</v>
      </c>
      <c r="J22" s="457">
        <v>0</v>
      </c>
      <c r="K22" s="457">
        <v>0</v>
      </c>
      <c r="L22" s="457">
        <v>0</v>
      </c>
      <c r="M22" s="457">
        <v>0</v>
      </c>
      <c r="N22" s="457">
        <v>0</v>
      </c>
      <c r="O22" s="457">
        <v>0</v>
      </c>
      <c r="P22" s="457">
        <v>0</v>
      </c>
      <c r="Q22" s="457">
        <v>0</v>
      </c>
      <c r="R22" s="1252"/>
      <c r="S22" s="257"/>
      <c r="T22" s="257"/>
      <c r="U22" s="287"/>
      <c r="W22" s="48"/>
      <c r="X22" s="48"/>
      <c r="Y22" s="48"/>
      <c r="Z22" s="48"/>
      <c r="AA22" s="48"/>
      <c r="AB22" s="48"/>
      <c r="AC22" s="48"/>
      <c r="AD22" s="48"/>
      <c r="AE22" s="48"/>
      <c r="AF22" s="48"/>
      <c r="AG22" s="48"/>
      <c r="AH22" s="48"/>
      <c r="AI22" s="48"/>
      <c r="AJ22" s="48"/>
      <c r="AK22" s="48"/>
      <c r="AL22" s="48"/>
      <c r="AM22" s="48"/>
      <c r="AN22" s="48"/>
      <c r="AO22" s="48"/>
    </row>
    <row r="23" spans="1:41">
      <c r="A23" s="290">
        <f>ROW()</f>
        <v>23</v>
      </c>
      <c r="B23" s="1580" t="s">
        <v>84</v>
      </c>
      <c r="C23" s="1591">
        <f>' Enrol &amp; Rev'!G127</f>
        <v>920</v>
      </c>
      <c r="D23" s="1591">
        <f t="shared" ref="D23" si="9">+C23-E23</f>
        <v>920</v>
      </c>
      <c r="E23" s="1591">
        <f>SUM(F23:R23)</f>
        <v>0</v>
      </c>
      <c r="F23" s="1585">
        <v>0</v>
      </c>
      <c r="G23" s="457">
        <v>0</v>
      </c>
      <c r="H23" s="457">
        <v>0</v>
      </c>
      <c r="I23" s="457">
        <v>0</v>
      </c>
      <c r="J23" s="457">
        <v>0</v>
      </c>
      <c r="K23" s="457">
        <v>0</v>
      </c>
      <c r="L23" s="457">
        <v>0</v>
      </c>
      <c r="M23" s="457">
        <v>0</v>
      </c>
      <c r="N23" s="457">
        <v>0</v>
      </c>
      <c r="O23" s="457">
        <v>0</v>
      </c>
      <c r="P23" s="457">
        <v>0</v>
      </c>
      <c r="Q23" s="457">
        <v>0</v>
      </c>
      <c r="R23" s="1252"/>
      <c r="S23" s="257"/>
      <c r="T23" s="257"/>
      <c r="U23" s="287"/>
      <c r="W23" s="48"/>
      <c r="X23" s="48"/>
      <c r="Y23" s="48"/>
      <c r="Z23" s="48"/>
      <c r="AA23" s="48"/>
      <c r="AB23" s="48"/>
      <c r="AC23" s="48"/>
      <c r="AD23" s="48"/>
      <c r="AE23" s="48"/>
      <c r="AF23" s="48"/>
      <c r="AG23" s="48"/>
      <c r="AH23" s="48"/>
      <c r="AI23" s="48"/>
      <c r="AJ23" s="48"/>
      <c r="AK23" s="48"/>
      <c r="AL23" s="48"/>
      <c r="AM23" s="48"/>
      <c r="AN23" s="48"/>
      <c r="AO23" s="48"/>
    </row>
    <row r="24" spans="1:41">
      <c r="A24" s="290">
        <f>ROW()</f>
        <v>24</v>
      </c>
      <c r="B24" s="1580" t="s">
        <v>85</v>
      </c>
      <c r="C24" s="1591">
        <f>' Enrol &amp; Rev'!G128</f>
        <v>10039.5</v>
      </c>
      <c r="D24" s="1591">
        <f t="shared" si="7"/>
        <v>10039.5</v>
      </c>
      <c r="E24" s="1591">
        <f t="shared" ref="E24:E35" si="10">SUM(F24:R24)</f>
        <v>0</v>
      </c>
      <c r="F24" s="1585">
        <v>0</v>
      </c>
      <c r="G24" s="457">
        <v>0</v>
      </c>
      <c r="H24" s="457">
        <v>0</v>
      </c>
      <c r="I24" s="457">
        <v>0</v>
      </c>
      <c r="J24" s="457">
        <v>0</v>
      </c>
      <c r="K24" s="457">
        <v>0</v>
      </c>
      <c r="L24" s="457">
        <v>0</v>
      </c>
      <c r="M24" s="457">
        <v>0</v>
      </c>
      <c r="N24" s="457">
        <v>0</v>
      </c>
      <c r="O24" s="457">
        <v>0</v>
      </c>
      <c r="P24" s="457">
        <v>0</v>
      </c>
      <c r="Q24" s="457">
        <v>0</v>
      </c>
      <c r="R24" s="1252"/>
      <c r="S24" s="257"/>
      <c r="T24" s="257"/>
      <c r="U24" s="287"/>
      <c r="W24" s="48"/>
      <c r="X24" s="48"/>
      <c r="Y24" s="48"/>
      <c r="Z24" s="48"/>
      <c r="AA24" s="48"/>
      <c r="AB24" s="48"/>
      <c r="AC24" s="48"/>
      <c r="AD24" s="48"/>
      <c r="AE24" s="48"/>
      <c r="AF24" s="48"/>
      <c r="AG24" s="48"/>
      <c r="AH24" s="48"/>
      <c r="AI24" s="48"/>
      <c r="AJ24" s="48"/>
      <c r="AK24" s="48"/>
      <c r="AL24" s="48"/>
      <c r="AM24" s="48"/>
      <c r="AN24" s="48"/>
      <c r="AO24" s="48"/>
    </row>
    <row r="25" spans="1:41">
      <c r="A25" s="290">
        <f>ROW()</f>
        <v>25</v>
      </c>
      <c r="B25" s="1580" t="s">
        <v>87</v>
      </c>
      <c r="C25" s="1591">
        <f>' Enrol &amp; Rev'!G130</f>
        <v>33534</v>
      </c>
      <c r="D25" s="1591">
        <f t="shared" si="7"/>
        <v>-3726</v>
      </c>
      <c r="E25" s="1591">
        <f t="shared" si="10"/>
        <v>37260</v>
      </c>
      <c r="F25" s="1586">
        <v>0</v>
      </c>
      <c r="G25" s="457">
        <v>3726</v>
      </c>
      <c r="H25" s="457">
        <v>3726</v>
      </c>
      <c r="I25" s="457">
        <v>3726</v>
      </c>
      <c r="J25" s="457">
        <v>3726</v>
      </c>
      <c r="K25" s="457">
        <v>3726</v>
      </c>
      <c r="L25" s="457">
        <v>3726</v>
      </c>
      <c r="M25" s="457">
        <v>3726</v>
      </c>
      <c r="N25" s="457">
        <v>3726</v>
      </c>
      <c r="O25" s="457">
        <v>3726</v>
      </c>
      <c r="P25" s="457">
        <v>3726</v>
      </c>
      <c r="Q25" s="457">
        <v>0</v>
      </c>
      <c r="R25" s="1252"/>
      <c r="S25" s="257"/>
      <c r="T25" s="257"/>
      <c r="U25" s="287"/>
      <c r="W25" s="48"/>
      <c r="X25" s="48"/>
      <c r="Y25" s="48"/>
      <c r="Z25" s="48"/>
      <c r="AA25" s="48"/>
      <c r="AB25" s="48"/>
      <c r="AC25" s="48"/>
      <c r="AD25" s="48"/>
      <c r="AE25" s="48"/>
      <c r="AF25" s="48"/>
      <c r="AG25" s="48"/>
      <c r="AH25" s="48"/>
      <c r="AI25" s="48"/>
      <c r="AJ25" s="48"/>
      <c r="AK25" s="48"/>
      <c r="AL25" s="48"/>
      <c r="AM25" s="48"/>
      <c r="AN25" s="48"/>
      <c r="AO25" s="48"/>
    </row>
    <row r="26" spans="1:41">
      <c r="A26" s="290">
        <f>ROW()</f>
        <v>26</v>
      </c>
      <c r="B26" s="1580" t="s">
        <v>88</v>
      </c>
      <c r="C26" s="1591">
        <f>' Enrol &amp; Rev'!G131</f>
        <v>46575</v>
      </c>
      <c r="D26" s="1591">
        <f t="shared" si="7"/>
        <v>-14175</v>
      </c>
      <c r="E26" s="1591">
        <f t="shared" si="10"/>
        <v>60750</v>
      </c>
      <c r="F26" s="1586">
        <v>0</v>
      </c>
      <c r="G26" s="457">
        <v>6075</v>
      </c>
      <c r="H26" s="457">
        <v>6075</v>
      </c>
      <c r="I26" s="457">
        <v>6075</v>
      </c>
      <c r="J26" s="457">
        <v>6075</v>
      </c>
      <c r="K26" s="457">
        <v>6075</v>
      </c>
      <c r="L26" s="457">
        <v>6075</v>
      </c>
      <c r="M26" s="457">
        <v>6075</v>
      </c>
      <c r="N26" s="457">
        <v>6075</v>
      </c>
      <c r="O26" s="457">
        <v>6075</v>
      </c>
      <c r="P26" s="457">
        <v>6075</v>
      </c>
      <c r="Q26" s="457">
        <v>0</v>
      </c>
      <c r="R26" s="1252"/>
      <c r="S26" s="257"/>
      <c r="T26" s="257"/>
      <c r="U26" s="1527"/>
      <c r="W26" s="48"/>
      <c r="X26" s="48"/>
      <c r="Y26" s="48"/>
      <c r="Z26" s="48"/>
      <c r="AA26" s="48"/>
      <c r="AB26" s="48"/>
      <c r="AC26" s="48"/>
      <c r="AD26" s="48"/>
      <c r="AE26" s="48"/>
      <c r="AF26" s="48"/>
      <c r="AG26" s="48"/>
      <c r="AH26" s="48"/>
      <c r="AI26" s="48"/>
      <c r="AJ26" s="48"/>
      <c r="AK26" s="48"/>
      <c r="AL26" s="48"/>
      <c r="AM26" s="48"/>
      <c r="AN26" s="48"/>
      <c r="AO26" s="48"/>
    </row>
    <row r="27" spans="1:41">
      <c r="A27" s="290">
        <f>ROW()</f>
        <v>27</v>
      </c>
      <c r="B27" s="1580" t="s">
        <v>89</v>
      </c>
      <c r="C27" s="1591">
        <f>' Enrol &amp; Rev'!G132</f>
        <v>27737.999999999996</v>
      </c>
      <c r="D27" s="1591">
        <f t="shared" si="7"/>
        <v>27737.999999999996</v>
      </c>
      <c r="E27" s="1591">
        <f t="shared" si="10"/>
        <v>0</v>
      </c>
      <c r="F27" s="1586">
        <v>0</v>
      </c>
      <c r="G27" s="457">
        <v>0</v>
      </c>
      <c r="H27" s="457">
        <v>0</v>
      </c>
      <c r="I27" s="457">
        <v>0</v>
      </c>
      <c r="J27" s="458">
        <v>0</v>
      </c>
      <c r="K27" s="457">
        <v>0</v>
      </c>
      <c r="L27" s="457">
        <v>0</v>
      </c>
      <c r="M27" s="457">
        <v>0</v>
      </c>
      <c r="N27" s="458">
        <v>0</v>
      </c>
      <c r="O27" s="457">
        <v>0</v>
      </c>
      <c r="P27" s="457">
        <v>0</v>
      </c>
      <c r="Q27" s="457">
        <v>0</v>
      </c>
      <c r="R27" s="1252"/>
      <c r="S27" s="257"/>
      <c r="T27" s="257"/>
      <c r="U27" s="1527"/>
      <c r="W27" s="48"/>
      <c r="X27" s="48"/>
      <c r="Y27" s="48"/>
      <c r="Z27" s="48"/>
      <c r="AA27" s="48"/>
      <c r="AB27" s="48"/>
      <c r="AC27" s="48"/>
      <c r="AD27" s="48"/>
      <c r="AE27" s="48"/>
      <c r="AF27" s="48"/>
      <c r="AG27" s="48"/>
      <c r="AH27" s="48"/>
      <c r="AI27" s="48"/>
      <c r="AJ27" s="48"/>
      <c r="AK27" s="48"/>
      <c r="AL27" s="48"/>
      <c r="AM27" s="48"/>
      <c r="AN27" s="48"/>
      <c r="AO27" s="48"/>
    </row>
    <row r="28" spans="1:41">
      <c r="A28" s="290">
        <f>ROW()</f>
        <v>28</v>
      </c>
      <c r="B28" s="1580" t="s">
        <v>365</v>
      </c>
      <c r="C28" s="1591">
        <f>+' Enrol &amp; Rev'!G115</f>
        <v>0</v>
      </c>
      <c r="D28" s="1591">
        <f t="shared" si="7"/>
        <v>0</v>
      </c>
      <c r="E28" s="1591">
        <f t="shared" si="10"/>
        <v>0</v>
      </c>
      <c r="F28" s="1586">
        <v>0</v>
      </c>
      <c r="G28" s="457">
        <v>0</v>
      </c>
      <c r="H28" s="457">
        <v>0</v>
      </c>
      <c r="I28" s="457">
        <v>0</v>
      </c>
      <c r="J28" s="458">
        <v>0</v>
      </c>
      <c r="K28" s="457">
        <v>0</v>
      </c>
      <c r="L28" s="457">
        <v>0</v>
      </c>
      <c r="M28" s="457">
        <v>0</v>
      </c>
      <c r="N28" s="458">
        <v>0</v>
      </c>
      <c r="O28" s="457">
        <v>0</v>
      </c>
      <c r="P28" s="457">
        <v>0</v>
      </c>
      <c r="Q28" s="457">
        <v>0</v>
      </c>
      <c r="R28" s="1252"/>
      <c r="S28" s="257"/>
      <c r="T28" s="257"/>
      <c r="U28" s="1527"/>
      <c r="W28" s="48"/>
      <c r="X28" s="48"/>
      <c r="Y28" s="48"/>
      <c r="Z28" s="48"/>
      <c r="AA28" s="48"/>
      <c r="AB28" s="48"/>
      <c r="AC28" s="48"/>
      <c r="AD28" s="48"/>
      <c r="AE28" s="48"/>
      <c r="AF28" s="48"/>
      <c r="AG28" s="48"/>
      <c r="AH28" s="48"/>
      <c r="AI28" s="48"/>
      <c r="AJ28" s="48"/>
      <c r="AK28" s="48"/>
      <c r="AL28" s="48"/>
      <c r="AM28" s="48"/>
      <c r="AN28" s="48"/>
      <c r="AO28" s="48"/>
    </row>
    <row r="29" spans="1:41">
      <c r="A29" s="290">
        <f>ROW()</f>
        <v>29</v>
      </c>
      <c r="B29" s="1580" t="s">
        <v>366</v>
      </c>
      <c r="C29" s="1591">
        <f>' Enrol &amp; Rev'!G134</f>
        <v>100000</v>
      </c>
      <c r="D29" s="1591">
        <f t="shared" si="7"/>
        <v>0</v>
      </c>
      <c r="E29" s="1591">
        <f t="shared" si="10"/>
        <v>100000</v>
      </c>
      <c r="F29" s="1586">
        <v>100000</v>
      </c>
      <c r="G29" s="457">
        <v>0</v>
      </c>
      <c r="H29" s="457">
        <v>0</v>
      </c>
      <c r="I29" s="457">
        <v>0</v>
      </c>
      <c r="J29" s="458">
        <v>0</v>
      </c>
      <c r="K29" s="457">
        <v>0</v>
      </c>
      <c r="L29" s="457">
        <v>0</v>
      </c>
      <c r="M29" s="457">
        <v>0</v>
      </c>
      <c r="N29" s="458">
        <v>0</v>
      </c>
      <c r="O29" s="457">
        <v>0</v>
      </c>
      <c r="P29" s="457">
        <v>0</v>
      </c>
      <c r="Q29" s="457">
        <v>0</v>
      </c>
      <c r="R29" s="1252"/>
      <c r="S29" s="257"/>
      <c r="T29" s="257"/>
      <c r="U29" s="287"/>
      <c r="W29" s="48"/>
      <c r="X29" s="48"/>
      <c r="Y29" s="48"/>
      <c r="Z29" s="48"/>
      <c r="AA29" s="48"/>
      <c r="AB29" s="48"/>
      <c r="AC29" s="48"/>
      <c r="AD29" s="48"/>
      <c r="AE29" s="48"/>
      <c r="AF29" s="48"/>
      <c r="AG29" s="48"/>
      <c r="AH29" s="48"/>
      <c r="AI29" s="48"/>
      <c r="AJ29" s="48"/>
      <c r="AK29" s="48"/>
      <c r="AL29" s="48"/>
      <c r="AM29" s="48"/>
      <c r="AN29" s="48"/>
      <c r="AO29" s="48"/>
    </row>
    <row r="30" spans="1:41">
      <c r="A30" s="290">
        <f>ROW()</f>
        <v>30</v>
      </c>
      <c r="B30" s="1580" t="s">
        <v>367</v>
      </c>
      <c r="C30" s="1591">
        <f>' Enrol &amp; Rev'!G135</f>
        <v>0</v>
      </c>
      <c r="D30" s="1591">
        <f t="shared" si="7"/>
        <v>0</v>
      </c>
      <c r="E30" s="1591">
        <f t="shared" si="10"/>
        <v>0</v>
      </c>
      <c r="F30" s="1586">
        <v>0</v>
      </c>
      <c r="G30" s="457">
        <v>0</v>
      </c>
      <c r="H30" s="457">
        <v>0</v>
      </c>
      <c r="I30" s="457">
        <v>0</v>
      </c>
      <c r="J30" s="458">
        <v>0</v>
      </c>
      <c r="K30" s="457">
        <v>0</v>
      </c>
      <c r="L30" s="457">
        <v>0</v>
      </c>
      <c r="M30" s="457">
        <v>0</v>
      </c>
      <c r="N30" s="458">
        <v>0</v>
      </c>
      <c r="O30" s="457">
        <v>0</v>
      </c>
      <c r="P30" s="457">
        <v>0</v>
      </c>
      <c r="Q30" s="457">
        <v>0</v>
      </c>
      <c r="R30" s="1252"/>
      <c r="S30" s="257"/>
      <c r="T30" s="257"/>
      <c r="U30" s="287"/>
      <c r="W30" s="48"/>
      <c r="X30" s="48"/>
      <c r="Y30" s="48"/>
      <c r="Z30" s="48"/>
      <c r="AA30" s="48"/>
      <c r="AB30" s="48"/>
      <c r="AC30" s="48"/>
      <c r="AD30" s="48"/>
      <c r="AE30" s="48"/>
      <c r="AF30" s="48"/>
      <c r="AG30" s="48"/>
      <c r="AH30" s="48"/>
      <c r="AI30" s="48"/>
      <c r="AJ30" s="48"/>
      <c r="AK30" s="48"/>
      <c r="AL30" s="48"/>
      <c r="AM30" s="48"/>
      <c r="AN30" s="48"/>
      <c r="AO30" s="48"/>
    </row>
    <row r="31" spans="1:41">
      <c r="A31" s="290">
        <f>ROW()</f>
        <v>31</v>
      </c>
      <c r="B31" s="1580" t="s">
        <v>98</v>
      </c>
      <c r="C31" s="1591">
        <f>' Enrol &amp; Rev'!G136</f>
        <v>0</v>
      </c>
      <c r="D31" s="1591">
        <f t="shared" si="7"/>
        <v>-100000</v>
      </c>
      <c r="E31" s="1591">
        <f t="shared" si="10"/>
        <v>100000</v>
      </c>
      <c r="F31" s="1586">
        <v>100000</v>
      </c>
      <c r="G31" s="457">
        <v>0</v>
      </c>
      <c r="H31" s="457">
        <v>0</v>
      </c>
      <c r="I31" s="457">
        <v>0</v>
      </c>
      <c r="J31" s="458">
        <v>0</v>
      </c>
      <c r="K31" s="457">
        <v>0</v>
      </c>
      <c r="L31" s="457">
        <v>0</v>
      </c>
      <c r="M31" s="457">
        <v>0</v>
      </c>
      <c r="N31" s="458">
        <v>0</v>
      </c>
      <c r="O31" s="457">
        <v>0</v>
      </c>
      <c r="P31" s="457">
        <v>0</v>
      </c>
      <c r="Q31" s="457">
        <v>0</v>
      </c>
      <c r="R31" s="1252"/>
      <c r="S31" s="257"/>
      <c r="T31" s="257"/>
      <c r="U31" s="287"/>
      <c r="W31" s="48"/>
      <c r="X31" s="48"/>
      <c r="Y31" s="48"/>
      <c r="Z31" s="48"/>
      <c r="AA31" s="48"/>
      <c r="AB31" s="48"/>
      <c r="AC31" s="48"/>
      <c r="AD31" s="48"/>
      <c r="AE31" s="48"/>
      <c r="AF31" s="48"/>
      <c r="AG31" s="48"/>
      <c r="AH31" s="48"/>
      <c r="AI31" s="48"/>
      <c r="AJ31" s="48"/>
      <c r="AK31" s="48"/>
      <c r="AL31" s="48"/>
      <c r="AM31" s="48"/>
      <c r="AN31" s="48"/>
      <c r="AO31" s="48"/>
    </row>
    <row r="32" spans="1:41">
      <c r="A32" s="290">
        <f>ROW()</f>
        <v>32</v>
      </c>
      <c r="B32" s="1580" t="s">
        <v>368</v>
      </c>
      <c r="C32" s="1591">
        <f>' Enrol &amp; Rev'!G137</f>
        <v>0</v>
      </c>
      <c r="D32" s="1591">
        <f t="shared" si="7"/>
        <v>0</v>
      </c>
      <c r="E32" s="1591">
        <f t="shared" si="10"/>
        <v>0</v>
      </c>
      <c r="F32" s="1586">
        <v>0</v>
      </c>
      <c r="G32" s="457">
        <v>0</v>
      </c>
      <c r="H32" s="457">
        <v>0</v>
      </c>
      <c r="I32" s="457">
        <v>0</v>
      </c>
      <c r="J32" s="457">
        <v>0</v>
      </c>
      <c r="K32" s="457">
        <v>0</v>
      </c>
      <c r="L32" s="457">
        <v>0</v>
      </c>
      <c r="M32" s="457">
        <v>0</v>
      </c>
      <c r="N32" s="457">
        <v>0</v>
      </c>
      <c r="O32" s="457">
        <v>0</v>
      </c>
      <c r="P32" s="457">
        <v>0</v>
      </c>
      <c r="Q32" s="457">
        <v>0</v>
      </c>
      <c r="R32" s="1252"/>
      <c r="S32" s="257"/>
      <c r="T32" s="257"/>
      <c r="U32" s="287"/>
      <c r="W32" s="48"/>
      <c r="X32" s="48"/>
      <c r="Y32" s="48"/>
      <c r="Z32" s="48"/>
      <c r="AA32" s="48"/>
      <c r="AB32" s="48"/>
      <c r="AC32" s="48"/>
      <c r="AD32" s="48"/>
      <c r="AE32" s="48"/>
      <c r="AF32" s="48"/>
      <c r="AG32" s="48"/>
      <c r="AH32" s="48"/>
      <c r="AI32" s="48"/>
      <c r="AJ32" s="48"/>
      <c r="AK32" s="48"/>
      <c r="AL32" s="48"/>
      <c r="AM32" s="48"/>
      <c r="AN32" s="48"/>
      <c r="AO32" s="48"/>
    </row>
    <row r="33" spans="1:41">
      <c r="A33" s="290">
        <f>ROW()</f>
        <v>33</v>
      </c>
      <c r="B33" s="1580" t="s">
        <v>97</v>
      </c>
      <c r="C33" s="1591">
        <f>' Enrol &amp; Rev'!G140</f>
        <v>0</v>
      </c>
      <c r="D33" s="1591">
        <f t="shared" si="7"/>
        <v>0</v>
      </c>
      <c r="E33" s="1591">
        <f t="shared" si="10"/>
        <v>0</v>
      </c>
      <c r="F33" s="1586">
        <v>0</v>
      </c>
      <c r="G33" s="457">
        <v>0</v>
      </c>
      <c r="H33" s="457">
        <v>0</v>
      </c>
      <c r="I33" s="457">
        <v>0</v>
      </c>
      <c r="J33" s="458">
        <v>0</v>
      </c>
      <c r="K33" s="457">
        <v>0</v>
      </c>
      <c r="L33" s="457">
        <v>0</v>
      </c>
      <c r="M33" s="457">
        <v>0</v>
      </c>
      <c r="N33" s="458">
        <v>0</v>
      </c>
      <c r="O33" s="457">
        <v>0</v>
      </c>
      <c r="P33" s="457">
        <v>0</v>
      </c>
      <c r="Q33" s="457">
        <v>0</v>
      </c>
      <c r="R33" s="1252"/>
      <c r="S33" s="257"/>
      <c r="T33" s="257"/>
      <c r="U33" s="287"/>
      <c r="W33" s="48"/>
      <c r="X33" s="48"/>
      <c r="Y33" s="48"/>
      <c r="Z33" s="48"/>
      <c r="AA33" s="48"/>
      <c r="AB33" s="48"/>
      <c r="AC33" s="48"/>
      <c r="AD33" s="48"/>
      <c r="AE33" s="48"/>
      <c r="AF33" s="48"/>
      <c r="AG33" s="48"/>
      <c r="AH33" s="48"/>
      <c r="AI33" s="48"/>
      <c r="AJ33" s="48"/>
      <c r="AK33" s="48"/>
      <c r="AL33" s="48"/>
      <c r="AM33" s="48"/>
      <c r="AN33" s="48"/>
      <c r="AO33" s="48"/>
    </row>
    <row r="34" spans="1:41">
      <c r="A34" s="290">
        <f>ROW()</f>
        <v>34</v>
      </c>
      <c r="B34" s="1580" t="s">
        <v>399</v>
      </c>
      <c r="C34" s="1591">
        <f>' Enrol &amp; Rev'!G141</f>
        <v>0</v>
      </c>
      <c r="D34" s="1591">
        <f t="shared" si="7"/>
        <v>0</v>
      </c>
      <c r="E34" s="1591">
        <f t="shared" si="10"/>
        <v>0</v>
      </c>
      <c r="F34" s="1586">
        <v>0</v>
      </c>
      <c r="G34" s="457">
        <v>0</v>
      </c>
      <c r="H34" s="457">
        <v>0</v>
      </c>
      <c r="I34" s="457">
        <v>0</v>
      </c>
      <c r="J34" s="458">
        <v>0</v>
      </c>
      <c r="K34" s="457">
        <v>0</v>
      </c>
      <c r="L34" s="457">
        <v>0</v>
      </c>
      <c r="M34" s="457">
        <v>0</v>
      </c>
      <c r="N34" s="458">
        <v>0</v>
      </c>
      <c r="O34" s="457">
        <v>0</v>
      </c>
      <c r="P34" s="457">
        <v>0</v>
      </c>
      <c r="Q34" s="457">
        <v>0</v>
      </c>
      <c r="R34" s="1252"/>
      <c r="S34" s="257"/>
      <c r="T34" s="257"/>
      <c r="U34" s="287"/>
      <c r="W34" s="48"/>
      <c r="X34" s="48"/>
      <c r="Y34" s="48"/>
      <c r="Z34" s="48"/>
      <c r="AA34" s="48"/>
      <c r="AB34" s="48"/>
      <c r="AC34" s="48"/>
      <c r="AD34" s="48"/>
      <c r="AE34" s="48"/>
      <c r="AF34" s="48"/>
      <c r="AG34" s="48"/>
      <c r="AH34" s="48"/>
      <c r="AI34" s="48"/>
      <c r="AJ34" s="48"/>
      <c r="AK34" s="48"/>
      <c r="AL34" s="48"/>
      <c r="AM34" s="48"/>
      <c r="AN34" s="48"/>
      <c r="AO34" s="48"/>
    </row>
    <row r="35" spans="1:41">
      <c r="A35" s="290">
        <f>ROW()</f>
        <v>35</v>
      </c>
      <c r="B35" s="1581" t="s">
        <v>400</v>
      </c>
      <c r="C35" s="1592">
        <f>+' Enrol &amp; Rev'!G142</f>
        <v>0</v>
      </c>
      <c r="D35" s="1593">
        <f t="shared" si="7"/>
        <v>0</v>
      </c>
      <c r="E35" s="1593">
        <f t="shared" si="10"/>
        <v>0</v>
      </c>
      <c r="F35" s="1587">
        <v>0</v>
      </c>
      <c r="G35" s="469">
        <v>0</v>
      </c>
      <c r="H35" s="469">
        <v>0</v>
      </c>
      <c r="I35" s="469">
        <v>0</v>
      </c>
      <c r="J35" s="469">
        <v>0</v>
      </c>
      <c r="K35" s="469">
        <v>0</v>
      </c>
      <c r="L35" s="469">
        <v>0</v>
      </c>
      <c r="M35" s="469">
        <v>0</v>
      </c>
      <c r="N35" s="469">
        <v>0</v>
      </c>
      <c r="O35" s="469">
        <v>0</v>
      </c>
      <c r="P35" s="469">
        <v>0</v>
      </c>
      <c r="Q35" s="469">
        <v>0</v>
      </c>
      <c r="R35" s="1278"/>
      <c r="S35" s="257"/>
      <c r="T35" s="257"/>
      <c r="U35" s="287"/>
      <c r="W35" s="48"/>
      <c r="X35" s="48"/>
      <c r="Y35" s="48"/>
      <c r="Z35" s="48"/>
      <c r="AA35" s="48"/>
      <c r="AB35" s="48"/>
      <c r="AC35" s="48"/>
      <c r="AD35" s="48"/>
      <c r="AE35" s="48"/>
      <c r="AF35" s="48"/>
      <c r="AG35" s="48"/>
      <c r="AH35" s="48"/>
      <c r="AI35" s="48"/>
      <c r="AJ35" s="48"/>
      <c r="AK35" s="48"/>
      <c r="AL35" s="48"/>
      <c r="AM35" s="48"/>
      <c r="AN35" s="48"/>
      <c r="AO35" s="48"/>
    </row>
    <row r="36" spans="1:41">
      <c r="A36" s="290">
        <f>ROW()</f>
        <v>36</v>
      </c>
      <c r="B36" s="705" t="s">
        <v>369</v>
      </c>
      <c r="C36" s="1588">
        <f>+' Enrol &amp; Rev'!G145</f>
        <v>2405997.25</v>
      </c>
      <c r="D36" s="1588">
        <f t="shared" si="7"/>
        <v>-30167.5</v>
      </c>
      <c r="E36" s="1589">
        <f t="shared" ref="E36:R36" si="11">SUM(E19:E35)</f>
        <v>2436164.75</v>
      </c>
      <c r="F36" s="467">
        <f t="shared" si="11"/>
        <v>200000</v>
      </c>
      <c r="G36" s="467">
        <f t="shared" si="11"/>
        <v>187980.5625</v>
      </c>
      <c r="H36" s="467">
        <f t="shared" si="11"/>
        <v>187980.5625</v>
      </c>
      <c r="I36" s="467">
        <f t="shared" si="11"/>
        <v>187980.5625</v>
      </c>
      <c r="J36" s="467">
        <f t="shared" si="11"/>
        <v>187980.5625</v>
      </c>
      <c r="K36" s="467">
        <f t="shared" si="11"/>
        <v>187980.5625</v>
      </c>
      <c r="L36" s="467">
        <f t="shared" si="11"/>
        <v>187980.5625</v>
      </c>
      <c r="M36" s="467">
        <f t="shared" si="11"/>
        <v>187980.5625</v>
      </c>
      <c r="N36" s="467">
        <f t="shared" si="11"/>
        <v>187980.5625</v>
      </c>
      <c r="O36" s="467">
        <f t="shared" si="11"/>
        <v>187980.5625</v>
      </c>
      <c r="P36" s="467">
        <f t="shared" si="11"/>
        <v>187980.5625</v>
      </c>
      <c r="Q36" s="468">
        <f t="shared" ref="Q36" si="12">SUM(Q19:Q35)</f>
        <v>178179.5625</v>
      </c>
      <c r="R36" s="468">
        <f t="shared" si="11"/>
        <v>178179.5625</v>
      </c>
      <c r="U36" s="287"/>
      <c r="W36" s="48"/>
      <c r="X36" s="48"/>
      <c r="Y36" s="48"/>
      <c r="Z36" s="48"/>
      <c r="AA36" s="48"/>
      <c r="AB36" s="48"/>
      <c r="AC36" s="48"/>
      <c r="AD36" s="48"/>
      <c r="AE36" s="48"/>
      <c r="AF36" s="48"/>
      <c r="AG36" s="48"/>
      <c r="AH36" s="48"/>
      <c r="AI36" s="48"/>
      <c r="AJ36" s="48"/>
      <c r="AK36" s="48"/>
      <c r="AL36" s="48"/>
      <c r="AM36" s="48"/>
      <c r="AN36" s="48"/>
      <c r="AO36" s="48"/>
    </row>
    <row r="37" spans="1:41" ht="14.4">
      <c r="A37" s="290">
        <f>ROW()</f>
        <v>37</v>
      </c>
      <c r="B37" s="12" t="s">
        <v>370</v>
      </c>
      <c r="C37" s="1066"/>
      <c r="D37" s="460" t="str">
        <f>IF(ABS(D36)&gt;(0.0025*E36),"*** Out of Balance *** sb 0",0)</f>
        <v>*** Out of Balance *** sb 0</v>
      </c>
      <c r="E37" s="461"/>
      <c r="F37" s="461">
        <f>F36</f>
        <v>200000</v>
      </c>
      <c r="G37" s="462">
        <f t="shared" ref="G37:P37" si="13">F37+G36</f>
        <v>387980.5625</v>
      </c>
      <c r="H37" s="462">
        <f t="shared" si="13"/>
        <v>575961.125</v>
      </c>
      <c r="I37" s="462">
        <f t="shared" si="13"/>
        <v>763941.6875</v>
      </c>
      <c r="J37" s="462">
        <f t="shared" si="13"/>
        <v>951922.25</v>
      </c>
      <c r="K37" s="462">
        <f t="shared" si="13"/>
        <v>1139902.8125</v>
      </c>
      <c r="L37" s="462">
        <f t="shared" si="13"/>
        <v>1327883.375</v>
      </c>
      <c r="M37" s="462">
        <f t="shared" si="13"/>
        <v>1515863.9375</v>
      </c>
      <c r="N37" s="462">
        <f t="shared" si="13"/>
        <v>1703844.5</v>
      </c>
      <c r="O37" s="462">
        <f t="shared" si="13"/>
        <v>1891825.0625</v>
      </c>
      <c r="P37" s="462">
        <f t="shared" si="13"/>
        <v>2079805.625</v>
      </c>
      <c r="Q37" s="462">
        <f>O37+Q36</f>
        <v>2070004.625</v>
      </c>
      <c r="R37" s="462">
        <f>P37+R36</f>
        <v>2257985.1875</v>
      </c>
      <c r="U37" s="287"/>
      <c r="W37" s="48"/>
      <c r="X37" s="48"/>
      <c r="Y37" s="48"/>
      <c r="Z37" s="48"/>
      <c r="AA37" s="48"/>
      <c r="AB37" s="48"/>
      <c r="AC37" s="48"/>
      <c r="AD37" s="48"/>
      <c r="AE37" s="48"/>
      <c r="AF37" s="48"/>
      <c r="AG37" s="48"/>
      <c r="AH37" s="48"/>
      <c r="AI37" s="48"/>
      <c r="AJ37" s="48"/>
      <c r="AK37" s="48"/>
      <c r="AL37" s="48"/>
      <c r="AM37" s="48"/>
      <c r="AN37" s="48"/>
      <c r="AO37" s="48"/>
    </row>
    <row r="38" spans="1:41">
      <c r="A38" s="290">
        <f>ROW()</f>
        <v>38</v>
      </c>
      <c r="B38" s="13" t="s">
        <v>371</v>
      </c>
      <c r="C38" s="1067"/>
      <c r="D38" s="463"/>
      <c r="E38" s="11"/>
      <c r="F38" s="464">
        <f>IFERROR(F37/$E36,0)</f>
        <v>8.2096253958193921E-2</v>
      </c>
      <c r="G38" s="464">
        <f t="shared" ref="G38:R38" si="14">IFERROR(G37/$E36,0)</f>
        <v>0.15925875394921465</v>
      </c>
      <c r="H38" s="464">
        <f t="shared" si="14"/>
        <v>0.23642125394023536</v>
      </c>
      <c r="I38" s="464">
        <f t="shared" si="14"/>
        <v>0.31358375393125609</v>
      </c>
      <c r="J38" s="464">
        <f t="shared" si="14"/>
        <v>0.3907462539222768</v>
      </c>
      <c r="K38" s="464">
        <f t="shared" si="14"/>
        <v>0.4679087539132975</v>
      </c>
      <c r="L38" s="464">
        <f t="shared" si="14"/>
        <v>0.54507125390431821</v>
      </c>
      <c r="M38" s="464">
        <f t="shared" si="14"/>
        <v>0.62223375389533897</v>
      </c>
      <c r="N38" s="464">
        <f t="shared" si="14"/>
        <v>0.69939625388635973</v>
      </c>
      <c r="O38" s="464">
        <f t="shared" si="14"/>
        <v>0.77655875387738038</v>
      </c>
      <c r="P38" s="464">
        <f t="shared" si="14"/>
        <v>0.85372125386840114</v>
      </c>
      <c r="Q38" s="464">
        <f t="shared" ref="Q38" si="15">IFERROR(Q37/$E36,0)</f>
        <v>0.84969812694317981</v>
      </c>
      <c r="R38" s="464">
        <f t="shared" si="14"/>
        <v>0.92686062693420057</v>
      </c>
      <c r="U38" s="287"/>
      <c r="W38" s="48"/>
      <c r="X38" s="48"/>
      <c r="Y38" s="48"/>
      <c r="Z38" s="48"/>
      <c r="AA38" s="48"/>
      <c r="AB38" s="48"/>
      <c r="AC38" s="48"/>
      <c r="AD38" s="48"/>
      <c r="AE38" s="48"/>
      <c r="AF38" s="48"/>
      <c r="AG38" s="48"/>
      <c r="AH38" s="48"/>
      <c r="AI38" s="48"/>
      <c r="AJ38" s="48"/>
      <c r="AK38" s="48"/>
      <c r="AL38" s="48"/>
      <c r="AM38" s="48"/>
      <c r="AN38" s="48"/>
      <c r="AO38" s="48"/>
    </row>
    <row r="39" spans="1:41">
      <c r="A39" s="290">
        <f>ROW()</f>
        <v>39</v>
      </c>
      <c r="B39" s="11"/>
      <c r="C39" s="1594" t="s">
        <v>1266</v>
      </c>
      <c r="D39" s="1596" t="s">
        <v>358</v>
      </c>
      <c r="E39" s="1594" t="s">
        <v>1263</v>
      </c>
      <c r="F39" s="465"/>
      <c r="G39" s="466"/>
      <c r="H39" s="466"/>
      <c r="I39" s="466"/>
      <c r="J39" s="465"/>
      <c r="K39" s="466"/>
      <c r="L39" s="466"/>
      <c r="M39" s="466"/>
      <c r="N39" s="465"/>
      <c r="O39" s="466"/>
      <c r="P39" s="466"/>
      <c r="Q39" s="466"/>
      <c r="R39" s="466"/>
      <c r="U39" s="287"/>
      <c r="W39" s="48"/>
      <c r="X39" s="48"/>
      <c r="Y39" s="48"/>
      <c r="Z39" s="48"/>
      <c r="AA39" s="48"/>
      <c r="AB39" s="48"/>
      <c r="AC39" s="48"/>
      <c r="AD39" s="48"/>
      <c r="AE39" s="48"/>
      <c r="AF39" s="48"/>
      <c r="AG39" s="48"/>
      <c r="AH39" s="48"/>
      <c r="AI39" s="48"/>
      <c r="AJ39" s="48"/>
      <c r="AK39" s="48"/>
      <c r="AL39" s="48"/>
      <c r="AM39" s="48"/>
      <c r="AN39" s="48"/>
      <c r="AO39" s="48"/>
    </row>
    <row r="40" spans="1:41" ht="14.25" customHeight="1">
      <c r="A40" s="290">
        <f>ROW()</f>
        <v>40</v>
      </c>
      <c r="B40" s="1529" t="s">
        <v>372</v>
      </c>
      <c r="C40" s="1529"/>
      <c r="D40" s="1529"/>
      <c r="E40" s="1536"/>
      <c r="F40" s="1537"/>
      <c r="G40" s="1537"/>
      <c r="H40" s="1537"/>
      <c r="I40" s="1537"/>
      <c r="J40" s="1537"/>
      <c r="K40" s="1537"/>
      <c r="L40" s="1537"/>
      <c r="M40" s="1537"/>
      <c r="N40" s="1537"/>
      <c r="O40" s="1537"/>
      <c r="P40" s="1537"/>
      <c r="Q40" s="1537"/>
      <c r="R40" s="1537"/>
      <c r="U40" s="287"/>
      <c r="W40" s="48"/>
      <c r="X40" s="48"/>
      <c r="Y40" s="48"/>
      <c r="Z40" s="48"/>
      <c r="AA40" s="48"/>
      <c r="AB40" s="48"/>
      <c r="AC40" s="48"/>
      <c r="AD40" s="48"/>
      <c r="AE40" s="48"/>
      <c r="AF40" s="48"/>
      <c r="AG40" s="48"/>
      <c r="AH40" s="48"/>
      <c r="AI40" s="48"/>
      <c r="AJ40" s="48"/>
      <c r="AK40" s="48"/>
      <c r="AL40" s="48"/>
      <c r="AM40" s="48"/>
      <c r="AN40" s="48"/>
      <c r="AO40" s="48"/>
    </row>
    <row r="41" spans="1:41">
      <c r="A41" s="290">
        <f>ROW()</f>
        <v>41</v>
      </c>
      <c r="B41" s="1597" t="s">
        <v>373</v>
      </c>
      <c r="C41" s="1603">
        <f>+Staff!H474</f>
        <v>1153645.23</v>
      </c>
      <c r="D41" s="1609">
        <f t="shared" ref="D41:D52" si="16">+C41-E41</f>
        <v>1.2299999999813735</v>
      </c>
      <c r="E41" s="1603">
        <f t="shared" ref="E41:E51" si="17">SUM(F41:R41)</f>
        <v>1153644</v>
      </c>
      <c r="F41" s="1612">
        <v>70364</v>
      </c>
      <c r="G41" s="684">
        <v>98480</v>
      </c>
      <c r="H41" s="684">
        <v>98480</v>
      </c>
      <c r="I41" s="684">
        <v>98480</v>
      </c>
      <c r="J41" s="684">
        <v>98480</v>
      </c>
      <c r="K41" s="684">
        <v>98480</v>
      </c>
      <c r="L41" s="684">
        <v>98480</v>
      </c>
      <c r="M41" s="684">
        <v>98480</v>
      </c>
      <c r="N41" s="684">
        <v>98480</v>
      </c>
      <c r="O41" s="684">
        <v>98480</v>
      </c>
      <c r="P41" s="684">
        <v>98480</v>
      </c>
      <c r="Q41" s="684">
        <v>98480</v>
      </c>
      <c r="R41" s="1676">
        <v>0</v>
      </c>
      <c r="S41" s="257"/>
      <c r="T41" s="257"/>
      <c r="U41" s="1527"/>
      <c r="W41" s="48"/>
      <c r="X41" s="48"/>
      <c r="Y41" s="48"/>
      <c r="Z41" s="48"/>
      <c r="AA41" s="48"/>
      <c r="AB41" s="48"/>
      <c r="AC41" s="48"/>
      <c r="AD41" s="48"/>
      <c r="AE41" s="48"/>
      <c r="AF41" s="48"/>
      <c r="AG41" s="48"/>
      <c r="AH41" s="48"/>
      <c r="AI41" s="48"/>
      <c r="AJ41" s="48"/>
      <c r="AK41" s="48"/>
      <c r="AL41" s="48"/>
      <c r="AM41" s="48"/>
      <c r="AN41" s="48"/>
      <c r="AO41" s="48"/>
    </row>
    <row r="42" spans="1:41">
      <c r="A42" s="290">
        <f>ROW()</f>
        <v>42</v>
      </c>
      <c r="B42" s="1598" t="s">
        <v>374</v>
      </c>
      <c r="C42" s="1591">
        <f>'Gen Optg'!G106</f>
        <v>92300</v>
      </c>
      <c r="D42" s="1610">
        <f t="shared" si="16"/>
        <v>72300</v>
      </c>
      <c r="E42" s="1591">
        <f>SUM(F42:R42)</f>
        <v>20000</v>
      </c>
      <c r="F42" s="457">
        <v>10000</v>
      </c>
      <c r="G42" s="457">
        <v>1000</v>
      </c>
      <c r="H42" s="457">
        <v>1000</v>
      </c>
      <c r="I42" s="457">
        <v>1000</v>
      </c>
      <c r="J42" s="457">
        <v>1000</v>
      </c>
      <c r="K42" s="457">
        <v>1000</v>
      </c>
      <c r="L42" s="457">
        <v>1000</v>
      </c>
      <c r="M42" s="457">
        <v>1000</v>
      </c>
      <c r="N42" s="457">
        <v>1000</v>
      </c>
      <c r="O42" s="457">
        <v>1000</v>
      </c>
      <c r="P42" s="457">
        <v>1000</v>
      </c>
      <c r="Q42" s="457">
        <v>0</v>
      </c>
      <c r="R42" s="1677">
        <v>0</v>
      </c>
      <c r="S42" s="257"/>
      <c r="T42" s="257"/>
      <c r="U42" s="1527"/>
      <c r="W42" s="48"/>
      <c r="X42" s="48"/>
      <c r="Y42" s="48"/>
      <c r="Z42" s="48"/>
      <c r="AA42" s="48"/>
      <c r="AB42" s="48"/>
      <c r="AC42" s="48"/>
      <c r="AD42" s="48"/>
      <c r="AE42" s="48"/>
      <c r="AF42" s="48"/>
      <c r="AG42" s="48"/>
      <c r="AH42" s="48"/>
      <c r="AI42" s="48"/>
      <c r="AJ42" s="48"/>
      <c r="AK42" s="48"/>
      <c r="AL42" s="48"/>
      <c r="AM42" s="48"/>
      <c r="AN42" s="48"/>
      <c r="AO42" s="48"/>
    </row>
    <row r="43" spans="1:41">
      <c r="A43" s="290">
        <f>ROW()</f>
        <v>43</v>
      </c>
      <c r="B43" s="1598" t="s">
        <v>375</v>
      </c>
      <c r="C43" s="1591">
        <f>+'Gen Optg'!G145</f>
        <v>0</v>
      </c>
      <c r="D43" s="1610">
        <f t="shared" si="16"/>
        <v>-222811</v>
      </c>
      <c r="E43" s="1591">
        <f t="shared" si="17"/>
        <v>222811</v>
      </c>
      <c r="F43" s="457">
        <v>19801</v>
      </c>
      <c r="G43" s="457">
        <v>19801</v>
      </c>
      <c r="H43" s="457">
        <v>19801</v>
      </c>
      <c r="I43" s="457">
        <v>19801</v>
      </c>
      <c r="J43" s="457">
        <v>19801</v>
      </c>
      <c r="K43" s="457">
        <v>19801</v>
      </c>
      <c r="L43" s="457">
        <v>19801</v>
      </c>
      <c r="M43" s="457">
        <v>19801</v>
      </c>
      <c r="N43" s="457">
        <v>19801</v>
      </c>
      <c r="O43" s="457">
        <v>19801</v>
      </c>
      <c r="P43" s="457">
        <v>19801</v>
      </c>
      <c r="Q43" s="457">
        <v>5000</v>
      </c>
      <c r="R43" s="1677">
        <v>0</v>
      </c>
      <c r="S43" s="257"/>
      <c r="T43" s="257"/>
      <c r="U43" s="1527"/>
      <c r="W43" s="48"/>
      <c r="X43" s="48"/>
      <c r="Y43" s="48"/>
      <c r="Z43" s="48"/>
      <c r="AA43" s="48"/>
      <c r="AB43" s="48"/>
      <c r="AC43" s="48"/>
      <c r="AD43" s="48"/>
      <c r="AE43" s="48"/>
      <c r="AF43" s="48"/>
      <c r="AG43" s="48"/>
      <c r="AH43" s="48"/>
      <c r="AI43" s="48"/>
      <c r="AJ43" s="48"/>
      <c r="AK43" s="48"/>
      <c r="AL43" s="48"/>
      <c r="AM43" s="48"/>
      <c r="AN43" s="48"/>
      <c r="AO43" s="48"/>
    </row>
    <row r="44" spans="1:41">
      <c r="A44" s="290">
        <f>ROW()</f>
        <v>44</v>
      </c>
      <c r="B44" s="1598" t="s">
        <v>376</v>
      </c>
      <c r="C44" s="1591">
        <f>'Gen Optg'!G184+'Gen Optg'!G153</f>
        <v>0</v>
      </c>
      <c r="D44" s="1610">
        <f t="shared" si="16"/>
        <v>0</v>
      </c>
      <c r="E44" s="1591">
        <f t="shared" si="17"/>
        <v>0</v>
      </c>
      <c r="F44" s="1585">
        <v>0</v>
      </c>
      <c r="G44" s="457">
        <v>0</v>
      </c>
      <c r="H44" s="457">
        <v>0</v>
      </c>
      <c r="I44" s="457">
        <v>0</v>
      </c>
      <c r="J44" s="457">
        <v>0</v>
      </c>
      <c r="K44" s="457">
        <v>0</v>
      </c>
      <c r="L44" s="457">
        <v>0</v>
      </c>
      <c r="M44" s="457">
        <v>0</v>
      </c>
      <c r="N44" s="457">
        <v>0</v>
      </c>
      <c r="O44" s="457">
        <v>0</v>
      </c>
      <c r="P44" s="457">
        <v>0</v>
      </c>
      <c r="Q44" s="457">
        <v>0</v>
      </c>
      <c r="R44" s="1677">
        <v>0</v>
      </c>
      <c r="S44" s="257"/>
      <c r="T44" s="257"/>
      <c r="U44" s="1528"/>
      <c r="W44" s="48"/>
      <c r="X44" s="48"/>
      <c r="Y44" s="48"/>
      <c r="Z44" s="48"/>
      <c r="AA44" s="48"/>
      <c r="AB44" s="48"/>
      <c r="AC44" s="48"/>
      <c r="AD44" s="48"/>
      <c r="AE44" s="48"/>
      <c r="AF44" s="48"/>
      <c r="AG44" s="48"/>
      <c r="AH44" s="48"/>
      <c r="AI44" s="48"/>
      <c r="AJ44" s="48"/>
      <c r="AK44" s="48"/>
      <c r="AL44" s="48"/>
      <c r="AM44" s="48"/>
      <c r="AN44" s="48"/>
      <c r="AO44" s="48"/>
    </row>
    <row r="45" spans="1:41">
      <c r="A45" s="290">
        <f>ROW()</f>
        <v>45</v>
      </c>
      <c r="B45" s="1599" t="s">
        <v>377</v>
      </c>
      <c r="C45" s="1591">
        <f>'Gen Optg'!G197</f>
        <v>0</v>
      </c>
      <c r="D45" s="1610">
        <f t="shared" si="16"/>
        <v>0</v>
      </c>
      <c r="E45" s="1591">
        <f t="shared" si="17"/>
        <v>0</v>
      </c>
      <c r="F45" s="1585">
        <v>0</v>
      </c>
      <c r="G45" s="457">
        <v>0</v>
      </c>
      <c r="H45" s="457">
        <v>0</v>
      </c>
      <c r="I45" s="457">
        <v>0</v>
      </c>
      <c r="J45" s="457">
        <v>0</v>
      </c>
      <c r="K45" s="457">
        <v>0</v>
      </c>
      <c r="L45" s="457">
        <v>0</v>
      </c>
      <c r="M45" s="457">
        <v>0</v>
      </c>
      <c r="N45" s="457">
        <v>0</v>
      </c>
      <c r="O45" s="457">
        <v>0</v>
      </c>
      <c r="P45" s="457">
        <v>0</v>
      </c>
      <c r="Q45" s="457">
        <v>0</v>
      </c>
      <c r="R45" s="1677">
        <v>0</v>
      </c>
      <c r="S45" s="257"/>
      <c r="T45" s="257"/>
      <c r="U45" s="1528"/>
      <c r="W45" s="48"/>
      <c r="X45" s="48"/>
      <c r="Y45" s="48"/>
      <c r="Z45" s="48"/>
      <c r="AA45" s="48"/>
      <c r="AB45" s="48"/>
      <c r="AC45" s="48"/>
      <c r="AD45" s="48"/>
      <c r="AE45" s="48"/>
      <c r="AF45" s="48"/>
      <c r="AG45" s="48"/>
      <c r="AH45" s="48"/>
      <c r="AI45" s="48"/>
      <c r="AJ45" s="48"/>
      <c r="AK45" s="48"/>
      <c r="AL45" s="48"/>
      <c r="AM45" s="48"/>
      <c r="AN45" s="48"/>
      <c r="AO45" s="48"/>
    </row>
    <row r="46" spans="1:41">
      <c r="A46" s="290">
        <f>ROW()</f>
        <v>46</v>
      </c>
      <c r="B46" s="1599" t="s">
        <v>378</v>
      </c>
      <c r="C46" s="1591">
        <f>+'Gen Optg'!G199</f>
        <v>0</v>
      </c>
      <c r="D46" s="1610">
        <f t="shared" si="16"/>
        <v>0</v>
      </c>
      <c r="E46" s="1591">
        <f t="shared" si="17"/>
        <v>0</v>
      </c>
      <c r="F46" s="1585">
        <v>0</v>
      </c>
      <c r="G46" s="457">
        <v>0</v>
      </c>
      <c r="H46" s="457">
        <v>0</v>
      </c>
      <c r="I46" s="457">
        <v>0</v>
      </c>
      <c r="J46" s="457">
        <v>0</v>
      </c>
      <c r="K46" s="457">
        <v>0</v>
      </c>
      <c r="L46" s="457">
        <v>0</v>
      </c>
      <c r="M46" s="457">
        <v>0</v>
      </c>
      <c r="N46" s="457">
        <v>0</v>
      </c>
      <c r="O46" s="457">
        <v>0</v>
      </c>
      <c r="P46" s="457">
        <v>0</v>
      </c>
      <c r="Q46" s="457">
        <v>0</v>
      </c>
      <c r="R46" s="1677">
        <v>0</v>
      </c>
      <c r="S46" s="257"/>
      <c r="T46" s="257"/>
      <c r="U46" s="287"/>
      <c r="W46" s="48"/>
      <c r="X46" s="48"/>
      <c r="Y46" s="48"/>
      <c r="Z46" s="48"/>
      <c r="AA46" s="48"/>
      <c r="AB46" s="48"/>
      <c r="AC46" s="48"/>
      <c r="AD46" s="48"/>
      <c r="AE46" s="48"/>
      <c r="AF46" s="48"/>
      <c r="AG46" s="48"/>
      <c r="AH46" s="48"/>
      <c r="AI46" s="48"/>
      <c r="AJ46" s="48"/>
      <c r="AK46" s="48"/>
      <c r="AL46" s="48"/>
      <c r="AM46" s="48"/>
      <c r="AN46" s="48"/>
      <c r="AO46" s="48"/>
    </row>
    <row r="47" spans="1:41">
      <c r="A47" s="290">
        <f>ROW()</f>
        <v>47</v>
      </c>
      <c r="B47" s="1600" t="s">
        <v>53</v>
      </c>
      <c r="C47" s="1591">
        <f>Marketing!I44</f>
        <v>0</v>
      </c>
      <c r="D47" s="1610">
        <f t="shared" si="16"/>
        <v>0</v>
      </c>
      <c r="E47" s="1591">
        <f t="shared" si="17"/>
        <v>0</v>
      </c>
      <c r="F47" s="1585">
        <v>0</v>
      </c>
      <c r="G47" s="457">
        <v>0</v>
      </c>
      <c r="H47" s="457">
        <v>0</v>
      </c>
      <c r="I47" s="457">
        <v>0</v>
      </c>
      <c r="J47" s="457">
        <v>0</v>
      </c>
      <c r="K47" s="457">
        <v>0</v>
      </c>
      <c r="L47" s="457">
        <v>0</v>
      </c>
      <c r="M47" s="457">
        <v>0</v>
      </c>
      <c r="N47" s="457">
        <v>0</v>
      </c>
      <c r="O47" s="457">
        <v>0</v>
      </c>
      <c r="P47" s="457">
        <v>0</v>
      </c>
      <c r="Q47" s="457">
        <v>0</v>
      </c>
      <c r="R47" s="1677">
        <v>0</v>
      </c>
      <c r="S47" s="257"/>
      <c r="T47" s="257"/>
      <c r="U47" s="287"/>
      <c r="W47" s="48"/>
      <c r="X47" s="48"/>
      <c r="Y47" s="48"/>
      <c r="Z47" s="48"/>
      <c r="AA47" s="48"/>
      <c r="AB47" s="48"/>
      <c r="AC47" s="48"/>
      <c r="AD47" s="48"/>
      <c r="AE47" s="48"/>
      <c r="AF47" s="48"/>
      <c r="AG47" s="48"/>
      <c r="AH47" s="48"/>
      <c r="AI47" s="48"/>
      <c r="AJ47" s="48"/>
      <c r="AK47" s="48"/>
      <c r="AL47" s="48"/>
      <c r="AM47" s="48"/>
      <c r="AN47" s="48"/>
      <c r="AO47" s="48"/>
    </row>
    <row r="48" spans="1:41">
      <c r="A48" s="290">
        <f>ROW()</f>
        <v>48</v>
      </c>
      <c r="B48" s="1598" t="s">
        <v>379</v>
      </c>
      <c r="C48" s="1591">
        <f>Facilities!G74</f>
        <v>576002</v>
      </c>
      <c r="D48" s="1610">
        <f t="shared" si="16"/>
        <v>-17278</v>
      </c>
      <c r="E48" s="1591">
        <f t="shared" si="17"/>
        <v>593280</v>
      </c>
      <c r="F48" s="457">
        <v>49440</v>
      </c>
      <c r="G48" s="457">
        <v>49440</v>
      </c>
      <c r="H48" s="457">
        <v>49440</v>
      </c>
      <c r="I48" s="457">
        <v>49440</v>
      </c>
      <c r="J48" s="457">
        <v>49440</v>
      </c>
      <c r="K48" s="457">
        <v>49440</v>
      </c>
      <c r="L48" s="457">
        <v>49440</v>
      </c>
      <c r="M48" s="457">
        <v>49440</v>
      </c>
      <c r="N48" s="457">
        <v>49440</v>
      </c>
      <c r="O48" s="457">
        <v>49440</v>
      </c>
      <c r="P48" s="457">
        <v>49440</v>
      </c>
      <c r="Q48" s="457">
        <v>49440</v>
      </c>
      <c r="R48" s="1677">
        <v>0</v>
      </c>
      <c r="S48" s="257"/>
      <c r="T48" s="257"/>
      <c r="U48" s="287"/>
      <c r="W48" s="48"/>
      <c r="X48" s="48"/>
      <c r="Y48" s="48"/>
      <c r="Z48" s="48"/>
      <c r="AA48" s="48"/>
      <c r="AB48" s="48"/>
      <c r="AC48" s="48"/>
      <c r="AD48" s="48"/>
      <c r="AE48" s="48"/>
      <c r="AF48" s="48"/>
      <c r="AG48" s="48"/>
      <c r="AH48" s="48"/>
      <c r="AI48" s="48"/>
      <c r="AJ48" s="48"/>
      <c r="AK48" s="48"/>
      <c r="AL48" s="48"/>
      <c r="AM48" s="48"/>
      <c r="AN48" s="48"/>
      <c r="AO48" s="48"/>
    </row>
    <row r="49" spans="1:41">
      <c r="A49" s="290">
        <f>ROW()</f>
        <v>49</v>
      </c>
      <c r="B49" s="1599" t="s">
        <v>380</v>
      </c>
      <c r="C49" s="1591">
        <f>Facilities!G100</f>
        <v>0</v>
      </c>
      <c r="D49" s="1610"/>
      <c r="E49" s="1591">
        <f>SUM(F49:R49)</f>
        <v>0</v>
      </c>
      <c r="F49" s="1585">
        <v>0</v>
      </c>
      <c r="G49" s="457">
        <v>0</v>
      </c>
      <c r="H49" s="457">
        <v>0</v>
      </c>
      <c r="I49" s="457">
        <v>0</v>
      </c>
      <c r="J49" s="457">
        <v>0</v>
      </c>
      <c r="K49" s="457">
        <v>0</v>
      </c>
      <c r="L49" s="457">
        <v>0</v>
      </c>
      <c r="M49" s="457">
        <v>0</v>
      </c>
      <c r="N49" s="457">
        <v>0</v>
      </c>
      <c r="O49" s="457">
        <v>0</v>
      </c>
      <c r="P49" s="457">
        <v>0</v>
      </c>
      <c r="Q49" s="457">
        <v>0</v>
      </c>
      <c r="R49" s="1677">
        <v>0</v>
      </c>
      <c r="S49" s="257"/>
      <c r="T49" s="257"/>
      <c r="U49" s="287"/>
      <c r="W49" s="48"/>
      <c r="X49" s="48"/>
      <c r="Y49" s="48"/>
      <c r="Z49" s="48"/>
      <c r="AA49" s="48"/>
      <c r="AB49" s="48"/>
      <c r="AC49" s="48"/>
      <c r="AD49" s="48"/>
      <c r="AE49" s="48"/>
      <c r="AF49" s="48"/>
      <c r="AG49" s="48"/>
      <c r="AH49" s="48"/>
      <c r="AI49" s="48"/>
      <c r="AJ49" s="48"/>
      <c r="AK49" s="48"/>
      <c r="AL49" s="48"/>
      <c r="AM49" s="48"/>
      <c r="AN49" s="48"/>
      <c r="AO49" s="48"/>
    </row>
    <row r="50" spans="1:41">
      <c r="A50" s="290">
        <f>ROW()</f>
        <v>50</v>
      </c>
      <c r="B50" s="1599" t="s">
        <v>113</v>
      </c>
      <c r="C50" s="1591">
        <f>+'FFE&amp;T'!G43</f>
        <v>237350</v>
      </c>
      <c r="D50" s="1610">
        <f t="shared" si="16"/>
        <v>0</v>
      </c>
      <c r="E50" s="1591">
        <f t="shared" si="17"/>
        <v>237350</v>
      </c>
      <c r="F50" s="1585">
        <v>237350</v>
      </c>
      <c r="G50" s="457">
        <v>0</v>
      </c>
      <c r="H50" s="457">
        <v>0</v>
      </c>
      <c r="I50" s="457">
        <v>0</v>
      </c>
      <c r="J50" s="457">
        <v>0</v>
      </c>
      <c r="K50" s="457">
        <v>0</v>
      </c>
      <c r="L50" s="457">
        <v>0</v>
      </c>
      <c r="M50" s="457">
        <v>0</v>
      </c>
      <c r="N50" s="457">
        <v>0</v>
      </c>
      <c r="O50" s="457">
        <v>0</v>
      </c>
      <c r="P50" s="457">
        <v>0</v>
      </c>
      <c r="Q50" s="457">
        <v>0</v>
      </c>
      <c r="R50" s="1677">
        <v>0</v>
      </c>
      <c r="S50" s="257"/>
      <c r="T50" s="257"/>
      <c r="U50" s="287"/>
      <c r="W50" s="48"/>
      <c r="X50" s="48"/>
      <c r="Y50" s="48"/>
      <c r="Z50" s="48"/>
      <c r="AA50" s="48"/>
      <c r="AB50" s="48"/>
      <c r="AC50" s="48"/>
      <c r="AD50" s="48"/>
      <c r="AE50" s="48"/>
      <c r="AF50" s="48"/>
      <c r="AG50" s="48"/>
      <c r="AH50" s="48"/>
      <c r="AI50" s="48"/>
      <c r="AJ50" s="48"/>
      <c r="AK50" s="48"/>
      <c r="AL50" s="48"/>
      <c r="AM50" s="48"/>
      <c r="AN50" s="48"/>
      <c r="AO50" s="48"/>
    </row>
    <row r="51" spans="1:41">
      <c r="A51" s="290">
        <f>ROW()</f>
        <v>51</v>
      </c>
      <c r="B51" s="1599" t="s">
        <v>55</v>
      </c>
      <c r="C51" s="1591">
        <f>'EMO-CMO-BOSP'!F39</f>
        <v>0</v>
      </c>
      <c r="D51" s="1610">
        <f t="shared" si="16"/>
        <v>0</v>
      </c>
      <c r="E51" s="1591">
        <f t="shared" si="17"/>
        <v>0</v>
      </c>
      <c r="F51" s="1585">
        <v>0</v>
      </c>
      <c r="G51" s="457">
        <v>0</v>
      </c>
      <c r="H51" s="457">
        <v>0</v>
      </c>
      <c r="I51" s="457">
        <v>0</v>
      </c>
      <c r="J51" s="457">
        <v>0</v>
      </c>
      <c r="K51" s="457">
        <v>0</v>
      </c>
      <c r="L51" s="457">
        <v>0</v>
      </c>
      <c r="M51" s="457">
        <v>0</v>
      </c>
      <c r="N51" s="457">
        <v>0</v>
      </c>
      <c r="O51" s="457">
        <v>0</v>
      </c>
      <c r="P51" s="457">
        <v>0</v>
      </c>
      <c r="Q51" s="457">
        <v>0</v>
      </c>
      <c r="R51" s="1677">
        <v>0</v>
      </c>
      <c r="S51" s="257"/>
      <c r="T51" s="257"/>
      <c r="U51" s="287"/>
      <c r="W51" s="48"/>
      <c r="X51" s="48"/>
      <c r="Y51" s="48"/>
      <c r="Z51" s="48"/>
      <c r="AA51" s="48"/>
      <c r="AB51" s="48"/>
      <c r="AC51" s="48"/>
      <c r="AD51" s="48"/>
      <c r="AE51" s="48"/>
      <c r="AF51" s="48"/>
      <c r="AG51" s="48"/>
      <c r="AH51" s="48"/>
      <c r="AI51" s="48"/>
      <c r="AJ51" s="48"/>
      <c r="AK51" s="48"/>
      <c r="AL51" s="48"/>
      <c r="AM51" s="48"/>
      <c r="AN51" s="48"/>
      <c r="AO51" s="48"/>
    </row>
    <row r="52" spans="1:41">
      <c r="A52" s="290">
        <f>ROW()</f>
        <v>52</v>
      </c>
      <c r="B52" s="1601" t="s">
        <v>51</v>
      </c>
      <c r="C52" s="1592">
        <f>+Ins!G51</f>
        <v>19107</v>
      </c>
      <c r="D52" s="1611">
        <f t="shared" si="16"/>
        <v>-4893</v>
      </c>
      <c r="E52" s="1592">
        <f>SUM(F52:R52)</f>
        <v>24000</v>
      </c>
      <c r="F52" s="1613">
        <v>2000</v>
      </c>
      <c r="G52" s="1613">
        <v>2000</v>
      </c>
      <c r="H52" s="1613">
        <v>2000</v>
      </c>
      <c r="I52" s="1613">
        <v>2000</v>
      </c>
      <c r="J52" s="1613">
        <v>2000</v>
      </c>
      <c r="K52" s="1613">
        <v>2000</v>
      </c>
      <c r="L52" s="1613">
        <v>2000</v>
      </c>
      <c r="M52" s="1613">
        <v>2000</v>
      </c>
      <c r="N52" s="1613">
        <v>2000</v>
      </c>
      <c r="O52" s="1613">
        <v>2000</v>
      </c>
      <c r="P52" s="1613">
        <v>2000</v>
      </c>
      <c r="Q52" s="1613">
        <v>2000</v>
      </c>
      <c r="R52" s="1678">
        <v>0</v>
      </c>
      <c r="S52" s="257"/>
      <c r="T52" s="257"/>
      <c r="U52" s="287"/>
      <c r="W52" s="48"/>
      <c r="X52" s="48"/>
      <c r="Y52" s="48"/>
      <c r="Z52" s="48"/>
      <c r="AA52" s="48"/>
      <c r="AB52" s="48"/>
      <c r="AC52" s="48"/>
      <c r="AD52" s="48"/>
      <c r="AE52" s="48"/>
      <c r="AF52" s="48"/>
      <c r="AG52" s="48"/>
      <c r="AH52" s="48"/>
      <c r="AI52" s="48"/>
      <c r="AJ52" s="48"/>
      <c r="AK52" s="48"/>
      <c r="AL52" s="48"/>
      <c r="AM52" s="48"/>
      <c r="AN52" s="48"/>
      <c r="AO52" s="48"/>
    </row>
    <row r="53" spans="1:41">
      <c r="A53" s="290">
        <f>ROW()</f>
        <v>53</v>
      </c>
      <c r="B53" s="705" t="s">
        <v>381</v>
      </c>
      <c r="C53" s="1604">
        <f t="shared" ref="C53:R53" si="18">SUM(C41:C52)</f>
        <v>2078404.23</v>
      </c>
      <c r="D53" s="1607">
        <f t="shared" si="18"/>
        <v>-172680.77000000002</v>
      </c>
      <c r="E53" s="1614">
        <f t="shared" si="18"/>
        <v>2251085</v>
      </c>
      <c r="F53" s="706">
        <f t="shared" si="18"/>
        <v>388955</v>
      </c>
      <c r="G53" s="706">
        <f t="shared" si="18"/>
        <v>170721</v>
      </c>
      <c r="H53" s="706">
        <f t="shared" si="18"/>
        <v>170721</v>
      </c>
      <c r="I53" s="706">
        <f t="shared" si="18"/>
        <v>170721</v>
      </c>
      <c r="J53" s="706">
        <f t="shared" si="18"/>
        <v>170721</v>
      </c>
      <c r="K53" s="706">
        <f t="shared" si="18"/>
        <v>170721</v>
      </c>
      <c r="L53" s="706">
        <f t="shared" si="18"/>
        <v>170721</v>
      </c>
      <c r="M53" s="706">
        <f t="shared" si="18"/>
        <v>170721</v>
      </c>
      <c r="N53" s="706">
        <f>SUM(N41:N52)</f>
        <v>170721</v>
      </c>
      <c r="O53" s="706">
        <f t="shared" si="18"/>
        <v>170721</v>
      </c>
      <c r="P53" s="706">
        <f t="shared" si="18"/>
        <v>170721</v>
      </c>
      <c r="Q53" s="706">
        <f t="shared" ref="Q53" si="19">SUM(Q41:Q52)</f>
        <v>154920</v>
      </c>
      <c r="R53" s="706">
        <f t="shared" si="18"/>
        <v>0</v>
      </c>
      <c r="U53" s="287"/>
      <c r="W53" s="48"/>
      <c r="X53" s="48"/>
      <c r="Y53" s="48"/>
      <c r="Z53" s="48"/>
      <c r="AA53" s="48"/>
      <c r="AB53" s="48"/>
      <c r="AC53" s="48"/>
      <c r="AD53" s="48"/>
      <c r="AE53" s="48"/>
      <c r="AF53" s="48"/>
      <c r="AG53" s="48"/>
      <c r="AH53" s="48"/>
      <c r="AI53" s="48"/>
      <c r="AJ53" s="48"/>
      <c r="AK53" s="48"/>
      <c r="AL53" s="48"/>
      <c r="AM53" s="48"/>
      <c r="AN53" s="48"/>
      <c r="AO53" s="48"/>
    </row>
    <row r="54" spans="1:41">
      <c r="A54" s="290">
        <f>ROW()</f>
        <v>54</v>
      </c>
      <c r="B54" s="1602" t="s">
        <v>382</v>
      </c>
      <c r="C54" s="1605">
        <f>+Summary!G54-C53</f>
        <v>0</v>
      </c>
      <c r="D54" s="1608"/>
      <c r="E54" s="1615">
        <f>SUM(F54:R54)</f>
        <v>185079.75</v>
      </c>
      <c r="F54" s="999">
        <f t="shared" ref="F54:R54" si="20">F36-F53</f>
        <v>-188955</v>
      </c>
      <c r="G54" s="999">
        <f t="shared" si="20"/>
        <v>17259.5625</v>
      </c>
      <c r="H54" s="999">
        <f t="shared" si="20"/>
        <v>17259.5625</v>
      </c>
      <c r="I54" s="999">
        <f t="shared" si="20"/>
        <v>17259.5625</v>
      </c>
      <c r="J54" s="999">
        <f t="shared" si="20"/>
        <v>17259.5625</v>
      </c>
      <c r="K54" s="999">
        <f t="shared" si="20"/>
        <v>17259.5625</v>
      </c>
      <c r="L54" s="999">
        <f t="shared" si="20"/>
        <v>17259.5625</v>
      </c>
      <c r="M54" s="999">
        <f t="shared" si="20"/>
        <v>17259.5625</v>
      </c>
      <c r="N54" s="999">
        <f t="shared" si="20"/>
        <v>17259.5625</v>
      </c>
      <c r="O54" s="999">
        <f t="shared" si="20"/>
        <v>17259.5625</v>
      </c>
      <c r="P54" s="999">
        <f t="shared" si="20"/>
        <v>17259.5625</v>
      </c>
      <c r="Q54" s="999">
        <f t="shared" ref="Q54" si="21">Q36-Q53</f>
        <v>23259.5625</v>
      </c>
      <c r="R54" s="999">
        <f t="shared" si="20"/>
        <v>178179.5625</v>
      </c>
      <c r="U54" s="287"/>
      <c r="W54" s="48"/>
      <c r="X54" s="48"/>
      <c r="Y54" s="48"/>
      <c r="Z54" s="48"/>
      <c r="AA54" s="48"/>
      <c r="AB54" s="48"/>
      <c r="AC54" s="48"/>
      <c r="AD54" s="48"/>
      <c r="AE54" s="48"/>
      <c r="AF54" s="48"/>
      <c r="AG54" s="48"/>
      <c r="AH54" s="48"/>
      <c r="AI54" s="48"/>
      <c r="AJ54" s="48"/>
      <c r="AK54" s="48"/>
      <c r="AL54" s="48"/>
      <c r="AM54" s="48"/>
      <c r="AN54" s="48"/>
      <c r="AO54" s="48"/>
    </row>
    <row r="55" spans="1:41">
      <c r="A55" s="290">
        <f>ROW()</f>
        <v>55</v>
      </c>
      <c r="B55" s="993" t="s">
        <v>383</v>
      </c>
      <c r="C55" s="1606">
        <f>+C36-C53</f>
        <v>327593.02</v>
      </c>
      <c r="D55" s="117">
        <f>+D36-D53</f>
        <v>142513.27000000002</v>
      </c>
      <c r="E55" s="1616">
        <f>+E36-(E53+D53)</f>
        <v>357760.52</v>
      </c>
      <c r="F55" s="994">
        <f t="shared" ref="F55:R55" si="22">+F36-F53</f>
        <v>-188955</v>
      </c>
      <c r="G55" s="994">
        <f t="shared" si="22"/>
        <v>17259.5625</v>
      </c>
      <c r="H55" s="994">
        <f t="shared" si="22"/>
        <v>17259.5625</v>
      </c>
      <c r="I55" s="994">
        <f t="shared" si="22"/>
        <v>17259.5625</v>
      </c>
      <c r="J55" s="994">
        <f t="shared" si="22"/>
        <v>17259.5625</v>
      </c>
      <c r="K55" s="994">
        <f t="shared" si="22"/>
        <v>17259.5625</v>
      </c>
      <c r="L55" s="994">
        <f t="shared" si="22"/>
        <v>17259.5625</v>
      </c>
      <c r="M55" s="994">
        <f t="shared" si="22"/>
        <v>17259.5625</v>
      </c>
      <c r="N55" s="994">
        <f t="shared" si="22"/>
        <v>17259.5625</v>
      </c>
      <c r="O55" s="994">
        <f t="shared" si="22"/>
        <v>17259.5625</v>
      </c>
      <c r="P55" s="994">
        <f t="shared" si="22"/>
        <v>17259.5625</v>
      </c>
      <c r="Q55" s="994">
        <f t="shared" ref="Q55" si="23">+Q36-Q53</f>
        <v>23259.5625</v>
      </c>
      <c r="R55" s="994">
        <f t="shared" si="22"/>
        <v>178179.5625</v>
      </c>
      <c r="U55" s="287"/>
      <c r="W55" s="48"/>
      <c r="X55" s="48"/>
      <c r="Y55" s="48"/>
      <c r="Z55" s="48"/>
      <c r="AA55" s="48"/>
      <c r="AB55" s="48"/>
      <c r="AC55" s="48"/>
      <c r="AD55" s="48"/>
      <c r="AE55" s="48"/>
      <c r="AF55" s="48"/>
      <c r="AG55" s="48"/>
      <c r="AH55" s="48"/>
      <c r="AI55" s="48"/>
      <c r="AJ55" s="48"/>
      <c r="AK55" s="48"/>
      <c r="AL55" s="48"/>
      <c r="AM55" s="48"/>
      <c r="AN55" s="48"/>
      <c r="AO55" s="48"/>
    </row>
    <row r="56" spans="1:41" ht="16.2">
      <c r="A56" s="290">
        <f>ROW()</f>
        <v>56</v>
      </c>
      <c r="B56" s="1251" t="s">
        <v>384</v>
      </c>
      <c r="C56" s="996"/>
      <c r="D56" s="997"/>
      <c r="E56" s="998"/>
      <c r="F56" s="998">
        <f>+F55</f>
        <v>-188955</v>
      </c>
      <c r="G56" s="998">
        <f>+F56+G55</f>
        <v>-171695.4375</v>
      </c>
      <c r="H56" s="998">
        <f t="shared" ref="H56:R56" si="24">+G56+H55</f>
        <v>-154435.875</v>
      </c>
      <c r="I56" s="998">
        <f t="shared" si="24"/>
        <v>-137176.3125</v>
      </c>
      <c r="J56" s="998">
        <f t="shared" si="24"/>
        <v>-119916.75</v>
      </c>
      <c r="K56" s="998">
        <f t="shared" si="24"/>
        <v>-102657.1875</v>
      </c>
      <c r="L56" s="998">
        <f t="shared" si="24"/>
        <v>-85397.625</v>
      </c>
      <c r="M56" s="998">
        <f t="shared" si="24"/>
        <v>-68138.0625</v>
      </c>
      <c r="N56" s="998">
        <f t="shared" si="24"/>
        <v>-50878.5</v>
      </c>
      <c r="O56" s="998">
        <f t="shared" si="24"/>
        <v>-33618.9375</v>
      </c>
      <c r="P56" s="998">
        <f t="shared" si="24"/>
        <v>-16359.375</v>
      </c>
      <c r="Q56" s="998">
        <f t="shared" si="24"/>
        <v>6900.1875</v>
      </c>
      <c r="R56" s="998">
        <f t="shared" si="24"/>
        <v>185079.75</v>
      </c>
      <c r="U56" s="287"/>
      <c r="W56" s="48"/>
      <c r="X56" s="48"/>
      <c r="Y56" s="48"/>
      <c r="Z56" s="48"/>
      <c r="AA56" s="48"/>
      <c r="AB56" s="48"/>
      <c r="AC56" s="48"/>
      <c r="AD56" s="48"/>
      <c r="AE56" s="48"/>
      <c r="AF56" s="48"/>
      <c r="AG56" s="48"/>
      <c r="AH56" s="48"/>
      <c r="AI56" s="48"/>
      <c r="AJ56" s="48"/>
      <c r="AK56" s="48"/>
      <c r="AL56" s="48"/>
      <c r="AM56" s="48"/>
      <c r="AN56" s="48"/>
      <c r="AO56" s="48"/>
    </row>
    <row r="57" spans="1:41" ht="16.2">
      <c r="A57" s="290">
        <f>ROW()</f>
        <v>57</v>
      </c>
      <c r="B57" s="1024"/>
      <c r="C57" s="1025"/>
      <c r="D57" s="1026"/>
      <c r="E57" s="1027"/>
      <c r="F57" s="1027"/>
      <c r="G57" s="1027"/>
      <c r="H57" s="1027"/>
      <c r="I57" s="1027"/>
      <c r="J57" s="1027"/>
      <c r="K57" s="1027"/>
      <c r="L57" s="1027"/>
      <c r="M57" s="1027"/>
      <c r="N57" s="1027"/>
      <c r="O57" s="1027"/>
      <c r="P57" s="1027"/>
      <c r="Q57" s="1027"/>
      <c r="R57" s="1027"/>
      <c r="U57" s="287"/>
      <c r="W57" s="48"/>
      <c r="X57" s="48"/>
      <c r="Y57" s="48"/>
      <c r="Z57" s="48"/>
      <c r="AA57" s="48"/>
      <c r="AB57" s="48"/>
      <c r="AC57" s="48"/>
      <c r="AD57" s="48"/>
      <c r="AE57" s="48"/>
      <c r="AF57" s="48"/>
      <c r="AG57" s="48"/>
      <c r="AH57" s="48"/>
      <c r="AI57" s="48"/>
      <c r="AJ57" s="48"/>
      <c r="AK57" s="48"/>
      <c r="AL57" s="48"/>
      <c r="AM57" s="48"/>
      <c r="AN57" s="48"/>
      <c r="AO57" s="48"/>
    </row>
    <row r="58" spans="1:41">
      <c r="A58" s="290">
        <f>ROW()</f>
        <v>58</v>
      </c>
      <c r="B58" s="12" t="s">
        <v>385</v>
      </c>
      <c r="C58" s="12"/>
      <c r="D58" s="992"/>
      <c r="E58" s="992"/>
      <c r="F58" s="462">
        <f>F53</f>
        <v>388955</v>
      </c>
      <c r="G58" s="462">
        <f t="shared" ref="G58:R58" si="25">F58+G53</f>
        <v>559676</v>
      </c>
      <c r="H58" s="462">
        <f t="shared" si="25"/>
        <v>730397</v>
      </c>
      <c r="I58" s="462">
        <f t="shared" si="25"/>
        <v>901118</v>
      </c>
      <c r="J58" s="462">
        <f t="shared" si="25"/>
        <v>1071839</v>
      </c>
      <c r="K58" s="462">
        <f t="shared" si="25"/>
        <v>1242560</v>
      </c>
      <c r="L58" s="462">
        <f t="shared" si="25"/>
        <v>1413281</v>
      </c>
      <c r="M58" s="462">
        <f t="shared" si="25"/>
        <v>1584002</v>
      </c>
      <c r="N58" s="462">
        <f t="shared" si="25"/>
        <v>1754723</v>
      </c>
      <c r="O58" s="462">
        <f t="shared" si="25"/>
        <v>1925444</v>
      </c>
      <c r="P58" s="462">
        <f t="shared" si="25"/>
        <v>2096165</v>
      </c>
      <c r="Q58" s="462">
        <f t="shared" si="25"/>
        <v>2251085</v>
      </c>
      <c r="R58" s="462">
        <f t="shared" si="25"/>
        <v>2251085</v>
      </c>
      <c r="U58" s="287"/>
      <c r="W58" s="48"/>
      <c r="X58" s="48"/>
      <c r="Y58" s="48"/>
      <c r="Z58" s="48"/>
      <c r="AA58" s="48"/>
      <c r="AB58" s="48"/>
      <c r="AC58" s="48"/>
      <c r="AD58" s="48"/>
      <c r="AE58" s="48"/>
      <c r="AF58" s="48"/>
      <c r="AG58" s="48"/>
      <c r="AH58" s="48"/>
      <c r="AI58" s="48"/>
      <c r="AJ58" s="48"/>
      <c r="AK58" s="48"/>
      <c r="AL58" s="48"/>
      <c r="AM58" s="48"/>
      <c r="AN58" s="48"/>
      <c r="AO58" s="48"/>
    </row>
    <row r="59" spans="1:41">
      <c r="A59" s="290">
        <f>ROW()</f>
        <v>59</v>
      </c>
      <c r="B59" s="13" t="s">
        <v>386</v>
      </c>
      <c r="C59" s="13"/>
      <c r="D59" s="13"/>
      <c r="E59" s="471"/>
      <c r="F59" s="464">
        <f t="shared" ref="F59:R59" si="26">IFERROR(F58/$E53,0)</f>
        <v>0.17278556784839311</v>
      </c>
      <c r="G59" s="464">
        <f t="shared" si="26"/>
        <v>0.2486249963906294</v>
      </c>
      <c r="H59" s="464">
        <f t="shared" si="26"/>
        <v>0.3244644249328657</v>
      </c>
      <c r="I59" s="464">
        <f t="shared" si="26"/>
        <v>0.400303853475102</v>
      </c>
      <c r="J59" s="464">
        <f t="shared" si="26"/>
        <v>0.4761432820173383</v>
      </c>
      <c r="K59" s="464">
        <f t="shared" si="26"/>
        <v>0.5519827105595746</v>
      </c>
      <c r="L59" s="464">
        <f t="shared" si="26"/>
        <v>0.62782213910181095</v>
      </c>
      <c r="M59" s="464">
        <f t="shared" si="26"/>
        <v>0.70366156764404719</v>
      </c>
      <c r="N59" s="464">
        <f t="shared" si="26"/>
        <v>0.77950099618628355</v>
      </c>
      <c r="O59" s="464">
        <f t="shared" si="26"/>
        <v>0.85534042472851979</v>
      </c>
      <c r="P59" s="464">
        <f t="shared" si="26"/>
        <v>0.93117985327075614</v>
      </c>
      <c r="Q59" s="464">
        <f t="shared" si="26"/>
        <v>1</v>
      </c>
      <c r="R59" s="464">
        <f t="shared" si="26"/>
        <v>1</v>
      </c>
      <c r="U59" s="287"/>
      <c r="W59" s="48"/>
      <c r="X59" s="48"/>
      <c r="Y59" s="48"/>
      <c r="Z59" s="48"/>
      <c r="AA59" s="48"/>
      <c r="AB59" s="48"/>
      <c r="AC59" s="48"/>
      <c r="AD59" s="48"/>
      <c r="AE59" s="48"/>
      <c r="AF59" s="48"/>
      <c r="AG59" s="48"/>
      <c r="AH59" s="48"/>
      <c r="AI59" s="48"/>
      <c r="AJ59" s="48"/>
      <c r="AK59" s="48"/>
      <c r="AL59" s="48"/>
      <c r="AM59" s="48"/>
      <c r="AN59" s="48"/>
      <c r="AO59" s="48"/>
    </row>
    <row r="60" spans="1:41">
      <c r="A60" s="290">
        <f>ROW()</f>
        <v>60</v>
      </c>
      <c r="B60" s="12" t="s">
        <v>387</v>
      </c>
      <c r="C60" s="12"/>
      <c r="D60" s="12"/>
      <c r="E60" s="27"/>
      <c r="F60" s="995">
        <f t="shared" ref="F60:R60" si="27">IFERROR((F38-F59)/F38,0)</f>
        <v>-1.1046705485049431</v>
      </c>
      <c r="G60" s="995">
        <f t="shared" si="27"/>
        <v>-0.56113865156770204</v>
      </c>
      <c r="H60" s="995">
        <f t="shared" si="27"/>
        <v>-0.3723995602141873</v>
      </c>
      <c r="I60" s="995">
        <f t="shared" si="27"/>
        <v>-0.27654525611316172</v>
      </c>
      <c r="J60" s="995">
        <f t="shared" si="27"/>
        <v>-0.21854855225828421</v>
      </c>
      <c r="K60" s="995">
        <f t="shared" si="27"/>
        <v>-0.17968023881394579</v>
      </c>
      <c r="L60" s="995">
        <f t="shared" si="27"/>
        <v>-0.15181663792532127</v>
      </c>
      <c r="M60" s="995">
        <f t="shared" si="27"/>
        <v>-0.13086370393594005</v>
      </c>
      <c r="N60" s="995">
        <f t="shared" si="27"/>
        <v>-0.1145341311950171</v>
      </c>
      <c r="O60" s="995">
        <f t="shared" si="27"/>
        <v>-0.10144972348554471</v>
      </c>
      <c r="P60" s="995">
        <f t="shared" si="27"/>
        <v>-9.0730550576517605E-2</v>
      </c>
      <c r="Q60" s="995">
        <f t="shared" si="27"/>
        <v>-0.17688855405335149</v>
      </c>
      <c r="R60" s="995">
        <f t="shared" si="27"/>
        <v>-7.8910864201583691E-2</v>
      </c>
      <c r="U60" s="287"/>
      <c r="W60" s="48"/>
      <c r="X60" s="48"/>
      <c r="Y60" s="48"/>
      <c r="Z60" s="48"/>
      <c r="AA60" s="48"/>
      <c r="AB60" s="48"/>
      <c r="AC60" s="48"/>
      <c r="AD60" s="48"/>
      <c r="AE60" s="48"/>
      <c r="AF60" s="48"/>
      <c r="AG60" s="48"/>
      <c r="AH60" s="48"/>
      <c r="AI60" s="48"/>
      <c r="AJ60" s="48"/>
      <c r="AK60" s="48"/>
      <c r="AL60" s="48"/>
      <c r="AM60" s="48"/>
      <c r="AN60" s="48"/>
      <c r="AO60" s="48"/>
    </row>
    <row r="61" spans="1:41">
      <c r="A61" s="290">
        <f>ROW()</f>
        <v>61</v>
      </c>
      <c r="B61" s="12" t="s">
        <v>388</v>
      </c>
      <c r="C61" s="12"/>
      <c r="D61" s="12"/>
      <c r="E61" s="27"/>
      <c r="F61" s="1001">
        <f>+F15</f>
        <v>31</v>
      </c>
      <c r="G61" s="1001">
        <f t="shared" ref="G61:R61" si="28">+F61+G15</f>
        <v>62</v>
      </c>
      <c r="H61" s="1001">
        <f t="shared" si="28"/>
        <v>92</v>
      </c>
      <c r="I61" s="1001">
        <f t="shared" si="28"/>
        <v>123</v>
      </c>
      <c r="J61" s="1001">
        <f t="shared" si="28"/>
        <v>153</v>
      </c>
      <c r="K61" s="1001">
        <f t="shared" si="28"/>
        <v>184</v>
      </c>
      <c r="L61" s="1001">
        <f t="shared" si="28"/>
        <v>215</v>
      </c>
      <c r="M61" s="1001">
        <f t="shared" si="28"/>
        <v>243</v>
      </c>
      <c r="N61" s="1001">
        <f t="shared" si="28"/>
        <v>274</v>
      </c>
      <c r="O61" s="1001">
        <f t="shared" si="28"/>
        <v>304</v>
      </c>
      <c r="P61" s="1001">
        <f t="shared" si="28"/>
        <v>335</v>
      </c>
      <c r="Q61" s="1001">
        <f t="shared" si="28"/>
        <v>365</v>
      </c>
      <c r="R61" s="1001">
        <f t="shared" si="28"/>
        <v>365</v>
      </c>
      <c r="U61" s="287"/>
      <c r="W61" s="48"/>
      <c r="X61" s="48"/>
      <c r="Y61" s="48"/>
      <c r="Z61" s="48"/>
      <c r="AA61" s="48"/>
      <c r="AB61" s="48"/>
      <c r="AC61" s="48"/>
      <c r="AD61" s="48"/>
      <c r="AE61" s="48"/>
      <c r="AF61" s="48"/>
      <c r="AG61" s="48"/>
      <c r="AH61" s="48"/>
      <c r="AI61" s="48"/>
      <c r="AJ61" s="48"/>
      <c r="AK61" s="48"/>
      <c r="AL61" s="48"/>
      <c r="AM61" s="48"/>
      <c r="AN61" s="48"/>
      <c r="AO61" s="48"/>
    </row>
    <row r="62" spans="1:41">
      <c r="A62" s="290">
        <f>ROW()</f>
        <v>62</v>
      </c>
      <c r="B62" s="12"/>
      <c r="C62" s="12"/>
      <c r="D62" s="12"/>
      <c r="E62" s="27"/>
      <c r="F62" s="28"/>
      <c r="G62" s="28"/>
      <c r="H62" s="28"/>
      <c r="I62" s="28"/>
      <c r="J62" s="28"/>
      <c r="K62" s="28"/>
      <c r="L62" s="28"/>
      <c r="M62" s="28"/>
      <c r="N62" s="28"/>
      <c r="O62" s="28"/>
      <c r="P62" s="28"/>
      <c r="Q62" s="28"/>
      <c r="R62" s="28"/>
      <c r="U62" s="287"/>
      <c r="W62" s="48"/>
      <c r="X62" s="48"/>
      <c r="Y62" s="48"/>
      <c r="Z62" s="48"/>
      <c r="AA62" s="48"/>
      <c r="AB62" s="48"/>
      <c r="AC62" s="48"/>
      <c r="AD62" s="48"/>
      <c r="AE62" s="48"/>
      <c r="AF62" s="48"/>
      <c r="AG62" s="48"/>
      <c r="AH62" s="48"/>
      <c r="AI62" s="48"/>
      <c r="AJ62" s="48"/>
      <c r="AK62" s="48"/>
      <c r="AL62" s="48"/>
      <c r="AM62" s="48"/>
      <c r="AN62" s="48"/>
      <c r="AO62" s="48"/>
    </row>
    <row r="63" spans="1:41">
      <c r="A63" s="290">
        <f>ROW()</f>
        <v>63</v>
      </c>
      <c r="B63" s="12"/>
      <c r="C63" s="12"/>
      <c r="D63" s="12"/>
      <c r="E63" s="27"/>
      <c r="F63" s="28"/>
      <c r="G63" s="28"/>
      <c r="H63" s="28"/>
      <c r="I63" s="28"/>
      <c r="J63" s="28"/>
      <c r="K63" s="28"/>
      <c r="L63" s="28"/>
      <c r="M63" s="28"/>
      <c r="N63" s="28"/>
      <c r="O63" s="28"/>
      <c r="P63" s="28"/>
      <c r="Q63" s="28"/>
      <c r="R63" s="28"/>
      <c r="U63" s="287"/>
      <c r="W63" s="48"/>
      <c r="X63" s="48"/>
      <c r="Y63" s="48"/>
      <c r="Z63" s="48"/>
      <c r="AA63" s="48"/>
      <c r="AB63" s="48"/>
      <c r="AC63" s="48"/>
      <c r="AD63" s="48"/>
      <c r="AE63" s="48"/>
      <c r="AF63" s="48"/>
      <c r="AG63" s="48"/>
      <c r="AH63" s="48"/>
      <c r="AI63" s="48"/>
      <c r="AJ63" s="48"/>
      <c r="AK63" s="48"/>
      <c r="AL63" s="48"/>
      <c r="AM63" s="48"/>
      <c r="AN63" s="48"/>
      <c r="AO63" s="48"/>
    </row>
    <row r="64" spans="1:41" ht="15.6">
      <c r="A64" s="290">
        <f>ROW()</f>
        <v>64</v>
      </c>
      <c r="B64" s="1541" t="s">
        <v>1241</v>
      </c>
      <c r="C64" s="12"/>
      <c r="D64" s="12"/>
      <c r="E64" s="27"/>
      <c r="F64" s="28"/>
      <c r="G64" s="28"/>
      <c r="H64" s="28"/>
      <c r="I64" s="28"/>
      <c r="J64" s="28"/>
      <c r="K64" s="28"/>
      <c r="L64" s="28"/>
      <c r="M64" s="28"/>
      <c r="N64" s="28"/>
      <c r="O64" s="28"/>
      <c r="P64" s="28"/>
      <c r="Q64" s="28"/>
      <c r="R64" s="28"/>
      <c r="U64" s="287"/>
      <c r="W64" s="48"/>
      <c r="X64" s="48"/>
      <c r="Y64" s="48"/>
      <c r="Z64" s="48"/>
      <c r="AA64" s="48"/>
      <c r="AB64" s="48"/>
      <c r="AC64" s="48"/>
      <c r="AD64" s="48"/>
      <c r="AE64" s="48"/>
      <c r="AF64" s="48"/>
      <c r="AG64" s="48"/>
      <c r="AH64" s="48"/>
      <c r="AI64" s="48"/>
      <c r="AJ64" s="48"/>
      <c r="AK64" s="48"/>
      <c r="AL64" s="48"/>
      <c r="AM64" s="48"/>
      <c r="AN64" s="48"/>
      <c r="AO64" s="48"/>
    </row>
    <row r="65" spans="1:41">
      <c r="A65" s="290">
        <f>ROW()</f>
        <v>65</v>
      </c>
      <c r="B65" s="1538" t="s">
        <v>389</v>
      </c>
      <c r="C65" s="1538"/>
      <c r="D65" s="1538"/>
      <c r="E65" s="1539"/>
      <c r="F65" s="1540"/>
      <c r="G65" s="1540"/>
      <c r="H65" s="1540"/>
      <c r="I65" s="1540"/>
      <c r="J65" s="1540"/>
      <c r="K65" s="1540"/>
      <c r="L65" s="1540"/>
      <c r="M65" s="1540"/>
      <c r="N65" s="1540"/>
      <c r="O65" s="1540"/>
      <c r="P65" s="1540"/>
      <c r="Q65" s="1540"/>
      <c r="R65" s="1540"/>
      <c r="U65" s="287"/>
      <c r="W65" s="48"/>
      <c r="X65" s="48"/>
      <c r="Y65" s="48"/>
      <c r="Z65" s="48"/>
      <c r="AA65" s="48"/>
      <c r="AB65" s="48"/>
      <c r="AC65" s="48"/>
      <c r="AD65" s="48"/>
      <c r="AE65" s="48"/>
      <c r="AF65" s="48"/>
      <c r="AG65" s="48"/>
      <c r="AH65" s="48"/>
      <c r="AI65" s="48"/>
      <c r="AJ65" s="48"/>
      <c r="AK65" s="48"/>
      <c r="AL65" s="48"/>
      <c r="AM65" s="48"/>
      <c r="AN65" s="48"/>
      <c r="AO65" s="48"/>
    </row>
    <row r="66" spans="1:41">
      <c r="A66" s="290">
        <f>ROW()</f>
        <v>66</v>
      </c>
      <c r="B66" s="30" t="s">
        <v>390</v>
      </c>
      <c r="F66" s="482">
        <v>0</v>
      </c>
      <c r="G66" s="1382">
        <f>+F71</f>
        <v>0</v>
      </c>
      <c r="H66" s="1382">
        <f t="shared" ref="H66:R66" si="29">+G71</f>
        <v>0</v>
      </c>
      <c r="I66" s="1382">
        <f t="shared" si="29"/>
        <v>0</v>
      </c>
      <c r="J66" s="1382">
        <f t="shared" si="29"/>
        <v>0</v>
      </c>
      <c r="K66" s="1382">
        <f t="shared" si="29"/>
        <v>0</v>
      </c>
      <c r="L66" s="1382">
        <f t="shared" si="29"/>
        <v>0</v>
      </c>
      <c r="M66" s="1382">
        <f t="shared" si="29"/>
        <v>0</v>
      </c>
      <c r="N66" s="1382">
        <f t="shared" si="29"/>
        <v>0</v>
      </c>
      <c r="O66" s="1382">
        <f t="shared" si="29"/>
        <v>0</v>
      </c>
      <c r="P66" s="1382">
        <f t="shared" si="29"/>
        <v>0</v>
      </c>
      <c r="Q66" s="1382">
        <f t="shared" si="29"/>
        <v>0</v>
      </c>
      <c r="R66" s="1382">
        <f t="shared" si="29"/>
        <v>0</v>
      </c>
      <c r="U66" s="287"/>
      <c r="W66" s="48"/>
      <c r="X66" s="48"/>
      <c r="Y66" s="48"/>
      <c r="Z66" s="48"/>
      <c r="AA66" s="48"/>
      <c r="AB66" s="48"/>
      <c r="AC66" s="48"/>
      <c r="AD66" s="48"/>
      <c r="AE66" s="48"/>
      <c r="AF66" s="48"/>
      <c r="AG66" s="48"/>
      <c r="AH66" s="48"/>
      <c r="AI66" s="48"/>
      <c r="AJ66" s="48"/>
      <c r="AK66" s="48"/>
      <c r="AL66" s="48"/>
      <c r="AM66" s="48"/>
      <c r="AN66" s="48"/>
      <c r="AO66" s="48"/>
    </row>
    <row r="67" spans="1:41">
      <c r="A67" s="290">
        <f>ROW()</f>
        <v>67</v>
      </c>
      <c r="B67" s="11" t="s">
        <v>391</v>
      </c>
      <c r="C67" s="12"/>
      <c r="D67" s="12"/>
      <c r="E67" s="470">
        <f>SUM(F67:R67)</f>
        <v>0</v>
      </c>
      <c r="F67" s="1000">
        <v>0</v>
      </c>
      <c r="G67" s="1000">
        <f t="shared" ref="G67:R67" si="30">IF(G55&lt;0,-G55,0)</f>
        <v>0</v>
      </c>
      <c r="H67" s="1000">
        <f t="shared" si="30"/>
        <v>0</v>
      </c>
      <c r="I67" s="1000">
        <f t="shared" si="30"/>
        <v>0</v>
      </c>
      <c r="J67" s="1000">
        <f t="shared" si="30"/>
        <v>0</v>
      </c>
      <c r="K67" s="1000">
        <f t="shared" si="30"/>
        <v>0</v>
      </c>
      <c r="L67" s="1000">
        <f t="shared" si="30"/>
        <v>0</v>
      </c>
      <c r="M67" s="1000">
        <f t="shared" si="30"/>
        <v>0</v>
      </c>
      <c r="N67" s="1000">
        <f t="shared" si="30"/>
        <v>0</v>
      </c>
      <c r="O67" s="1000">
        <f t="shared" si="30"/>
        <v>0</v>
      </c>
      <c r="P67" s="1000">
        <f t="shared" si="30"/>
        <v>0</v>
      </c>
      <c r="Q67" s="1000">
        <f t="shared" si="30"/>
        <v>0</v>
      </c>
      <c r="R67" s="1000">
        <f t="shared" si="30"/>
        <v>0</v>
      </c>
      <c r="U67" s="287"/>
      <c r="W67" s="48"/>
      <c r="X67" s="48"/>
      <c r="Y67" s="48"/>
      <c r="Z67" s="48"/>
      <c r="AA67" s="48"/>
      <c r="AB67" s="48"/>
      <c r="AC67" s="48"/>
      <c r="AD67" s="48"/>
      <c r="AE67" s="48"/>
      <c r="AF67" s="48"/>
      <c r="AG67" s="48"/>
      <c r="AH67" s="48"/>
      <c r="AI67" s="48"/>
      <c r="AJ67" s="48"/>
      <c r="AK67" s="48"/>
      <c r="AL67" s="48"/>
      <c r="AM67" s="48"/>
      <c r="AN67" s="48"/>
      <c r="AO67" s="48"/>
    </row>
    <row r="68" spans="1:41">
      <c r="A68" s="290">
        <f>ROW()</f>
        <v>68</v>
      </c>
      <c r="B68" s="11" t="s">
        <v>392</v>
      </c>
      <c r="C68" s="12"/>
      <c r="D68" s="12"/>
      <c r="E68" s="470"/>
      <c r="F68" s="1617">
        <f>SUM(F66:F67)</f>
        <v>0</v>
      </c>
      <c r="G68" s="1617">
        <f>SUM(G66:G67)</f>
        <v>0</v>
      </c>
      <c r="H68" s="1617">
        <f t="shared" ref="H68:R68" si="31">SUM(H66:H67)</f>
        <v>0</v>
      </c>
      <c r="I68" s="1617">
        <f t="shared" si="31"/>
        <v>0</v>
      </c>
      <c r="J68" s="1617">
        <f t="shared" si="31"/>
        <v>0</v>
      </c>
      <c r="K68" s="1617">
        <f t="shared" si="31"/>
        <v>0</v>
      </c>
      <c r="L68" s="1617">
        <f t="shared" si="31"/>
        <v>0</v>
      </c>
      <c r="M68" s="1617">
        <f t="shared" si="31"/>
        <v>0</v>
      </c>
      <c r="N68" s="1617">
        <f t="shared" si="31"/>
        <v>0</v>
      </c>
      <c r="O68" s="1617">
        <f t="shared" si="31"/>
        <v>0</v>
      </c>
      <c r="P68" s="1617">
        <f t="shared" si="31"/>
        <v>0</v>
      </c>
      <c r="Q68" s="1617">
        <f t="shared" ref="Q68" si="32">SUM(Q66:Q67)</f>
        <v>0</v>
      </c>
      <c r="R68" s="1617">
        <f t="shared" si="31"/>
        <v>0</v>
      </c>
      <c r="U68" s="287"/>
      <c r="W68" s="48"/>
      <c r="X68" s="48"/>
      <c r="Y68" s="48"/>
      <c r="Z68" s="48"/>
      <c r="AA68" s="48"/>
      <c r="AB68" s="48"/>
      <c r="AC68" s="48"/>
      <c r="AD68" s="48"/>
      <c r="AE68" s="48"/>
      <c r="AF68" s="48"/>
      <c r="AG68" s="48"/>
      <c r="AH68" s="48"/>
      <c r="AI68" s="48"/>
      <c r="AJ68" s="48"/>
      <c r="AK68" s="48"/>
      <c r="AL68" s="48"/>
      <c r="AM68" s="48"/>
      <c r="AN68" s="48"/>
      <c r="AO68" s="48"/>
    </row>
    <row r="69" spans="1:41">
      <c r="A69" s="290">
        <f>ROW()</f>
        <v>69</v>
      </c>
      <c r="B69" s="11" t="s">
        <v>393</v>
      </c>
      <c r="C69" s="1115">
        <v>0</v>
      </c>
      <c r="D69" s="12"/>
      <c r="E69" s="1383">
        <f>SUM(F69:R69)</f>
        <v>0</v>
      </c>
      <c r="F69" s="459">
        <f>F66*($C$69/12)</f>
        <v>0</v>
      </c>
      <c r="G69" s="459">
        <f>G66*($C$69/12)</f>
        <v>0</v>
      </c>
      <c r="H69" s="459">
        <f t="shared" ref="H69:R69" si="33">H66*($C$69/12)</f>
        <v>0</v>
      </c>
      <c r="I69" s="459">
        <f t="shared" si="33"/>
        <v>0</v>
      </c>
      <c r="J69" s="459">
        <f t="shared" si="33"/>
        <v>0</v>
      </c>
      <c r="K69" s="459">
        <f t="shared" si="33"/>
        <v>0</v>
      </c>
      <c r="L69" s="459">
        <f t="shared" si="33"/>
        <v>0</v>
      </c>
      <c r="M69" s="459">
        <f t="shared" si="33"/>
        <v>0</v>
      </c>
      <c r="N69" s="459">
        <f t="shared" si="33"/>
        <v>0</v>
      </c>
      <c r="O69" s="459">
        <f t="shared" si="33"/>
        <v>0</v>
      </c>
      <c r="P69" s="459">
        <f t="shared" si="33"/>
        <v>0</v>
      </c>
      <c r="Q69" s="459">
        <f t="shared" si="33"/>
        <v>0</v>
      </c>
      <c r="R69" s="459">
        <f t="shared" si="33"/>
        <v>0</v>
      </c>
      <c r="U69" s="287"/>
      <c r="W69" s="48"/>
      <c r="X69" s="48"/>
      <c r="Y69" s="48"/>
      <c r="Z69" s="48"/>
      <c r="AA69" s="48"/>
      <c r="AB69" s="48"/>
      <c r="AC69" s="48"/>
      <c r="AD69" s="48"/>
      <c r="AE69" s="48"/>
      <c r="AF69" s="48"/>
      <c r="AG69" s="48"/>
      <c r="AH69" s="48"/>
      <c r="AI69" s="48"/>
      <c r="AJ69" s="48"/>
      <c r="AK69" s="48"/>
      <c r="AL69" s="48"/>
      <c r="AM69" s="48"/>
      <c r="AN69" s="48"/>
      <c r="AO69" s="48"/>
    </row>
    <row r="70" spans="1:41">
      <c r="A70" s="290">
        <f>ROW()</f>
        <v>70</v>
      </c>
      <c r="B70" s="11" t="s">
        <v>394</v>
      </c>
      <c r="C70" s="12"/>
      <c r="D70" s="12"/>
      <c r="E70" s="470">
        <f>SUM(F70:R70)</f>
        <v>0</v>
      </c>
      <c r="F70" s="1000">
        <f>IF(F54&gt;0,MIN(F54,(F68+F69)),0)</f>
        <v>0</v>
      </c>
      <c r="G70" s="1000">
        <f>IF(G54&gt;0,MIN(G54,(G68+G69)),0)</f>
        <v>0</v>
      </c>
      <c r="H70" s="1000">
        <f t="shared" ref="H70:R70" si="34">IF(H54&gt;0,MIN(H54,(H68+H69)),0)</f>
        <v>0</v>
      </c>
      <c r="I70" s="1000">
        <f t="shared" si="34"/>
        <v>0</v>
      </c>
      <c r="J70" s="1000">
        <f t="shared" si="34"/>
        <v>0</v>
      </c>
      <c r="K70" s="1000">
        <f t="shared" si="34"/>
        <v>0</v>
      </c>
      <c r="L70" s="1000">
        <f t="shared" si="34"/>
        <v>0</v>
      </c>
      <c r="M70" s="1000">
        <f t="shared" si="34"/>
        <v>0</v>
      </c>
      <c r="N70" s="1000">
        <f t="shared" si="34"/>
        <v>0</v>
      </c>
      <c r="O70" s="1000">
        <f>IF(O54&gt;0,MIN(O54,(O68+O69)),0)</f>
        <v>0</v>
      </c>
      <c r="P70" s="1000">
        <f t="shared" si="34"/>
        <v>0</v>
      </c>
      <c r="Q70" s="1000">
        <f t="shared" si="34"/>
        <v>0</v>
      </c>
      <c r="R70" s="1000">
        <f t="shared" si="34"/>
        <v>0</v>
      </c>
      <c r="U70" s="287"/>
      <c r="W70" s="48"/>
      <c r="X70" s="48"/>
      <c r="Y70" s="48"/>
      <c r="Z70" s="48"/>
      <c r="AA70" s="48"/>
      <c r="AB70" s="48"/>
      <c r="AC70" s="48"/>
      <c r="AD70" s="48"/>
      <c r="AE70" s="48"/>
      <c r="AF70" s="48"/>
      <c r="AG70" s="48"/>
      <c r="AH70" s="48"/>
      <c r="AI70" s="48"/>
      <c r="AJ70" s="48"/>
      <c r="AK70" s="48"/>
      <c r="AL70" s="48"/>
      <c r="AM70" s="48"/>
      <c r="AN70" s="48"/>
      <c r="AO70" s="48"/>
    </row>
    <row r="71" spans="1:41">
      <c r="A71" s="290">
        <f>ROW()</f>
        <v>71</v>
      </c>
      <c r="B71" s="12" t="s">
        <v>395</v>
      </c>
      <c r="C71" s="12"/>
      <c r="D71" s="12"/>
      <c r="E71" s="470"/>
      <c r="F71" s="1384">
        <f t="shared" ref="F71:R71" si="35">F68+F69-F70</f>
        <v>0</v>
      </c>
      <c r="G71" s="1384">
        <f t="shared" si="35"/>
        <v>0</v>
      </c>
      <c r="H71" s="1384">
        <f t="shared" si="35"/>
        <v>0</v>
      </c>
      <c r="I71" s="1384">
        <f t="shared" si="35"/>
        <v>0</v>
      </c>
      <c r="J71" s="1384">
        <f t="shared" si="35"/>
        <v>0</v>
      </c>
      <c r="K71" s="1384">
        <f t="shared" si="35"/>
        <v>0</v>
      </c>
      <c r="L71" s="1384">
        <f t="shared" si="35"/>
        <v>0</v>
      </c>
      <c r="M71" s="1384">
        <f>M68+M69-M70</f>
        <v>0</v>
      </c>
      <c r="N71" s="1384">
        <f t="shared" si="35"/>
        <v>0</v>
      </c>
      <c r="O71" s="1384">
        <f t="shared" si="35"/>
        <v>0</v>
      </c>
      <c r="P71" s="1384">
        <f t="shared" si="35"/>
        <v>0</v>
      </c>
      <c r="Q71" s="1384">
        <f t="shared" ref="Q71" si="36">Q68+Q69-Q70</f>
        <v>0</v>
      </c>
      <c r="R71" s="1384">
        <f t="shared" si="35"/>
        <v>0</v>
      </c>
      <c r="U71" s="287"/>
      <c r="W71" s="48"/>
      <c r="X71" s="48"/>
      <c r="Y71" s="48"/>
      <c r="Z71" s="48"/>
      <c r="AA71" s="48"/>
      <c r="AB71" s="48"/>
      <c r="AC71" s="48"/>
      <c r="AD71" s="48"/>
      <c r="AE71" s="48"/>
      <c r="AF71" s="48"/>
      <c r="AG71" s="48"/>
      <c r="AH71" s="48"/>
      <c r="AI71" s="48"/>
      <c r="AJ71" s="48"/>
      <c r="AK71" s="48"/>
      <c r="AL71" s="48"/>
      <c r="AM71" s="48"/>
      <c r="AN71" s="48"/>
      <c r="AO71" s="48"/>
    </row>
    <row r="72" spans="1:41">
      <c r="A72" s="290">
        <f>ROW()</f>
        <v>72</v>
      </c>
      <c r="B72" s="12" t="s">
        <v>396</v>
      </c>
      <c r="C72" s="12"/>
      <c r="D72" s="12"/>
      <c r="E72" s="1385"/>
      <c r="F72" s="1386">
        <f t="shared" ref="F72:N72" si="37">IF(F67=-F54,MAX(0,E72),F54-F70+E72)</f>
        <v>-188955</v>
      </c>
      <c r="G72" s="1632">
        <f t="shared" si="37"/>
        <v>-171695.4375</v>
      </c>
      <c r="H72" s="1632">
        <f t="shared" si="37"/>
        <v>-154435.875</v>
      </c>
      <c r="I72" s="1632">
        <f t="shared" si="37"/>
        <v>-137176.3125</v>
      </c>
      <c r="J72" s="1632">
        <f t="shared" si="37"/>
        <v>-119916.75</v>
      </c>
      <c r="K72" s="1632">
        <f t="shared" si="37"/>
        <v>-102657.1875</v>
      </c>
      <c r="L72" s="1632">
        <f t="shared" si="37"/>
        <v>-85397.625</v>
      </c>
      <c r="M72" s="1632">
        <f t="shared" si="37"/>
        <v>-68138.0625</v>
      </c>
      <c r="N72" s="1632">
        <f t="shared" si="37"/>
        <v>-50878.5</v>
      </c>
      <c r="O72" s="1632">
        <f>IF(O67=-O54,MAX(0,N72),O54-O70+N72)</f>
        <v>-33618.9375</v>
      </c>
      <c r="P72" s="1632">
        <f t="shared" ref="P72:R72" si="38">IF(P67=-P54,MAX(0,O72),P54-P70+O72)</f>
        <v>-16359.375</v>
      </c>
      <c r="Q72" s="1632">
        <f t="shared" si="38"/>
        <v>6900.1875</v>
      </c>
      <c r="R72" s="1632">
        <f t="shared" si="38"/>
        <v>185079.75</v>
      </c>
      <c r="U72" s="1110"/>
      <c r="W72" s="48"/>
      <c r="X72" s="48"/>
      <c r="Y72" s="48"/>
      <c r="Z72" s="48"/>
      <c r="AA72" s="48"/>
      <c r="AB72" s="48"/>
      <c r="AC72" s="48"/>
      <c r="AD72" s="48"/>
      <c r="AE72" s="48"/>
      <c r="AF72" s="48"/>
      <c r="AG72" s="48"/>
      <c r="AH72" s="48"/>
      <c r="AI72" s="48"/>
      <c r="AJ72" s="48"/>
      <c r="AK72" s="48"/>
      <c r="AL72" s="48"/>
      <c r="AM72" s="48"/>
      <c r="AN72" s="48"/>
      <c r="AO72" s="48"/>
    </row>
    <row r="73" spans="1:41">
      <c r="A73" s="290">
        <f>ROW()</f>
        <v>73</v>
      </c>
      <c r="B73" s="11"/>
      <c r="C73" s="11"/>
      <c r="D73" s="11"/>
      <c r="E73" s="1387"/>
      <c r="F73" s="1295"/>
      <c r="G73" s="1295"/>
      <c r="H73" s="1295"/>
      <c r="I73" s="1295"/>
      <c r="J73" s="1295"/>
      <c r="K73" s="1295"/>
      <c r="L73" s="1295"/>
      <c r="M73" s="1295"/>
      <c r="N73" s="1295"/>
      <c r="O73" s="1295"/>
      <c r="P73" s="1295"/>
      <c r="Q73" s="1295"/>
      <c r="R73" s="1295"/>
      <c r="U73" s="287"/>
      <c r="W73" s="48"/>
      <c r="X73" s="48"/>
      <c r="Y73" s="48"/>
      <c r="Z73" s="48"/>
      <c r="AA73" s="48"/>
      <c r="AB73" s="48"/>
      <c r="AC73" s="48"/>
      <c r="AD73" s="48"/>
      <c r="AE73" s="48"/>
      <c r="AF73" s="48"/>
      <c r="AG73" s="48"/>
      <c r="AH73" s="48"/>
      <c r="AI73" s="48"/>
      <c r="AJ73" s="48"/>
      <c r="AK73" s="48"/>
      <c r="AL73" s="48"/>
      <c r="AM73" s="48"/>
      <c r="AN73" s="48"/>
      <c r="AO73" s="48"/>
    </row>
    <row r="74" spans="1:41">
      <c r="A74" s="290">
        <f>ROW()</f>
        <v>74</v>
      </c>
      <c r="B74" s="12" t="s">
        <v>397</v>
      </c>
      <c r="C74" s="12"/>
      <c r="D74" s="12"/>
      <c r="E74" s="12"/>
      <c r="F74" s="1542"/>
      <c r="G74" s="1543">
        <f t="shared" ref="G74:R74" si="39">IFERROR(MAX(G66,G72)/G53,0)</f>
        <v>0</v>
      </c>
      <c r="H74" s="1543">
        <f t="shared" si="39"/>
        <v>0</v>
      </c>
      <c r="I74" s="1543">
        <f t="shared" si="39"/>
        <v>0</v>
      </c>
      <c r="J74" s="1543">
        <f t="shared" si="39"/>
        <v>0</v>
      </c>
      <c r="K74" s="1543">
        <f t="shared" si="39"/>
        <v>0</v>
      </c>
      <c r="L74" s="1543">
        <f t="shared" si="39"/>
        <v>0</v>
      </c>
      <c r="M74" s="1543">
        <f t="shared" si="39"/>
        <v>0</v>
      </c>
      <c r="N74" s="1543">
        <f t="shared" si="39"/>
        <v>0</v>
      </c>
      <c r="O74" s="1543">
        <f t="shared" si="39"/>
        <v>0</v>
      </c>
      <c r="P74" s="1543">
        <f t="shared" si="39"/>
        <v>0</v>
      </c>
      <c r="Q74" s="1543">
        <f t="shared" si="39"/>
        <v>4.4540327265685513E-2</v>
      </c>
      <c r="R74" s="1302">
        <f t="shared" si="39"/>
        <v>0</v>
      </c>
      <c r="U74" s="287"/>
      <c r="W74" s="48"/>
      <c r="X74" s="48"/>
      <c r="Y74" s="48"/>
      <c r="Z74" s="48"/>
      <c r="AA74" s="48"/>
      <c r="AB74" s="48"/>
      <c r="AC74" s="48"/>
      <c r="AD74" s="48"/>
      <c r="AE74" s="48"/>
      <c r="AF74" s="48"/>
      <c r="AG74" s="48"/>
      <c r="AH74" s="48"/>
      <c r="AI74" s="48"/>
      <c r="AJ74" s="48"/>
      <c r="AK74" s="48"/>
      <c r="AL74" s="48"/>
      <c r="AM74" s="48"/>
      <c r="AN74" s="48"/>
      <c r="AO74" s="48"/>
    </row>
    <row r="75" spans="1:41">
      <c r="A75" s="290">
        <f>ROW()</f>
        <v>75</v>
      </c>
      <c r="B75" s="12"/>
      <c r="C75" s="12"/>
      <c r="D75" s="12"/>
      <c r="E75" s="77"/>
      <c r="F75" s="77"/>
      <c r="G75" s="77"/>
      <c r="H75" s="77"/>
      <c r="I75" s="77"/>
      <c r="J75" s="77"/>
      <c r="K75" s="77"/>
      <c r="L75" s="77"/>
      <c r="M75" s="77"/>
      <c r="N75" s="77"/>
      <c r="O75" s="77"/>
      <c r="P75" s="77"/>
      <c r="Q75" s="77"/>
      <c r="R75" s="77"/>
      <c r="U75" s="287"/>
      <c r="W75" s="48"/>
      <c r="X75" s="48"/>
      <c r="Y75" s="48"/>
      <c r="Z75" s="48"/>
      <c r="AA75" s="48"/>
      <c r="AB75" s="48"/>
      <c r="AC75" s="48"/>
      <c r="AD75" s="48"/>
      <c r="AE75" s="48"/>
      <c r="AF75" s="48"/>
      <c r="AG75" s="48"/>
      <c r="AH75" s="48"/>
      <c r="AI75" s="48"/>
      <c r="AJ75" s="48"/>
      <c r="AK75" s="48"/>
      <c r="AL75" s="48"/>
      <c r="AM75" s="48"/>
      <c r="AN75" s="48"/>
      <c r="AO75" s="48"/>
    </row>
    <row r="76" spans="1:41" ht="17.399999999999999">
      <c r="A76" s="290">
        <f>ROW()</f>
        <v>76</v>
      </c>
      <c r="B76" s="1544" t="s">
        <v>398</v>
      </c>
      <c r="C76" s="1544"/>
      <c r="D76" s="1544"/>
      <c r="E76" s="1545"/>
      <c r="F76" s="1545"/>
      <c r="G76" s="1545"/>
      <c r="H76" s="1545"/>
      <c r="I76" s="1545"/>
      <c r="J76" s="1545"/>
      <c r="K76" s="1545"/>
      <c r="L76" s="1545"/>
      <c r="M76" s="1545"/>
      <c r="N76" s="1545"/>
      <c r="O76" s="1545"/>
      <c r="P76" s="1545"/>
      <c r="Q76" s="1545"/>
      <c r="R76" s="1545"/>
      <c r="U76" s="287"/>
      <c r="W76" s="48"/>
      <c r="X76" s="48"/>
      <c r="Y76" s="48"/>
      <c r="Z76" s="48"/>
      <c r="AA76" s="48"/>
      <c r="AB76" s="48"/>
      <c r="AC76" s="48"/>
      <c r="AD76" s="48"/>
      <c r="AE76" s="48"/>
      <c r="AF76" s="48"/>
      <c r="AG76" s="48"/>
      <c r="AH76" s="48"/>
      <c r="AI76" s="48"/>
      <c r="AJ76" s="48"/>
      <c r="AK76" s="48"/>
      <c r="AL76" s="48"/>
      <c r="AM76" s="48"/>
      <c r="AN76" s="48"/>
      <c r="AO76" s="48"/>
    </row>
    <row r="77" spans="1:41">
      <c r="A77" s="290">
        <f>ROW()</f>
        <v>77</v>
      </c>
      <c r="U77" s="287"/>
      <c r="W77" s="48"/>
      <c r="X77" s="48"/>
      <c r="Y77" s="48"/>
      <c r="Z77" s="48"/>
      <c r="AA77" s="48"/>
      <c r="AB77" s="48"/>
      <c r="AC77" s="48"/>
      <c r="AD77" s="48"/>
      <c r="AE77" s="48"/>
      <c r="AF77" s="48"/>
      <c r="AG77" s="48"/>
      <c r="AH77" s="48"/>
      <c r="AI77" s="48"/>
      <c r="AJ77" s="48"/>
      <c r="AK77" s="48"/>
      <c r="AL77" s="48"/>
      <c r="AM77" s="48"/>
      <c r="AN77" s="48"/>
      <c r="AO77" s="48"/>
    </row>
    <row r="78" spans="1:41">
      <c r="A78" s="290">
        <f>ROW()</f>
        <v>78</v>
      </c>
      <c r="B78" s="1538" t="s">
        <v>362</v>
      </c>
      <c r="C78" s="1538"/>
      <c r="D78" s="1538"/>
      <c r="E78" s="1546"/>
      <c r="F78" s="1547"/>
      <c r="G78" s="1547"/>
      <c r="H78" s="1547"/>
      <c r="I78" s="1547"/>
      <c r="J78" s="1547"/>
      <c r="K78" s="1547"/>
      <c r="L78" s="1547"/>
      <c r="M78" s="1547"/>
      <c r="N78" s="1547"/>
      <c r="O78" s="1547"/>
      <c r="P78" s="1547"/>
      <c r="Q78" s="1547"/>
      <c r="R78" s="1547"/>
      <c r="U78" s="287"/>
      <c r="W78" s="48"/>
      <c r="X78" s="48"/>
      <c r="Y78" s="48"/>
      <c r="Z78" s="48"/>
      <c r="AA78" s="48"/>
      <c r="AB78" s="48"/>
      <c r="AC78" s="48"/>
      <c r="AD78" s="48"/>
      <c r="AE78" s="48"/>
      <c r="AF78" s="48"/>
      <c r="AG78" s="48"/>
      <c r="AH78" s="48"/>
      <c r="AI78" s="48"/>
      <c r="AJ78" s="48"/>
      <c r="AK78" s="48"/>
      <c r="AL78" s="48"/>
      <c r="AM78" s="48"/>
      <c r="AN78" s="48"/>
      <c r="AO78" s="48"/>
    </row>
    <row r="79" spans="1:41">
      <c r="A79" s="290">
        <f>ROW()</f>
        <v>79</v>
      </c>
      <c r="B79" s="11" t="s">
        <v>363</v>
      </c>
      <c r="C79" s="11"/>
      <c r="D79" s="11"/>
      <c r="E79" s="1618">
        <f t="shared" ref="E79:R79" si="40">IF(OR(E19=0,E$36=0),0,E19/E$36)</f>
        <v>0.88878225497680319</v>
      </c>
      <c r="F79" s="1618">
        <f t="shared" si="40"/>
        <v>0</v>
      </c>
      <c r="G79" s="1618">
        <f t="shared" si="40"/>
        <v>0.95985987912979032</v>
      </c>
      <c r="H79" s="1618">
        <f t="shared" si="40"/>
        <v>0.95985987912979032</v>
      </c>
      <c r="I79" s="1618">
        <f t="shared" si="40"/>
        <v>0.95985987912979032</v>
      </c>
      <c r="J79" s="1618">
        <f t="shared" si="40"/>
        <v>0.95985987912979032</v>
      </c>
      <c r="K79" s="1618">
        <f t="shared" si="40"/>
        <v>0.95985987912979032</v>
      </c>
      <c r="L79" s="1618">
        <f t="shared" si="40"/>
        <v>0.95985987912979032</v>
      </c>
      <c r="M79" s="1618">
        <f t="shared" si="40"/>
        <v>0.95985987912979032</v>
      </c>
      <c r="N79" s="1618">
        <f t="shared" si="40"/>
        <v>0.95985987912979032</v>
      </c>
      <c r="O79" s="1618">
        <f t="shared" si="40"/>
        <v>0.95985987912979032</v>
      </c>
      <c r="P79" s="1618">
        <f t="shared" si="40"/>
        <v>0.95985987912979032</v>
      </c>
      <c r="Q79" s="1618">
        <f t="shared" si="40"/>
        <v>1.0126582278481013</v>
      </c>
      <c r="R79" s="1618">
        <f t="shared" si="40"/>
        <v>1.0126582278481013</v>
      </c>
      <c r="U79" s="287"/>
      <c r="W79" s="48"/>
      <c r="X79" s="48"/>
      <c r="Y79" s="48"/>
      <c r="Z79" s="48"/>
      <c r="AA79" s="48"/>
      <c r="AB79" s="48"/>
      <c r="AC79" s="48"/>
      <c r="AD79" s="48"/>
      <c r="AE79" s="48"/>
      <c r="AF79" s="48"/>
      <c r="AG79" s="48"/>
      <c r="AH79" s="48"/>
      <c r="AI79" s="48"/>
      <c r="AJ79" s="48"/>
      <c r="AK79" s="48"/>
      <c r="AL79" s="48"/>
      <c r="AM79" s="48"/>
      <c r="AN79" s="48"/>
      <c r="AO79" s="48"/>
    </row>
    <row r="80" spans="1:41">
      <c r="A80" s="290">
        <f>ROW()</f>
        <v>80</v>
      </c>
      <c r="B80" s="11" t="str">
        <f>+B20</f>
        <v>CS Sponsorship Fee @ 0.0125</v>
      </c>
      <c r="C80" s="11"/>
      <c r="D80" s="11"/>
      <c r="E80" s="1618">
        <f t="shared" ref="E80:R80" si="41">IF(OR(E20=0,E$36=0),0,E20/E$36)</f>
        <v>-1.110977818721004E-2</v>
      </c>
      <c r="F80" s="1618">
        <f t="shared" si="41"/>
        <v>0</v>
      </c>
      <c r="G80" s="1618">
        <f t="shared" si="41"/>
        <v>-1.1998248489122379E-2</v>
      </c>
      <c r="H80" s="1618">
        <f t="shared" si="41"/>
        <v>-1.1998248489122379E-2</v>
      </c>
      <c r="I80" s="1618">
        <f t="shared" si="41"/>
        <v>-1.1998248489122379E-2</v>
      </c>
      <c r="J80" s="1618">
        <f t="shared" si="41"/>
        <v>-1.1998248489122379E-2</v>
      </c>
      <c r="K80" s="1618">
        <f t="shared" si="41"/>
        <v>-1.1998248489122379E-2</v>
      </c>
      <c r="L80" s="1618">
        <f t="shared" si="41"/>
        <v>-1.1998248489122379E-2</v>
      </c>
      <c r="M80" s="1618">
        <f t="shared" si="41"/>
        <v>-1.1998248489122379E-2</v>
      </c>
      <c r="N80" s="1618">
        <f t="shared" si="41"/>
        <v>-1.1998248489122379E-2</v>
      </c>
      <c r="O80" s="1618">
        <f t="shared" si="41"/>
        <v>-1.1998248489122379E-2</v>
      </c>
      <c r="P80" s="1618">
        <f t="shared" si="41"/>
        <v>-1.1998248489122379E-2</v>
      </c>
      <c r="Q80" s="1618">
        <f t="shared" si="41"/>
        <v>-1.2658227848101266E-2</v>
      </c>
      <c r="R80" s="1618">
        <f t="shared" si="41"/>
        <v>-1.2658227848101266E-2</v>
      </c>
      <c r="U80" s="287"/>
      <c r="W80" s="48"/>
      <c r="X80" s="48"/>
      <c r="Y80" s="48"/>
      <c r="Z80" s="48"/>
      <c r="AA80" s="48"/>
      <c r="AB80" s="48"/>
      <c r="AC80" s="48"/>
      <c r="AD80" s="48"/>
      <c r="AE80" s="48"/>
      <c r="AF80" s="48"/>
      <c r="AG80" s="48"/>
      <c r="AH80" s="48"/>
      <c r="AI80" s="48"/>
      <c r="AJ80" s="48"/>
      <c r="AK80" s="48"/>
      <c r="AL80" s="48"/>
      <c r="AM80" s="48"/>
      <c r="AN80" s="48"/>
      <c r="AO80" s="48"/>
    </row>
    <row r="81" spans="1:41">
      <c r="A81" s="290">
        <f>ROW()</f>
        <v>81</v>
      </c>
      <c r="B81" s="11" t="s">
        <v>83</v>
      </c>
      <c r="C81" s="11"/>
      <c r="D81" s="11"/>
      <c r="E81" s="1618">
        <f t="shared" ref="E81:R81" si="42">IF(OR(E21=0,E$36=0),0,E21/E$36)</f>
        <v>0</v>
      </c>
      <c r="F81" s="1618">
        <f t="shared" si="42"/>
        <v>0</v>
      </c>
      <c r="G81" s="1618">
        <f t="shared" si="42"/>
        <v>0</v>
      </c>
      <c r="H81" s="1618">
        <f t="shared" si="42"/>
        <v>0</v>
      </c>
      <c r="I81" s="1618">
        <f t="shared" si="42"/>
        <v>0</v>
      </c>
      <c r="J81" s="1618">
        <f t="shared" si="42"/>
        <v>0</v>
      </c>
      <c r="K81" s="1618">
        <f t="shared" si="42"/>
        <v>0</v>
      </c>
      <c r="L81" s="1618">
        <f t="shared" si="42"/>
        <v>0</v>
      </c>
      <c r="M81" s="1618">
        <f t="shared" si="42"/>
        <v>0</v>
      </c>
      <c r="N81" s="1618">
        <f t="shared" si="42"/>
        <v>0</v>
      </c>
      <c r="O81" s="1618">
        <f t="shared" si="42"/>
        <v>0</v>
      </c>
      <c r="P81" s="1618">
        <f t="shared" si="42"/>
        <v>0</v>
      </c>
      <c r="Q81" s="1618">
        <f t="shared" si="42"/>
        <v>0</v>
      </c>
      <c r="R81" s="1618">
        <f t="shared" si="42"/>
        <v>0</v>
      </c>
      <c r="U81" s="287"/>
      <c r="W81" s="48"/>
      <c r="X81" s="48"/>
      <c r="Y81" s="48"/>
      <c r="Z81" s="48"/>
      <c r="AA81" s="48"/>
      <c r="AB81" s="48"/>
      <c r="AC81" s="48"/>
      <c r="AD81" s="48"/>
      <c r="AE81" s="48"/>
      <c r="AF81" s="48"/>
      <c r="AG81" s="48"/>
      <c r="AH81" s="48"/>
      <c r="AI81" s="48"/>
      <c r="AJ81" s="48"/>
      <c r="AK81" s="48"/>
      <c r="AL81" s="48"/>
      <c r="AM81" s="48"/>
      <c r="AN81" s="48"/>
      <c r="AO81" s="48"/>
    </row>
    <row r="82" spans="1:41">
      <c r="A82" s="290">
        <f>ROW()</f>
        <v>82</v>
      </c>
      <c r="B82" s="11" t="s">
        <v>84</v>
      </c>
      <c r="C82" s="11"/>
      <c r="D82" s="11"/>
      <c r="E82" s="1618">
        <f t="shared" ref="E82:R82" si="43">IF(OR(E22=0,E$36=0),0,E22/E$36)</f>
        <v>0</v>
      </c>
      <c r="F82" s="1618">
        <f t="shared" si="43"/>
        <v>0</v>
      </c>
      <c r="G82" s="1618">
        <f t="shared" si="43"/>
        <v>0</v>
      </c>
      <c r="H82" s="1618">
        <f t="shared" si="43"/>
        <v>0</v>
      </c>
      <c r="I82" s="1618">
        <f t="shared" si="43"/>
        <v>0</v>
      </c>
      <c r="J82" s="1618">
        <f t="shared" si="43"/>
        <v>0</v>
      </c>
      <c r="K82" s="1618">
        <f t="shared" si="43"/>
        <v>0</v>
      </c>
      <c r="L82" s="1618">
        <f t="shared" si="43"/>
        <v>0</v>
      </c>
      <c r="M82" s="1618">
        <f t="shared" si="43"/>
        <v>0</v>
      </c>
      <c r="N82" s="1618">
        <f t="shared" si="43"/>
        <v>0</v>
      </c>
      <c r="O82" s="1618">
        <f t="shared" si="43"/>
        <v>0</v>
      </c>
      <c r="P82" s="1618">
        <f t="shared" si="43"/>
        <v>0</v>
      </c>
      <c r="Q82" s="1618">
        <f t="shared" si="43"/>
        <v>0</v>
      </c>
      <c r="R82" s="1618">
        <f t="shared" si="43"/>
        <v>0</v>
      </c>
      <c r="U82" s="287"/>
      <c r="W82" s="48"/>
      <c r="X82" s="48"/>
      <c r="Y82" s="48"/>
      <c r="Z82" s="48"/>
      <c r="AA82" s="48"/>
      <c r="AB82" s="48"/>
      <c r="AC82" s="48"/>
      <c r="AD82" s="48"/>
      <c r="AE82" s="48"/>
      <c r="AF82" s="48"/>
      <c r="AG82" s="48"/>
      <c r="AH82" s="48"/>
      <c r="AI82" s="48"/>
      <c r="AJ82" s="48"/>
      <c r="AK82" s="48"/>
      <c r="AL82" s="48"/>
      <c r="AM82" s="48"/>
      <c r="AN82" s="48"/>
      <c r="AO82" s="48"/>
    </row>
    <row r="83" spans="1:41">
      <c r="A83" s="290">
        <f>ROW()</f>
        <v>83</v>
      </c>
      <c r="B83" s="11" t="s">
        <v>85</v>
      </c>
      <c r="C83" s="11"/>
      <c r="D83" s="11"/>
      <c r="E83" s="1618">
        <f t="shared" ref="E83:R83" si="44">IF(OR(E24=0,E$36=0),0,E24/E$36)</f>
        <v>0</v>
      </c>
      <c r="F83" s="1618">
        <f t="shared" si="44"/>
        <v>0</v>
      </c>
      <c r="G83" s="1618">
        <f t="shared" si="44"/>
        <v>0</v>
      </c>
      <c r="H83" s="1618">
        <f t="shared" si="44"/>
        <v>0</v>
      </c>
      <c r="I83" s="1618">
        <f t="shared" si="44"/>
        <v>0</v>
      </c>
      <c r="J83" s="1618">
        <f t="shared" si="44"/>
        <v>0</v>
      </c>
      <c r="K83" s="1618">
        <f t="shared" si="44"/>
        <v>0</v>
      </c>
      <c r="L83" s="1618">
        <f t="shared" si="44"/>
        <v>0</v>
      </c>
      <c r="M83" s="1618">
        <f t="shared" si="44"/>
        <v>0</v>
      </c>
      <c r="N83" s="1618">
        <f t="shared" si="44"/>
        <v>0</v>
      </c>
      <c r="O83" s="1618">
        <f t="shared" si="44"/>
        <v>0</v>
      </c>
      <c r="P83" s="1618">
        <f t="shared" si="44"/>
        <v>0</v>
      </c>
      <c r="Q83" s="1618">
        <f t="shared" si="44"/>
        <v>0</v>
      </c>
      <c r="R83" s="1618">
        <f t="shared" si="44"/>
        <v>0</v>
      </c>
      <c r="U83" s="287"/>
      <c r="W83" s="48"/>
      <c r="X83" s="48"/>
      <c r="Y83" s="48"/>
      <c r="Z83" s="48"/>
      <c r="AA83" s="48"/>
      <c r="AB83" s="48"/>
      <c r="AC83" s="48"/>
      <c r="AD83" s="48"/>
      <c r="AE83" s="48"/>
      <c r="AF83" s="48"/>
      <c r="AG83" s="48"/>
      <c r="AH83" s="48"/>
      <c r="AI83" s="48"/>
      <c r="AJ83" s="48"/>
      <c r="AK83" s="48"/>
      <c r="AL83" s="48"/>
      <c r="AM83" s="48"/>
      <c r="AN83" s="48"/>
      <c r="AO83" s="48"/>
    </row>
    <row r="84" spans="1:41">
      <c r="A84" s="290">
        <f>ROW()</f>
        <v>84</v>
      </c>
      <c r="B84" s="11" t="s">
        <v>87</v>
      </c>
      <c r="C84" s="11"/>
      <c r="D84" s="11"/>
      <c r="E84" s="1618">
        <f t="shared" ref="E84:R84" si="45">IF(OR(E25=0,E$36=0),0,E25/E$36)</f>
        <v>1.5294532112411528E-2</v>
      </c>
      <c r="F84" s="1619">
        <f t="shared" si="45"/>
        <v>0</v>
      </c>
      <c r="G84" s="1618">
        <f t="shared" si="45"/>
        <v>1.9821198268836972E-2</v>
      </c>
      <c r="H84" s="1618">
        <f t="shared" si="45"/>
        <v>1.9821198268836972E-2</v>
      </c>
      <c r="I84" s="1618">
        <f t="shared" si="45"/>
        <v>1.9821198268836972E-2</v>
      </c>
      <c r="J84" s="1619">
        <f t="shared" si="45"/>
        <v>1.9821198268836972E-2</v>
      </c>
      <c r="K84" s="1618">
        <f t="shared" si="45"/>
        <v>1.9821198268836972E-2</v>
      </c>
      <c r="L84" s="1618">
        <f t="shared" si="45"/>
        <v>1.9821198268836972E-2</v>
      </c>
      <c r="M84" s="1618">
        <f t="shared" si="45"/>
        <v>1.9821198268836972E-2</v>
      </c>
      <c r="N84" s="1619">
        <f t="shared" si="45"/>
        <v>1.9821198268836972E-2</v>
      </c>
      <c r="O84" s="1618">
        <f t="shared" si="45"/>
        <v>1.9821198268836972E-2</v>
      </c>
      <c r="P84" s="1618">
        <f t="shared" si="45"/>
        <v>1.9821198268836972E-2</v>
      </c>
      <c r="Q84" s="1618">
        <f t="shared" si="45"/>
        <v>0</v>
      </c>
      <c r="R84" s="1618">
        <f t="shared" si="45"/>
        <v>0</v>
      </c>
      <c r="U84" s="287"/>
      <c r="W84" s="48"/>
      <c r="X84" s="48"/>
      <c r="Y84" s="48"/>
      <c r="Z84" s="48"/>
      <c r="AA84" s="48"/>
      <c r="AB84" s="48"/>
      <c r="AC84" s="48"/>
      <c r="AD84" s="48"/>
      <c r="AE84" s="48"/>
      <c r="AF84" s="48"/>
      <c r="AG84" s="48"/>
      <c r="AH84" s="48"/>
      <c r="AI84" s="48"/>
      <c r="AJ84" s="48"/>
      <c r="AK84" s="48"/>
      <c r="AL84" s="48"/>
      <c r="AM84" s="48"/>
      <c r="AN84" s="48"/>
      <c r="AO84" s="48"/>
    </row>
    <row r="85" spans="1:41">
      <c r="A85" s="290">
        <f>ROW()</f>
        <v>85</v>
      </c>
      <c r="B85" s="11" t="s">
        <v>88</v>
      </c>
      <c r="C85" s="11"/>
      <c r="D85" s="11"/>
      <c r="E85" s="1618">
        <f t="shared" ref="E85:R85" si="46">IF(OR(E26=0,E$36=0),0,E26/E$36)</f>
        <v>2.4936737139801404E-2</v>
      </c>
      <c r="F85" s="1619">
        <f t="shared" si="46"/>
        <v>0</v>
      </c>
      <c r="G85" s="1618">
        <f t="shared" si="46"/>
        <v>3.2317171090495062E-2</v>
      </c>
      <c r="H85" s="1618">
        <f t="shared" si="46"/>
        <v>3.2317171090495062E-2</v>
      </c>
      <c r="I85" s="1618">
        <f t="shared" si="46"/>
        <v>3.2317171090495062E-2</v>
      </c>
      <c r="J85" s="1619">
        <f t="shared" si="46"/>
        <v>3.2317171090495062E-2</v>
      </c>
      <c r="K85" s="1618">
        <f t="shared" si="46"/>
        <v>3.2317171090495062E-2</v>
      </c>
      <c r="L85" s="1618">
        <f t="shared" si="46"/>
        <v>3.2317171090495062E-2</v>
      </c>
      <c r="M85" s="1618">
        <f t="shared" si="46"/>
        <v>3.2317171090495062E-2</v>
      </c>
      <c r="N85" s="1618">
        <f t="shared" si="46"/>
        <v>3.2317171090495062E-2</v>
      </c>
      <c r="O85" s="1618">
        <f t="shared" si="46"/>
        <v>3.2317171090495062E-2</v>
      </c>
      <c r="P85" s="1618">
        <f t="shared" si="46"/>
        <v>3.2317171090495062E-2</v>
      </c>
      <c r="Q85" s="1618">
        <f t="shared" si="46"/>
        <v>0</v>
      </c>
      <c r="R85" s="1618">
        <f t="shared" si="46"/>
        <v>0</v>
      </c>
      <c r="U85" s="287"/>
      <c r="W85" s="48"/>
      <c r="X85" s="48"/>
      <c r="Y85" s="48"/>
      <c r="Z85" s="48"/>
      <c r="AA85" s="48"/>
      <c r="AB85" s="48"/>
      <c r="AC85" s="48"/>
      <c r="AD85" s="48"/>
      <c r="AE85" s="48"/>
      <c r="AF85" s="48"/>
      <c r="AG85" s="48"/>
      <c r="AH85" s="48"/>
      <c r="AI85" s="48"/>
      <c r="AJ85" s="48"/>
      <c r="AK85" s="48"/>
      <c r="AL85" s="48"/>
      <c r="AM85" s="48"/>
      <c r="AN85" s="48"/>
      <c r="AO85" s="48"/>
    </row>
    <row r="86" spans="1:41">
      <c r="A86" s="290">
        <f>ROW()</f>
        <v>86</v>
      </c>
      <c r="B86" s="11" t="s">
        <v>89</v>
      </c>
      <c r="C86" s="11"/>
      <c r="D86" s="11"/>
      <c r="E86" s="1618">
        <f t="shared" ref="E86:R86" si="47">IF(OR(E27=0,E$36=0),0,E27/E$36)</f>
        <v>0</v>
      </c>
      <c r="F86" s="1619">
        <f t="shared" si="47"/>
        <v>0</v>
      </c>
      <c r="G86" s="1618">
        <f t="shared" si="47"/>
        <v>0</v>
      </c>
      <c r="H86" s="1618">
        <f t="shared" si="47"/>
        <v>0</v>
      </c>
      <c r="I86" s="1618">
        <f t="shared" si="47"/>
        <v>0</v>
      </c>
      <c r="J86" s="1619">
        <f t="shared" si="47"/>
        <v>0</v>
      </c>
      <c r="K86" s="1618">
        <f t="shared" si="47"/>
        <v>0</v>
      </c>
      <c r="L86" s="1618">
        <f t="shared" si="47"/>
        <v>0</v>
      </c>
      <c r="M86" s="1618">
        <f t="shared" si="47"/>
        <v>0</v>
      </c>
      <c r="N86" s="1619">
        <f t="shared" si="47"/>
        <v>0</v>
      </c>
      <c r="O86" s="1618">
        <f t="shared" si="47"/>
        <v>0</v>
      </c>
      <c r="P86" s="1618">
        <f t="shared" si="47"/>
        <v>0</v>
      </c>
      <c r="Q86" s="1618">
        <f t="shared" si="47"/>
        <v>0</v>
      </c>
      <c r="R86" s="1618">
        <f t="shared" si="47"/>
        <v>0</v>
      </c>
      <c r="U86" s="287"/>
      <c r="W86" s="48"/>
      <c r="X86" s="48"/>
      <c r="Y86" s="48"/>
      <c r="Z86" s="48"/>
      <c r="AA86" s="48"/>
      <c r="AB86" s="48"/>
      <c r="AC86" s="48"/>
      <c r="AD86" s="48"/>
      <c r="AE86" s="48"/>
      <c r="AF86" s="48"/>
      <c r="AG86" s="48"/>
      <c r="AH86" s="48"/>
      <c r="AI86" s="48"/>
      <c r="AJ86" s="48"/>
      <c r="AK86" s="48"/>
      <c r="AL86" s="48"/>
      <c r="AM86" s="48"/>
      <c r="AN86" s="48"/>
      <c r="AO86" s="48"/>
    </row>
    <row r="87" spans="1:41">
      <c r="A87" s="290">
        <f>ROW()</f>
        <v>87</v>
      </c>
      <c r="B87" s="11" t="s">
        <v>310</v>
      </c>
      <c r="C87" s="11"/>
      <c r="D87" s="11"/>
      <c r="E87" s="1618">
        <f t="shared" ref="E87:R87" si="48">IF(OR(E28=0,E$36=0),0,E28/E$36)</f>
        <v>0</v>
      </c>
      <c r="F87" s="1619">
        <f t="shared" si="48"/>
        <v>0</v>
      </c>
      <c r="G87" s="1618">
        <f t="shared" si="48"/>
        <v>0</v>
      </c>
      <c r="H87" s="1618">
        <f t="shared" si="48"/>
        <v>0</v>
      </c>
      <c r="I87" s="1618">
        <f t="shared" si="48"/>
        <v>0</v>
      </c>
      <c r="J87" s="1619">
        <f t="shared" si="48"/>
        <v>0</v>
      </c>
      <c r="K87" s="1618">
        <f t="shared" si="48"/>
        <v>0</v>
      </c>
      <c r="L87" s="1618">
        <f t="shared" si="48"/>
        <v>0</v>
      </c>
      <c r="M87" s="1618">
        <f t="shared" si="48"/>
        <v>0</v>
      </c>
      <c r="N87" s="1619">
        <f t="shared" si="48"/>
        <v>0</v>
      </c>
      <c r="O87" s="1618">
        <f t="shared" si="48"/>
        <v>0</v>
      </c>
      <c r="P87" s="1618">
        <f t="shared" si="48"/>
        <v>0</v>
      </c>
      <c r="Q87" s="1618">
        <f t="shared" si="48"/>
        <v>0</v>
      </c>
      <c r="R87" s="1618">
        <f t="shared" si="48"/>
        <v>0</v>
      </c>
      <c r="U87" s="287"/>
      <c r="W87" s="48"/>
      <c r="X87" s="48"/>
      <c r="Y87" s="48"/>
      <c r="Z87" s="48"/>
      <c r="AA87" s="48"/>
      <c r="AB87" s="48"/>
      <c r="AC87" s="48"/>
      <c r="AD87" s="48"/>
      <c r="AE87" s="48"/>
      <c r="AF87" s="48"/>
      <c r="AG87" s="48"/>
      <c r="AH87" s="48"/>
      <c r="AI87" s="48"/>
      <c r="AJ87" s="48"/>
      <c r="AK87" s="48"/>
      <c r="AL87" s="48"/>
      <c r="AM87" s="48"/>
      <c r="AN87" s="48"/>
      <c r="AO87" s="48"/>
    </row>
    <row r="88" spans="1:41">
      <c r="A88" s="290">
        <f>ROW()</f>
        <v>88</v>
      </c>
      <c r="B88" s="11" t="s">
        <v>366</v>
      </c>
      <c r="C88" s="11"/>
      <c r="D88" s="11"/>
      <c r="E88" s="1618">
        <f t="shared" ref="E88:R88" si="49">IF(OR(E29=0,E$36=0),0,E29/E$36)</f>
        <v>4.1048126979096961E-2</v>
      </c>
      <c r="F88" s="1619">
        <f t="shared" si="49"/>
        <v>0.5</v>
      </c>
      <c r="G88" s="1618">
        <f t="shared" si="49"/>
        <v>0</v>
      </c>
      <c r="H88" s="1618">
        <f t="shared" si="49"/>
        <v>0</v>
      </c>
      <c r="I88" s="1618">
        <f t="shared" si="49"/>
        <v>0</v>
      </c>
      <c r="J88" s="1619">
        <f t="shared" si="49"/>
        <v>0</v>
      </c>
      <c r="K88" s="1618">
        <f t="shared" si="49"/>
        <v>0</v>
      </c>
      <c r="L88" s="1618">
        <f t="shared" si="49"/>
        <v>0</v>
      </c>
      <c r="M88" s="1618">
        <f t="shared" si="49"/>
        <v>0</v>
      </c>
      <c r="N88" s="1619">
        <f t="shared" si="49"/>
        <v>0</v>
      </c>
      <c r="O88" s="1618">
        <f t="shared" si="49"/>
        <v>0</v>
      </c>
      <c r="P88" s="1618">
        <f t="shared" si="49"/>
        <v>0</v>
      </c>
      <c r="Q88" s="1618">
        <f t="shared" si="49"/>
        <v>0</v>
      </c>
      <c r="R88" s="1618">
        <f t="shared" si="49"/>
        <v>0</v>
      </c>
      <c r="U88" s="287"/>
      <c r="W88" s="48"/>
      <c r="X88" s="48"/>
      <c r="Y88" s="48"/>
      <c r="Z88" s="48"/>
      <c r="AA88" s="48"/>
      <c r="AB88" s="48"/>
      <c r="AC88" s="48"/>
      <c r="AD88" s="48"/>
      <c r="AE88" s="48"/>
      <c r="AF88" s="48"/>
      <c r="AG88" s="48"/>
      <c r="AH88" s="48"/>
      <c r="AI88" s="48"/>
      <c r="AJ88" s="48"/>
      <c r="AK88" s="48"/>
      <c r="AL88" s="48"/>
      <c r="AM88" s="48"/>
      <c r="AN88" s="48"/>
      <c r="AO88" s="48"/>
    </row>
    <row r="89" spans="1:41">
      <c r="A89" s="290">
        <f>ROW()</f>
        <v>89</v>
      </c>
      <c r="B89" s="11" t="s">
        <v>367</v>
      </c>
      <c r="C89" s="11"/>
      <c r="D89" s="11"/>
      <c r="E89" s="1618">
        <f t="shared" ref="E89:R89" si="50">IF(OR(E30=0,E$36=0),0,E30/E$36)</f>
        <v>0</v>
      </c>
      <c r="F89" s="1619">
        <f t="shared" si="50"/>
        <v>0</v>
      </c>
      <c r="G89" s="1618">
        <f t="shared" si="50"/>
        <v>0</v>
      </c>
      <c r="H89" s="1618">
        <f t="shared" si="50"/>
        <v>0</v>
      </c>
      <c r="I89" s="1618">
        <f t="shared" si="50"/>
        <v>0</v>
      </c>
      <c r="J89" s="1619">
        <f t="shared" si="50"/>
        <v>0</v>
      </c>
      <c r="K89" s="1618">
        <f t="shared" si="50"/>
        <v>0</v>
      </c>
      <c r="L89" s="1618">
        <f t="shared" si="50"/>
        <v>0</v>
      </c>
      <c r="M89" s="1618">
        <f t="shared" si="50"/>
        <v>0</v>
      </c>
      <c r="N89" s="1619">
        <f t="shared" si="50"/>
        <v>0</v>
      </c>
      <c r="O89" s="1618">
        <f t="shared" si="50"/>
        <v>0</v>
      </c>
      <c r="P89" s="1618">
        <f t="shared" si="50"/>
        <v>0</v>
      </c>
      <c r="Q89" s="1618">
        <f t="shared" si="50"/>
        <v>0</v>
      </c>
      <c r="R89" s="1618">
        <f t="shared" si="50"/>
        <v>0</v>
      </c>
      <c r="U89" s="287"/>
      <c r="W89" s="48"/>
      <c r="X89" s="48"/>
      <c r="Y89" s="48"/>
      <c r="Z89" s="48"/>
      <c r="AA89" s="48"/>
      <c r="AB89" s="48"/>
      <c r="AC89" s="48"/>
      <c r="AD89" s="48"/>
      <c r="AE89" s="48"/>
      <c r="AF89" s="48"/>
      <c r="AG89" s="48"/>
      <c r="AH89" s="48"/>
      <c r="AI89" s="48"/>
      <c r="AJ89" s="48"/>
      <c r="AK89" s="48"/>
      <c r="AL89" s="48"/>
      <c r="AM89" s="48"/>
      <c r="AN89" s="48"/>
      <c r="AO89" s="48"/>
    </row>
    <row r="90" spans="1:41">
      <c r="A90" s="290">
        <f>ROW()</f>
        <v>90</v>
      </c>
      <c r="B90" s="11" t="s">
        <v>98</v>
      </c>
      <c r="C90" s="11"/>
      <c r="D90" s="11"/>
      <c r="E90" s="1618">
        <f t="shared" ref="E90:R90" si="51">IF(OR(E31=0,E$36=0),0,E31/E$36)</f>
        <v>4.1048126979096961E-2</v>
      </c>
      <c r="F90" s="1619">
        <f t="shared" si="51"/>
        <v>0.5</v>
      </c>
      <c r="G90" s="1618">
        <f t="shared" si="51"/>
        <v>0</v>
      </c>
      <c r="H90" s="1618">
        <f t="shared" si="51"/>
        <v>0</v>
      </c>
      <c r="I90" s="1618">
        <f t="shared" si="51"/>
        <v>0</v>
      </c>
      <c r="J90" s="1619">
        <f t="shared" si="51"/>
        <v>0</v>
      </c>
      <c r="K90" s="1618">
        <f t="shared" si="51"/>
        <v>0</v>
      </c>
      <c r="L90" s="1618">
        <f t="shared" si="51"/>
        <v>0</v>
      </c>
      <c r="M90" s="1618">
        <f t="shared" si="51"/>
        <v>0</v>
      </c>
      <c r="N90" s="1619">
        <f t="shared" si="51"/>
        <v>0</v>
      </c>
      <c r="O90" s="1618">
        <f t="shared" si="51"/>
        <v>0</v>
      </c>
      <c r="P90" s="1618">
        <f t="shared" si="51"/>
        <v>0</v>
      </c>
      <c r="Q90" s="1618">
        <f t="shared" si="51"/>
        <v>0</v>
      </c>
      <c r="R90" s="1618">
        <f t="shared" si="51"/>
        <v>0</v>
      </c>
      <c r="U90" s="287"/>
      <c r="W90" s="48"/>
      <c r="X90" s="48"/>
      <c r="Y90" s="48"/>
      <c r="Z90" s="48"/>
      <c r="AA90" s="48"/>
      <c r="AB90" s="48"/>
      <c r="AC90" s="48"/>
      <c r="AD90" s="48"/>
      <c r="AE90" s="48"/>
      <c r="AF90" s="48"/>
      <c r="AG90" s="48"/>
      <c r="AH90" s="48"/>
      <c r="AI90" s="48"/>
      <c r="AJ90" s="48"/>
      <c r="AK90" s="48"/>
      <c r="AL90" s="48"/>
      <c r="AM90" s="48"/>
      <c r="AN90" s="48"/>
      <c r="AO90" s="48"/>
    </row>
    <row r="91" spans="1:41">
      <c r="A91" s="290">
        <f>ROW()</f>
        <v>91</v>
      </c>
      <c r="B91" s="11" t="s">
        <v>368</v>
      </c>
      <c r="C91" s="11"/>
      <c r="D91" s="11"/>
      <c r="E91" s="1618">
        <f t="shared" ref="E91:R91" si="52">IF(OR(E32=0,E$36=0),0,E32/E$36)</f>
        <v>0</v>
      </c>
      <c r="F91" s="1619">
        <f t="shared" si="52"/>
        <v>0</v>
      </c>
      <c r="G91" s="1618">
        <f t="shared" si="52"/>
        <v>0</v>
      </c>
      <c r="H91" s="1618">
        <f t="shared" si="52"/>
        <v>0</v>
      </c>
      <c r="I91" s="1618">
        <f t="shared" si="52"/>
        <v>0</v>
      </c>
      <c r="J91" s="1619">
        <f t="shared" si="52"/>
        <v>0</v>
      </c>
      <c r="K91" s="1618">
        <f t="shared" si="52"/>
        <v>0</v>
      </c>
      <c r="L91" s="1618">
        <f t="shared" si="52"/>
        <v>0</v>
      </c>
      <c r="M91" s="1618">
        <f t="shared" si="52"/>
        <v>0</v>
      </c>
      <c r="N91" s="1619">
        <f t="shared" si="52"/>
        <v>0</v>
      </c>
      <c r="O91" s="1618">
        <f t="shared" si="52"/>
        <v>0</v>
      </c>
      <c r="P91" s="1618">
        <f t="shared" si="52"/>
        <v>0</v>
      </c>
      <c r="Q91" s="1618">
        <f t="shared" si="52"/>
        <v>0</v>
      </c>
      <c r="R91" s="1618">
        <f t="shared" si="52"/>
        <v>0</v>
      </c>
      <c r="U91" s="287"/>
      <c r="W91" s="48"/>
      <c r="X91" s="48"/>
      <c r="Y91" s="48"/>
      <c r="Z91" s="48"/>
      <c r="AA91" s="48"/>
      <c r="AB91" s="48"/>
      <c r="AC91" s="48"/>
      <c r="AD91" s="48"/>
      <c r="AE91" s="48"/>
      <c r="AF91" s="48"/>
      <c r="AG91" s="48"/>
      <c r="AH91" s="48"/>
      <c r="AI91" s="48"/>
      <c r="AJ91" s="48"/>
      <c r="AK91" s="48"/>
      <c r="AL91" s="48"/>
      <c r="AM91" s="48"/>
      <c r="AN91" s="48"/>
      <c r="AO91" s="48"/>
    </row>
    <row r="92" spans="1:41">
      <c r="A92" s="290">
        <f>ROW()</f>
        <v>92</v>
      </c>
      <c r="B92" s="11" t="s">
        <v>97</v>
      </c>
      <c r="C92" s="11"/>
      <c r="D92" s="11"/>
      <c r="E92" s="1618">
        <f t="shared" ref="E92:R92" si="53">IF(OR(E33=0,E$36=0),0,E33/E$36)</f>
        <v>0</v>
      </c>
      <c r="F92" s="1619">
        <f t="shared" si="53"/>
        <v>0</v>
      </c>
      <c r="G92" s="1618">
        <f t="shared" si="53"/>
        <v>0</v>
      </c>
      <c r="H92" s="1618">
        <f t="shared" si="53"/>
        <v>0</v>
      </c>
      <c r="I92" s="1618">
        <f t="shared" si="53"/>
        <v>0</v>
      </c>
      <c r="J92" s="1619">
        <f t="shared" si="53"/>
        <v>0</v>
      </c>
      <c r="K92" s="1618">
        <f t="shared" si="53"/>
        <v>0</v>
      </c>
      <c r="L92" s="1618">
        <f t="shared" si="53"/>
        <v>0</v>
      </c>
      <c r="M92" s="1618">
        <f t="shared" si="53"/>
        <v>0</v>
      </c>
      <c r="N92" s="1619">
        <f t="shared" si="53"/>
        <v>0</v>
      </c>
      <c r="O92" s="1618">
        <f t="shared" si="53"/>
        <v>0</v>
      </c>
      <c r="P92" s="1618">
        <f t="shared" si="53"/>
        <v>0</v>
      </c>
      <c r="Q92" s="1618">
        <f t="shared" si="53"/>
        <v>0</v>
      </c>
      <c r="R92" s="1618">
        <f t="shared" si="53"/>
        <v>0</v>
      </c>
      <c r="U92" s="287"/>
      <c r="W92" s="48"/>
      <c r="X92" s="48"/>
      <c r="Y92" s="48"/>
      <c r="Z92" s="48"/>
      <c r="AA92" s="48"/>
      <c r="AB92" s="48"/>
      <c r="AC92" s="48"/>
      <c r="AD92" s="48"/>
      <c r="AE92" s="48"/>
      <c r="AF92" s="48"/>
      <c r="AG92" s="48"/>
      <c r="AH92" s="48"/>
      <c r="AI92" s="48"/>
      <c r="AJ92" s="48"/>
      <c r="AK92" s="48"/>
      <c r="AL92" s="48"/>
      <c r="AM92" s="48"/>
      <c r="AN92" s="48"/>
      <c r="AO92" s="48"/>
    </row>
    <row r="93" spans="1:41">
      <c r="A93" s="290">
        <f>ROW()</f>
        <v>93</v>
      </c>
      <c r="B93" s="11" t="s">
        <v>399</v>
      </c>
      <c r="C93" s="11"/>
      <c r="D93" s="11"/>
      <c r="E93" s="1618">
        <f t="shared" ref="E93:R93" si="54">IF(OR(E34=0,E$36=0),0,E34/E$36)</f>
        <v>0</v>
      </c>
      <c r="F93" s="1619">
        <f t="shared" si="54"/>
        <v>0</v>
      </c>
      <c r="G93" s="1618">
        <f t="shared" si="54"/>
        <v>0</v>
      </c>
      <c r="H93" s="1618">
        <f t="shared" si="54"/>
        <v>0</v>
      </c>
      <c r="I93" s="1618">
        <f t="shared" si="54"/>
        <v>0</v>
      </c>
      <c r="J93" s="1619">
        <f t="shared" si="54"/>
        <v>0</v>
      </c>
      <c r="K93" s="1618">
        <f t="shared" si="54"/>
        <v>0</v>
      </c>
      <c r="L93" s="1618">
        <f t="shared" si="54"/>
        <v>0</v>
      </c>
      <c r="M93" s="1618">
        <f t="shared" si="54"/>
        <v>0</v>
      </c>
      <c r="N93" s="1619">
        <f t="shared" si="54"/>
        <v>0</v>
      </c>
      <c r="O93" s="1618">
        <f t="shared" si="54"/>
        <v>0</v>
      </c>
      <c r="P93" s="1618">
        <f t="shared" si="54"/>
        <v>0</v>
      </c>
      <c r="Q93" s="1618">
        <f t="shared" si="54"/>
        <v>0</v>
      </c>
      <c r="R93" s="1618">
        <f t="shared" si="54"/>
        <v>0</v>
      </c>
      <c r="U93" s="287"/>
      <c r="W93" s="48"/>
      <c r="X93" s="48"/>
      <c r="Y93" s="48"/>
      <c r="Z93" s="48"/>
      <c r="AA93" s="48"/>
      <c r="AB93" s="48"/>
      <c r="AC93" s="48"/>
      <c r="AD93" s="48"/>
      <c r="AE93" s="48"/>
      <c r="AF93" s="48"/>
      <c r="AG93" s="48"/>
      <c r="AH93" s="48"/>
      <c r="AI93" s="48"/>
      <c r="AJ93" s="48"/>
      <c r="AK93" s="48"/>
      <c r="AL93" s="48"/>
      <c r="AM93" s="48"/>
      <c r="AN93" s="48"/>
      <c r="AO93" s="48"/>
    </row>
    <row r="94" spans="1:41">
      <c r="A94" s="290">
        <f>ROW()</f>
        <v>94</v>
      </c>
      <c r="B94" s="11" t="s">
        <v>400</v>
      </c>
      <c r="C94" s="12"/>
      <c r="D94" s="12"/>
      <c r="E94" s="1620">
        <f t="shared" ref="E94:R94" si="55">IF(OR(E35=0,E$36=0),0,E35/E$36)</f>
        <v>0</v>
      </c>
      <c r="F94" s="1621">
        <f t="shared" si="55"/>
        <v>0</v>
      </c>
      <c r="G94" s="1620">
        <f t="shared" si="55"/>
        <v>0</v>
      </c>
      <c r="H94" s="1620">
        <f t="shared" si="55"/>
        <v>0</v>
      </c>
      <c r="I94" s="1620">
        <f t="shared" si="55"/>
        <v>0</v>
      </c>
      <c r="J94" s="1621">
        <f t="shared" si="55"/>
        <v>0</v>
      </c>
      <c r="K94" s="1620">
        <f t="shared" si="55"/>
        <v>0</v>
      </c>
      <c r="L94" s="1620">
        <f t="shared" si="55"/>
        <v>0</v>
      </c>
      <c r="M94" s="1620">
        <f t="shared" si="55"/>
        <v>0</v>
      </c>
      <c r="N94" s="1621">
        <f t="shared" si="55"/>
        <v>0</v>
      </c>
      <c r="O94" s="1620">
        <f t="shared" si="55"/>
        <v>0</v>
      </c>
      <c r="P94" s="1620">
        <f t="shared" si="55"/>
        <v>0</v>
      </c>
      <c r="Q94" s="1620">
        <f t="shared" si="55"/>
        <v>0</v>
      </c>
      <c r="R94" s="1620">
        <f t="shared" si="55"/>
        <v>0</v>
      </c>
      <c r="U94" s="287"/>
      <c r="W94" s="48"/>
      <c r="X94" s="48"/>
      <c r="Y94" s="48"/>
      <c r="Z94" s="48"/>
      <c r="AA94" s="48"/>
      <c r="AB94" s="48"/>
      <c r="AC94" s="48"/>
      <c r="AD94" s="48"/>
      <c r="AE94" s="48"/>
      <c r="AF94" s="48"/>
      <c r="AG94" s="48"/>
      <c r="AH94" s="48"/>
      <c r="AI94" s="48"/>
      <c r="AJ94" s="48"/>
      <c r="AK94" s="48"/>
      <c r="AL94" s="48"/>
      <c r="AM94" s="48"/>
      <c r="AN94" s="48"/>
      <c r="AO94" s="48"/>
    </row>
    <row r="95" spans="1:41">
      <c r="A95" s="290">
        <f>ROW()</f>
        <v>95</v>
      </c>
      <c r="B95" s="11" t="s">
        <v>401</v>
      </c>
      <c r="C95" s="12"/>
      <c r="D95" s="12"/>
      <c r="E95" s="1622">
        <f>SUM(E79:E94)</f>
        <v>1</v>
      </c>
      <c r="F95" s="1622">
        <f t="shared" ref="F95:R95" si="56">SUM(F79:F94)</f>
        <v>1</v>
      </c>
      <c r="G95" s="1622">
        <f t="shared" si="56"/>
        <v>1</v>
      </c>
      <c r="H95" s="1622">
        <f t="shared" si="56"/>
        <v>1</v>
      </c>
      <c r="I95" s="1622">
        <f t="shared" si="56"/>
        <v>1</v>
      </c>
      <c r="J95" s="1622">
        <f t="shared" si="56"/>
        <v>1</v>
      </c>
      <c r="K95" s="1622">
        <f t="shared" si="56"/>
        <v>1</v>
      </c>
      <c r="L95" s="1622">
        <f t="shared" si="56"/>
        <v>1</v>
      </c>
      <c r="M95" s="1622">
        <f t="shared" si="56"/>
        <v>1</v>
      </c>
      <c r="N95" s="1622">
        <f t="shared" si="56"/>
        <v>1</v>
      </c>
      <c r="O95" s="1622">
        <f t="shared" si="56"/>
        <v>1</v>
      </c>
      <c r="P95" s="1622">
        <f t="shared" si="56"/>
        <v>1</v>
      </c>
      <c r="Q95" s="1622">
        <f t="shared" ref="Q95" si="57">SUM(Q79:Q94)</f>
        <v>1</v>
      </c>
      <c r="R95" s="1622">
        <f t="shared" si="56"/>
        <v>1</v>
      </c>
      <c r="U95" s="287"/>
      <c r="W95" s="48"/>
      <c r="X95" s="48"/>
      <c r="Y95" s="48"/>
      <c r="Z95" s="48"/>
      <c r="AA95" s="48"/>
      <c r="AB95" s="48"/>
      <c r="AC95" s="48"/>
      <c r="AD95" s="48"/>
      <c r="AE95" s="48"/>
      <c r="AF95" s="48"/>
      <c r="AG95" s="48"/>
      <c r="AH95" s="48"/>
      <c r="AI95" s="48"/>
      <c r="AJ95" s="48"/>
      <c r="AK95" s="48"/>
      <c r="AL95" s="48"/>
      <c r="AM95" s="48"/>
      <c r="AN95" s="48"/>
      <c r="AO95" s="48"/>
    </row>
    <row r="96" spans="1:41">
      <c r="A96" s="290">
        <f>ROW()</f>
        <v>96</v>
      </c>
      <c r="B96" s="12" t="s">
        <v>370</v>
      </c>
      <c r="C96" s="12"/>
      <c r="D96" s="12"/>
      <c r="E96" s="1623"/>
      <c r="F96" s="1624">
        <f t="shared" ref="F96:R96" si="58">IFERROR(F37/$E$36,0)</f>
        <v>8.2096253958193921E-2</v>
      </c>
      <c r="G96" s="1624">
        <f t="shared" si="58"/>
        <v>0.15925875394921465</v>
      </c>
      <c r="H96" s="1624">
        <f t="shared" si="58"/>
        <v>0.23642125394023536</v>
      </c>
      <c r="I96" s="1624">
        <f t="shared" si="58"/>
        <v>0.31358375393125609</v>
      </c>
      <c r="J96" s="1624">
        <f t="shared" si="58"/>
        <v>0.3907462539222768</v>
      </c>
      <c r="K96" s="1624">
        <f t="shared" si="58"/>
        <v>0.4679087539132975</v>
      </c>
      <c r="L96" s="1624">
        <f t="shared" si="58"/>
        <v>0.54507125390431821</v>
      </c>
      <c r="M96" s="1624">
        <f t="shared" si="58"/>
        <v>0.62223375389533897</v>
      </c>
      <c r="N96" s="1624">
        <f t="shared" si="58"/>
        <v>0.69939625388635973</v>
      </c>
      <c r="O96" s="1624">
        <f t="shared" si="58"/>
        <v>0.77655875387738038</v>
      </c>
      <c r="P96" s="1624">
        <f t="shared" si="58"/>
        <v>0.85372125386840114</v>
      </c>
      <c r="Q96" s="1624">
        <f t="shared" si="58"/>
        <v>0.84969812694317981</v>
      </c>
      <c r="R96" s="1624">
        <f t="shared" si="58"/>
        <v>0.92686062693420057</v>
      </c>
      <c r="U96" s="287"/>
      <c r="W96" s="48"/>
      <c r="X96" s="48"/>
      <c r="Y96" s="48"/>
      <c r="Z96" s="48"/>
      <c r="AA96" s="48"/>
      <c r="AB96" s="48"/>
      <c r="AC96" s="48"/>
      <c r="AD96" s="48"/>
      <c r="AE96" s="48"/>
      <c r="AF96" s="48"/>
      <c r="AG96" s="48"/>
      <c r="AH96" s="48"/>
      <c r="AI96" s="48"/>
      <c r="AJ96" s="48"/>
      <c r="AK96" s="48"/>
      <c r="AL96" s="48"/>
      <c r="AM96" s="48"/>
      <c r="AN96" s="48"/>
      <c r="AO96" s="48"/>
    </row>
    <row r="97" spans="1:41">
      <c r="A97" s="290">
        <f>ROW()</f>
        <v>97</v>
      </c>
      <c r="B97" s="12"/>
      <c r="C97" s="12"/>
      <c r="D97" s="12"/>
      <c r="E97" s="475"/>
      <c r="F97" s="476"/>
      <c r="G97" s="476"/>
      <c r="H97" s="476"/>
      <c r="I97" s="476"/>
      <c r="J97" s="476"/>
      <c r="K97" s="476"/>
      <c r="L97" s="476"/>
      <c r="M97" s="476"/>
      <c r="N97" s="476"/>
      <c r="O97" s="476"/>
      <c r="P97" s="476"/>
      <c r="Q97" s="476"/>
      <c r="R97" s="476"/>
      <c r="U97" s="287"/>
      <c r="W97" s="48"/>
      <c r="X97" s="48"/>
      <c r="Y97" s="48"/>
      <c r="Z97" s="48"/>
      <c r="AA97" s="48"/>
      <c r="AB97" s="48"/>
      <c r="AC97" s="48"/>
      <c r="AD97" s="48"/>
      <c r="AE97" s="48"/>
      <c r="AF97" s="48"/>
      <c r="AG97" s="48"/>
      <c r="AH97" s="48"/>
      <c r="AI97" s="48"/>
      <c r="AJ97" s="48"/>
      <c r="AK97" s="48"/>
      <c r="AL97" s="48"/>
      <c r="AM97" s="48"/>
      <c r="AN97" s="48"/>
      <c r="AO97" s="48"/>
    </row>
    <row r="98" spans="1:41" ht="17.399999999999999">
      <c r="A98" s="290">
        <f>ROW()</f>
        <v>98</v>
      </c>
      <c r="B98" s="1544" t="s">
        <v>402</v>
      </c>
      <c r="C98" s="1548"/>
      <c r="D98" s="1548"/>
      <c r="E98" s="1549"/>
      <c r="F98" s="1550"/>
      <c r="G98" s="1550"/>
      <c r="H98" s="1550"/>
      <c r="I98" s="1550"/>
      <c r="J98" s="1550"/>
      <c r="K98" s="1550"/>
      <c r="L98" s="1550"/>
      <c r="M98" s="1550"/>
      <c r="N98" s="1550"/>
      <c r="O98" s="1550"/>
      <c r="P98" s="1550"/>
      <c r="Q98" s="1550"/>
      <c r="R98" s="1550"/>
      <c r="U98" s="287"/>
      <c r="W98" s="48"/>
      <c r="X98" s="48"/>
      <c r="Y98" s="48"/>
      <c r="Z98" s="48"/>
      <c r="AA98" s="48"/>
      <c r="AB98" s="48"/>
      <c r="AC98" s="48"/>
      <c r="AD98" s="48"/>
      <c r="AE98" s="48"/>
      <c r="AF98" s="48"/>
      <c r="AG98" s="48"/>
      <c r="AH98" s="48"/>
      <c r="AI98" s="48"/>
      <c r="AJ98" s="48"/>
      <c r="AK98" s="48"/>
      <c r="AL98" s="48"/>
      <c r="AM98" s="48"/>
      <c r="AN98" s="48"/>
      <c r="AO98" s="48"/>
    </row>
    <row r="99" spans="1:41">
      <c r="A99" s="290">
        <f>ROW()</f>
        <v>99</v>
      </c>
      <c r="B99" s="11"/>
      <c r="C99" s="11"/>
      <c r="D99" s="11"/>
      <c r="E99" s="477"/>
      <c r="F99" s="478"/>
      <c r="G99" s="477"/>
      <c r="H99" s="477"/>
      <c r="I99" s="477"/>
      <c r="J99" s="478"/>
      <c r="K99" s="477"/>
      <c r="L99" s="477"/>
      <c r="M99" s="477"/>
      <c r="N99" s="478"/>
      <c r="O99" s="477"/>
      <c r="P99" s="477"/>
      <c r="Q99" s="477"/>
      <c r="R99" s="477"/>
      <c r="U99" s="287"/>
      <c r="W99" s="48"/>
      <c r="X99" s="48"/>
      <c r="Y99" s="48"/>
      <c r="Z99" s="48"/>
      <c r="AA99" s="48"/>
      <c r="AB99" s="48"/>
      <c r="AC99" s="48"/>
      <c r="AD99" s="48"/>
      <c r="AE99" s="48"/>
      <c r="AF99" s="48"/>
      <c r="AG99" s="48"/>
      <c r="AH99" s="48"/>
      <c r="AI99" s="48"/>
      <c r="AJ99" s="48"/>
      <c r="AK99" s="48"/>
      <c r="AL99" s="48"/>
      <c r="AM99" s="48"/>
      <c r="AN99" s="48"/>
      <c r="AO99" s="48"/>
    </row>
    <row r="100" spans="1:41">
      <c r="A100" s="290">
        <f>ROW()</f>
        <v>100</v>
      </c>
      <c r="B100" s="1538" t="s">
        <v>109</v>
      </c>
      <c r="C100" s="1538"/>
      <c r="D100" s="1538"/>
      <c r="E100" s="1551"/>
      <c r="F100" s="1551"/>
      <c r="G100" s="1551"/>
      <c r="H100" s="1551"/>
      <c r="I100" s="1551"/>
      <c r="J100" s="1551"/>
      <c r="K100" s="1551"/>
      <c r="L100" s="1551"/>
      <c r="M100" s="1551"/>
      <c r="N100" s="1551"/>
      <c r="O100" s="1551"/>
      <c r="P100" s="1551"/>
      <c r="Q100" s="1551"/>
      <c r="R100" s="1551"/>
      <c r="U100" s="287"/>
      <c r="W100" s="48"/>
      <c r="X100" s="48"/>
      <c r="Y100" s="48"/>
      <c r="Z100" s="48"/>
      <c r="AA100" s="48"/>
      <c r="AB100" s="48"/>
      <c r="AC100" s="48"/>
      <c r="AD100" s="48"/>
      <c r="AE100" s="48"/>
      <c r="AF100" s="48"/>
      <c r="AG100" s="48"/>
      <c r="AH100" s="48"/>
      <c r="AI100" s="48"/>
      <c r="AJ100" s="48"/>
      <c r="AK100" s="48"/>
      <c r="AL100" s="48"/>
      <c r="AM100" s="48"/>
      <c r="AN100" s="48"/>
      <c r="AO100" s="48"/>
    </row>
    <row r="101" spans="1:41">
      <c r="A101" s="290">
        <f>ROW()</f>
        <v>101</v>
      </c>
      <c r="B101" s="11" t="s">
        <v>403</v>
      </c>
      <c r="C101" s="11"/>
      <c r="D101" s="11"/>
      <c r="E101" s="707">
        <f t="shared" ref="E101:R101" si="59">IFERROR(E41/E$36,0)</f>
        <v>0.47354925400673331</v>
      </c>
      <c r="F101" s="707">
        <f t="shared" si="59"/>
        <v>0.35182000000000002</v>
      </c>
      <c r="G101" s="707">
        <f t="shared" si="59"/>
        <v>0.52388395209744087</v>
      </c>
      <c r="H101" s="707">
        <f t="shared" si="59"/>
        <v>0.52388395209744087</v>
      </c>
      <c r="I101" s="707">
        <f t="shared" si="59"/>
        <v>0.52388395209744087</v>
      </c>
      <c r="J101" s="707">
        <f t="shared" si="59"/>
        <v>0.52388395209744087</v>
      </c>
      <c r="K101" s="707">
        <f t="shared" si="59"/>
        <v>0.52388395209744087</v>
      </c>
      <c r="L101" s="707">
        <f t="shared" si="59"/>
        <v>0.52388395209744087</v>
      </c>
      <c r="M101" s="707">
        <f t="shared" si="59"/>
        <v>0.52388395209744087</v>
      </c>
      <c r="N101" s="707">
        <f>IFERROR(N41/N$36,0)</f>
        <v>0.52388395209744087</v>
      </c>
      <c r="O101" s="707">
        <f t="shared" si="59"/>
        <v>0.52388395209744087</v>
      </c>
      <c r="P101" s="707">
        <f t="shared" si="59"/>
        <v>0.52388395209744087</v>
      </c>
      <c r="Q101" s="707">
        <f t="shared" si="59"/>
        <v>0.55270087443390148</v>
      </c>
      <c r="R101" s="707">
        <f t="shared" si="59"/>
        <v>0</v>
      </c>
      <c r="U101" s="287"/>
      <c r="W101" s="48"/>
      <c r="X101" s="48"/>
      <c r="Y101" s="48"/>
      <c r="Z101" s="48"/>
      <c r="AA101" s="48"/>
      <c r="AB101" s="48"/>
      <c r="AC101" s="48"/>
      <c r="AD101" s="48"/>
      <c r="AE101" s="48"/>
      <c r="AF101" s="48"/>
      <c r="AG101" s="48"/>
      <c r="AH101" s="48"/>
      <c r="AI101" s="48"/>
      <c r="AJ101" s="48"/>
      <c r="AK101" s="48"/>
      <c r="AL101" s="48"/>
      <c r="AM101" s="48"/>
      <c r="AN101" s="48"/>
      <c r="AO101" s="48"/>
    </row>
    <row r="102" spans="1:41">
      <c r="A102" s="290">
        <f>ROW()</f>
        <v>102</v>
      </c>
      <c r="B102" s="11" t="s">
        <v>404</v>
      </c>
      <c r="C102" s="11"/>
      <c r="D102" s="11"/>
      <c r="E102" s="473">
        <f>IFERROR(#REF!/E$36,0)</f>
        <v>0</v>
      </c>
      <c r="F102" s="473">
        <f>IFERROR(#REF!/F$36,0)</f>
        <v>0</v>
      </c>
      <c r="G102" s="473">
        <f>IFERROR(#REF!/G$36,0)</f>
        <v>0</v>
      </c>
      <c r="H102" s="473">
        <f>IFERROR(#REF!/H$36,0)</f>
        <v>0</v>
      </c>
      <c r="I102" s="473">
        <f>IFERROR(#REF!/I$36,0)</f>
        <v>0</v>
      </c>
      <c r="J102" s="473">
        <f>IFERROR(#REF!/J$36,0)</f>
        <v>0</v>
      </c>
      <c r="K102" s="473">
        <f>IFERROR(#REF!/K$36,0)</f>
        <v>0</v>
      </c>
      <c r="L102" s="473">
        <f>IFERROR(#REF!/L$36,0)</f>
        <v>0</v>
      </c>
      <c r="M102" s="473">
        <f>IFERROR(#REF!/M$36,0)</f>
        <v>0</v>
      </c>
      <c r="N102" s="473">
        <f>IFERROR(#REF!/N$36,0)</f>
        <v>0</v>
      </c>
      <c r="O102" s="473">
        <f>IFERROR(#REF!/O$36,0)</f>
        <v>0</v>
      </c>
      <c r="P102" s="473">
        <f>IFERROR(#REF!/P$36,0)</f>
        <v>0</v>
      </c>
      <c r="Q102" s="473">
        <f>IFERROR(#REF!/Q$36,0)</f>
        <v>0</v>
      </c>
      <c r="R102" s="473">
        <f>IFERROR(#REF!/R$36,0)</f>
        <v>0</v>
      </c>
      <c r="U102" s="287"/>
      <c r="W102" s="48"/>
      <c r="X102" s="48"/>
      <c r="Y102" s="48"/>
      <c r="Z102" s="48"/>
      <c r="AA102" s="48"/>
      <c r="AB102" s="48"/>
      <c r="AC102" s="48"/>
      <c r="AD102" s="48"/>
      <c r="AE102" s="48"/>
      <c r="AF102" s="48"/>
      <c r="AG102" s="48"/>
      <c r="AH102" s="48"/>
      <c r="AI102" s="48"/>
      <c r="AJ102" s="48"/>
      <c r="AK102" s="48"/>
      <c r="AL102" s="48"/>
      <c r="AM102" s="48"/>
      <c r="AN102" s="48"/>
      <c r="AO102" s="48"/>
    </row>
    <row r="103" spans="1:41">
      <c r="A103" s="290">
        <f>ROW()</f>
        <v>103</v>
      </c>
      <c r="B103" s="11" t="s">
        <v>405</v>
      </c>
      <c r="C103" s="11"/>
      <c r="D103" s="11"/>
      <c r="E103" s="473">
        <f>IFERROR(#REF!/E$36,0)</f>
        <v>0</v>
      </c>
      <c r="F103" s="473">
        <f>IFERROR(#REF!/F$36,0)</f>
        <v>0</v>
      </c>
      <c r="G103" s="473">
        <f>IFERROR(#REF!/G$36,0)</f>
        <v>0</v>
      </c>
      <c r="H103" s="473">
        <f>IFERROR(#REF!/H$36,0)</f>
        <v>0</v>
      </c>
      <c r="I103" s="473">
        <f>IFERROR(#REF!/I$36,0)</f>
        <v>0</v>
      </c>
      <c r="J103" s="473">
        <f>IFERROR(#REF!/J$36,0)</f>
        <v>0</v>
      </c>
      <c r="K103" s="473">
        <f>IFERROR(#REF!/K$36,0)</f>
        <v>0</v>
      </c>
      <c r="L103" s="473">
        <f>IFERROR(#REF!/L$36,0)</f>
        <v>0</v>
      </c>
      <c r="M103" s="473">
        <f>IFERROR(#REF!/M$36,0)</f>
        <v>0</v>
      </c>
      <c r="N103" s="473">
        <f>IFERROR(#REF!/N$36,0)</f>
        <v>0</v>
      </c>
      <c r="O103" s="473">
        <f>IFERROR(#REF!/O$36,0)</f>
        <v>0</v>
      </c>
      <c r="P103" s="473">
        <f>IFERROR(#REF!/P$36,0)</f>
        <v>0</v>
      </c>
      <c r="Q103" s="473">
        <f>IFERROR(#REF!/Q$36,0)</f>
        <v>0</v>
      </c>
      <c r="R103" s="473">
        <f>IFERROR(#REF!/R$36,0)</f>
        <v>0</v>
      </c>
      <c r="U103" s="287"/>
      <c r="W103" s="48"/>
      <c r="X103" s="48"/>
      <c r="Y103" s="48"/>
      <c r="Z103" s="48"/>
      <c r="AA103" s="48"/>
      <c r="AB103" s="48"/>
      <c r="AC103" s="48"/>
      <c r="AD103" s="48"/>
      <c r="AE103" s="48"/>
      <c r="AF103" s="48"/>
      <c r="AG103" s="48"/>
      <c r="AH103" s="48"/>
      <c r="AI103" s="48"/>
      <c r="AJ103" s="48"/>
      <c r="AK103" s="48"/>
      <c r="AL103" s="48"/>
      <c r="AM103" s="48"/>
      <c r="AN103" s="48"/>
      <c r="AO103" s="48"/>
    </row>
    <row r="104" spans="1:41">
      <c r="A104" s="290">
        <f>ROW()</f>
        <v>104</v>
      </c>
      <c r="B104" s="11" t="s">
        <v>406</v>
      </c>
      <c r="C104" s="11"/>
      <c r="D104" s="11"/>
      <c r="E104" s="473">
        <f>IFERROR(#REF!/E$36,0)</f>
        <v>0</v>
      </c>
      <c r="F104" s="473">
        <f>IFERROR(#REF!/F$36,0)</f>
        <v>0</v>
      </c>
      <c r="G104" s="473">
        <f>IFERROR(#REF!/G$36,0)</f>
        <v>0</v>
      </c>
      <c r="H104" s="473">
        <f>IFERROR(#REF!/H$36,0)</f>
        <v>0</v>
      </c>
      <c r="I104" s="473">
        <f>IFERROR(#REF!/I$36,0)</f>
        <v>0</v>
      </c>
      <c r="J104" s="473">
        <f>IFERROR(#REF!/J$36,0)</f>
        <v>0</v>
      </c>
      <c r="K104" s="473">
        <f>IFERROR(#REF!/K$36,0)</f>
        <v>0</v>
      </c>
      <c r="L104" s="473">
        <f>IFERROR(#REF!/L$36,0)</f>
        <v>0</v>
      </c>
      <c r="M104" s="473">
        <f>IFERROR(#REF!/M$36,0)</f>
        <v>0</v>
      </c>
      <c r="N104" s="473">
        <f>IFERROR(#REF!/N$36,0)</f>
        <v>0</v>
      </c>
      <c r="O104" s="473">
        <f>IFERROR(#REF!/O$36,0)</f>
        <v>0</v>
      </c>
      <c r="P104" s="473">
        <f>IFERROR(#REF!/P$36,0)</f>
        <v>0</v>
      </c>
      <c r="Q104" s="473">
        <f>IFERROR(#REF!/Q$36,0)</f>
        <v>0</v>
      </c>
      <c r="R104" s="473">
        <f>IFERROR(#REF!/R$36,0)</f>
        <v>0</v>
      </c>
      <c r="U104" s="287"/>
      <c r="W104" s="48"/>
      <c r="X104" s="48"/>
      <c r="Y104" s="48"/>
      <c r="Z104" s="48"/>
      <c r="AA104" s="48"/>
      <c r="AB104" s="48"/>
      <c r="AC104" s="48"/>
      <c r="AD104" s="48"/>
      <c r="AE104" s="48"/>
      <c r="AF104" s="48"/>
      <c r="AG104" s="48"/>
      <c r="AH104" s="48"/>
      <c r="AI104" s="48"/>
      <c r="AJ104" s="48"/>
      <c r="AK104" s="48"/>
      <c r="AL104" s="48"/>
      <c r="AM104" s="48"/>
      <c r="AN104" s="48"/>
      <c r="AO104" s="48"/>
    </row>
    <row r="105" spans="1:41">
      <c r="A105" s="290">
        <f>ROW()</f>
        <v>105</v>
      </c>
      <c r="B105" s="11" t="s">
        <v>407</v>
      </c>
      <c r="C105" s="11"/>
      <c r="D105" s="11"/>
      <c r="E105" s="473">
        <f>IFERROR(#REF!/E$36,0)</f>
        <v>0</v>
      </c>
      <c r="F105" s="473">
        <f>IFERROR(#REF!/F$36,0)</f>
        <v>0</v>
      </c>
      <c r="G105" s="473">
        <f>IFERROR(#REF!/G$36,0)</f>
        <v>0</v>
      </c>
      <c r="H105" s="473">
        <f>IFERROR(#REF!/H$36,0)</f>
        <v>0</v>
      </c>
      <c r="I105" s="473">
        <f>IFERROR(#REF!/I$36,0)</f>
        <v>0</v>
      </c>
      <c r="J105" s="473">
        <f>IFERROR(#REF!/J$36,0)</f>
        <v>0</v>
      </c>
      <c r="K105" s="473">
        <f>IFERROR(#REF!/K$36,0)</f>
        <v>0</v>
      </c>
      <c r="L105" s="473">
        <f>IFERROR(#REF!/L$36,0)</f>
        <v>0</v>
      </c>
      <c r="M105" s="473">
        <f>IFERROR(#REF!/M$36,0)</f>
        <v>0</v>
      </c>
      <c r="N105" s="473">
        <f>IFERROR(#REF!/N$36,0)</f>
        <v>0</v>
      </c>
      <c r="O105" s="473">
        <f>IFERROR(#REF!/O$36,0)</f>
        <v>0</v>
      </c>
      <c r="P105" s="473">
        <f>IFERROR(#REF!/P$36,0)</f>
        <v>0</v>
      </c>
      <c r="Q105" s="473">
        <f>IFERROR(#REF!/Q$36,0)</f>
        <v>0</v>
      </c>
      <c r="R105" s="473">
        <f>IFERROR(#REF!/R$36,0)</f>
        <v>0</v>
      </c>
      <c r="U105" s="287"/>
      <c r="W105" s="48"/>
      <c r="X105" s="48"/>
      <c r="Y105" s="48"/>
      <c r="Z105" s="48"/>
      <c r="AA105" s="48"/>
      <c r="AB105" s="48"/>
      <c r="AC105" s="48"/>
      <c r="AD105" s="48"/>
      <c r="AE105" s="48"/>
      <c r="AF105" s="48"/>
      <c r="AG105" s="48"/>
      <c r="AH105" s="48"/>
      <c r="AI105" s="48"/>
      <c r="AJ105" s="48"/>
      <c r="AK105" s="48"/>
      <c r="AL105" s="48"/>
      <c r="AM105" s="48"/>
      <c r="AN105" s="48"/>
      <c r="AO105" s="48"/>
    </row>
    <row r="106" spans="1:41">
      <c r="A106" s="290">
        <f>ROW()</f>
        <v>106</v>
      </c>
      <c r="B106" s="11" t="s">
        <v>374</v>
      </c>
      <c r="C106" s="11"/>
      <c r="D106" s="11"/>
      <c r="E106" s="473">
        <f t="shared" ref="E106:R106" si="60">IFERROR(E42/E$36,0)</f>
        <v>8.2096253958193928E-3</v>
      </c>
      <c r="F106" s="473">
        <f t="shared" si="60"/>
        <v>0.05</v>
      </c>
      <c r="G106" s="473">
        <f t="shared" si="60"/>
        <v>5.3196989449374584E-3</v>
      </c>
      <c r="H106" s="473">
        <f t="shared" si="60"/>
        <v>5.3196989449374584E-3</v>
      </c>
      <c r="I106" s="473">
        <f t="shared" si="60"/>
        <v>5.3196989449374584E-3</v>
      </c>
      <c r="J106" s="473">
        <f t="shared" si="60"/>
        <v>5.3196989449374584E-3</v>
      </c>
      <c r="K106" s="473">
        <f t="shared" si="60"/>
        <v>5.3196989449374584E-3</v>
      </c>
      <c r="L106" s="473">
        <f t="shared" si="60"/>
        <v>5.3196989449374584E-3</v>
      </c>
      <c r="M106" s="473">
        <f t="shared" si="60"/>
        <v>5.3196989449374584E-3</v>
      </c>
      <c r="N106" s="473">
        <f>IFERROR(N42/N$36,0)</f>
        <v>5.3196989449374584E-3</v>
      </c>
      <c r="O106" s="473">
        <f t="shared" si="60"/>
        <v>5.3196989449374584E-3</v>
      </c>
      <c r="P106" s="473">
        <f t="shared" si="60"/>
        <v>5.3196989449374584E-3</v>
      </c>
      <c r="Q106" s="473">
        <f t="shared" si="60"/>
        <v>0</v>
      </c>
      <c r="R106" s="473">
        <f t="shared" si="60"/>
        <v>0</v>
      </c>
      <c r="U106" s="287"/>
      <c r="W106" s="48"/>
      <c r="X106" s="48"/>
      <c r="Y106" s="48"/>
      <c r="Z106" s="48"/>
      <c r="AA106" s="48"/>
      <c r="AB106" s="48"/>
      <c r="AC106" s="48"/>
      <c r="AD106" s="48"/>
      <c r="AE106" s="48"/>
      <c r="AF106" s="48"/>
      <c r="AG106" s="48"/>
      <c r="AH106" s="48"/>
      <c r="AI106" s="48"/>
      <c r="AJ106" s="48"/>
      <c r="AK106" s="48"/>
      <c r="AL106" s="48"/>
      <c r="AM106" s="48"/>
      <c r="AN106" s="48"/>
      <c r="AO106" s="48"/>
    </row>
    <row r="107" spans="1:41">
      <c r="A107" s="290">
        <f>ROW()</f>
        <v>107</v>
      </c>
      <c r="B107" s="11" t="s">
        <v>408</v>
      </c>
      <c r="C107" s="11"/>
      <c r="D107" s="11"/>
      <c r="E107" s="473">
        <f t="shared" ref="E107:R107" si="61">IFERROR(E43/E$36,0)</f>
        <v>9.1459742203395727E-2</v>
      </c>
      <c r="F107" s="473">
        <f t="shared" si="61"/>
        <v>9.9004999999999996E-2</v>
      </c>
      <c r="G107" s="473">
        <f t="shared" si="61"/>
        <v>0.10533535880870662</v>
      </c>
      <c r="H107" s="473">
        <f t="shared" si="61"/>
        <v>0.10533535880870662</v>
      </c>
      <c r="I107" s="473">
        <f t="shared" si="61"/>
        <v>0.10533535880870662</v>
      </c>
      <c r="J107" s="473">
        <f t="shared" si="61"/>
        <v>0.10533535880870662</v>
      </c>
      <c r="K107" s="473">
        <f t="shared" si="61"/>
        <v>0.10533535880870662</v>
      </c>
      <c r="L107" s="473">
        <f t="shared" si="61"/>
        <v>0.10533535880870662</v>
      </c>
      <c r="M107" s="473">
        <f t="shared" si="61"/>
        <v>0.10533535880870662</v>
      </c>
      <c r="N107" s="473">
        <f t="shared" si="61"/>
        <v>0.10533535880870662</v>
      </c>
      <c r="O107" s="473">
        <f t="shared" si="61"/>
        <v>0.10533535880870662</v>
      </c>
      <c r="P107" s="473">
        <f t="shared" si="61"/>
        <v>0.10533535880870662</v>
      </c>
      <c r="Q107" s="473">
        <f t="shared" si="61"/>
        <v>2.8061579733646501E-2</v>
      </c>
      <c r="R107" s="473">
        <f t="shared" si="61"/>
        <v>0</v>
      </c>
      <c r="U107" s="287"/>
      <c r="W107" s="48"/>
      <c r="X107" s="48"/>
      <c r="Y107" s="48"/>
      <c r="Z107" s="48"/>
      <c r="AA107" s="48"/>
      <c r="AB107" s="48"/>
      <c r="AC107" s="48"/>
      <c r="AD107" s="48"/>
      <c r="AE107" s="48"/>
      <c r="AF107" s="48"/>
      <c r="AG107" s="48"/>
      <c r="AH107" s="48"/>
      <c r="AI107" s="48"/>
      <c r="AJ107" s="48"/>
      <c r="AK107" s="48"/>
      <c r="AL107" s="48"/>
      <c r="AM107" s="48"/>
      <c r="AN107" s="48"/>
      <c r="AO107" s="48"/>
    </row>
    <row r="108" spans="1:41">
      <c r="A108" s="290">
        <f>ROW()</f>
        <v>108</v>
      </c>
      <c r="B108" s="11" t="s">
        <v>409</v>
      </c>
      <c r="C108" s="11"/>
      <c r="D108" s="11"/>
      <c r="E108" s="473">
        <f>IFERROR(#REF!/E$36,0)</f>
        <v>0</v>
      </c>
      <c r="F108" s="473">
        <f>IFERROR(#REF!/F$36,0)</f>
        <v>0</v>
      </c>
      <c r="G108" s="473">
        <f>IFERROR(#REF!/G$36,0)</f>
        <v>0</v>
      </c>
      <c r="H108" s="473">
        <f>IFERROR(#REF!/H$36,0)</f>
        <v>0</v>
      </c>
      <c r="I108" s="473">
        <f>IFERROR(#REF!/I$36,0)</f>
        <v>0</v>
      </c>
      <c r="J108" s="473">
        <f>IFERROR(#REF!/J$36,0)</f>
        <v>0</v>
      </c>
      <c r="K108" s="473">
        <f>IFERROR(#REF!/K$36,0)</f>
        <v>0</v>
      </c>
      <c r="L108" s="473">
        <f>IFERROR(#REF!/L$36,0)</f>
        <v>0</v>
      </c>
      <c r="M108" s="473">
        <f>IFERROR(#REF!/M$36,0)</f>
        <v>0</v>
      </c>
      <c r="N108" s="473">
        <f>IFERROR(#REF!/N$36,0)</f>
        <v>0</v>
      </c>
      <c r="O108" s="473">
        <f>IFERROR(#REF!/O$36,0)</f>
        <v>0</v>
      </c>
      <c r="P108" s="473">
        <f>IFERROR(#REF!/P$36,0)</f>
        <v>0</v>
      </c>
      <c r="Q108" s="473">
        <f>IFERROR(#REF!/Q$36,0)</f>
        <v>0</v>
      </c>
      <c r="R108" s="473">
        <f>IFERROR(#REF!/R$36,0)</f>
        <v>0</v>
      </c>
      <c r="U108" s="287"/>
      <c r="W108" s="48"/>
      <c r="X108" s="48"/>
      <c r="Y108" s="48"/>
      <c r="Z108" s="48"/>
      <c r="AA108" s="48"/>
      <c r="AB108" s="48"/>
      <c r="AC108" s="48"/>
      <c r="AD108" s="48"/>
      <c r="AE108" s="48"/>
      <c r="AF108" s="48"/>
      <c r="AG108" s="48"/>
      <c r="AH108" s="48"/>
      <c r="AI108" s="48"/>
      <c r="AJ108" s="48"/>
      <c r="AK108" s="48"/>
      <c r="AL108" s="48"/>
      <c r="AM108" s="48"/>
      <c r="AN108" s="48"/>
      <c r="AO108" s="48"/>
    </row>
    <row r="109" spans="1:41">
      <c r="A109" s="290">
        <f>ROW()</f>
        <v>109</v>
      </c>
      <c r="B109" s="11" t="s">
        <v>96</v>
      </c>
      <c r="C109" s="11"/>
      <c r="D109" s="11"/>
      <c r="E109" s="473">
        <f t="shared" ref="E109:R109" si="62">IFERROR(E44/E$36,0)</f>
        <v>0</v>
      </c>
      <c r="F109" s="473">
        <f t="shared" si="62"/>
        <v>0</v>
      </c>
      <c r="G109" s="473">
        <f t="shared" si="62"/>
        <v>0</v>
      </c>
      <c r="H109" s="473">
        <f t="shared" si="62"/>
        <v>0</v>
      </c>
      <c r="I109" s="473">
        <f t="shared" si="62"/>
        <v>0</v>
      </c>
      <c r="J109" s="473">
        <f t="shared" si="62"/>
        <v>0</v>
      </c>
      <c r="K109" s="473">
        <f t="shared" si="62"/>
        <v>0</v>
      </c>
      <c r="L109" s="473">
        <f t="shared" si="62"/>
        <v>0</v>
      </c>
      <c r="M109" s="473">
        <f t="shared" si="62"/>
        <v>0</v>
      </c>
      <c r="N109" s="473">
        <f t="shared" si="62"/>
        <v>0</v>
      </c>
      <c r="O109" s="473">
        <f t="shared" si="62"/>
        <v>0</v>
      </c>
      <c r="P109" s="473">
        <f t="shared" si="62"/>
        <v>0</v>
      </c>
      <c r="Q109" s="473">
        <f t="shared" si="62"/>
        <v>0</v>
      </c>
      <c r="R109" s="473">
        <f t="shared" si="62"/>
        <v>0</v>
      </c>
      <c r="U109" s="287"/>
      <c r="W109" s="48"/>
      <c r="X109" s="48"/>
      <c r="Y109" s="48"/>
      <c r="Z109" s="48"/>
      <c r="AA109" s="48"/>
      <c r="AB109" s="48"/>
      <c r="AC109" s="48"/>
      <c r="AD109" s="48"/>
      <c r="AE109" s="48"/>
      <c r="AF109" s="48"/>
      <c r="AG109" s="48"/>
      <c r="AH109" s="48"/>
      <c r="AI109" s="48"/>
      <c r="AJ109" s="48"/>
      <c r="AK109" s="48"/>
      <c r="AL109" s="48"/>
      <c r="AM109" s="48"/>
      <c r="AN109" s="48"/>
      <c r="AO109" s="48"/>
    </row>
    <row r="110" spans="1:41">
      <c r="A110" s="290">
        <f>ROW()</f>
        <v>110</v>
      </c>
      <c r="B110" s="97" t="s">
        <v>377</v>
      </c>
      <c r="C110" s="11"/>
      <c r="D110" s="11"/>
      <c r="E110" s="473">
        <f t="shared" ref="E110:R110" si="63">IFERROR(E45/E$36,0)</f>
        <v>0</v>
      </c>
      <c r="F110" s="473">
        <f t="shared" si="63"/>
        <v>0</v>
      </c>
      <c r="G110" s="473">
        <f t="shared" si="63"/>
        <v>0</v>
      </c>
      <c r="H110" s="473">
        <f t="shared" si="63"/>
        <v>0</v>
      </c>
      <c r="I110" s="473">
        <f t="shared" si="63"/>
        <v>0</v>
      </c>
      <c r="J110" s="473">
        <f t="shared" si="63"/>
        <v>0</v>
      </c>
      <c r="K110" s="473">
        <f t="shared" si="63"/>
        <v>0</v>
      </c>
      <c r="L110" s="473">
        <f t="shared" si="63"/>
        <v>0</v>
      </c>
      <c r="M110" s="473">
        <f t="shared" si="63"/>
        <v>0</v>
      </c>
      <c r="N110" s="473">
        <f t="shared" si="63"/>
        <v>0</v>
      </c>
      <c r="O110" s="473">
        <f t="shared" si="63"/>
        <v>0</v>
      </c>
      <c r="P110" s="473">
        <f t="shared" si="63"/>
        <v>0</v>
      </c>
      <c r="Q110" s="473">
        <f t="shared" si="63"/>
        <v>0</v>
      </c>
      <c r="R110" s="473">
        <f t="shared" si="63"/>
        <v>0</v>
      </c>
      <c r="U110" s="287"/>
      <c r="W110" s="48"/>
      <c r="X110" s="48"/>
      <c r="Y110" s="48"/>
      <c r="Z110" s="48"/>
      <c r="AA110" s="48"/>
      <c r="AB110" s="48"/>
      <c r="AC110" s="48"/>
      <c r="AD110" s="48"/>
      <c r="AE110" s="48"/>
      <c r="AF110" s="48"/>
      <c r="AG110" s="48"/>
      <c r="AH110" s="48"/>
      <c r="AI110" s="48"/>
      <c r="AJ110" s="48"/>
      <c r="AK110" s="48"/>
      <c r="AL110" s="48"/>
      <c r="AM110" s="48"/>
      <c r="AN110" s="48"/>
      <c r="AO110" s="48"/>
    </row>
    <row r="111" spans="1:41">
      <c r="A111" s="290">
        <f>ROW()</f>
        <v>111</v>
      </c>
      <c r="B111" s="32" t="s">
        <v>53</v>
      </c>
      <c r="C111" s="11"/>
      <c r="D111" s="11"/>
      <c r="E111" s="473">
        <f t="shared" ref="E111:R111" si="64">IFERROR(E47/E$36,0)</f>
        <v>0</v>
      </c>
      <c r="F111" s="473">
        <f t="shared" si="64"/>
        <v>0</v>
      </c>
      <c r="G111" s="473">
        <f t="shared" si="64"/>
        <v>0</v>
      </c>
      <c r="H111" s="473">
        <f t="shared" si="64"/>
        <v>0</v>
      </c>
      <c r="I111" s="473">
        <f t="shared" si="64"/>
        <v>0</v>
      </c>
      <c r="J111" s="473">
        <f t="shared" si="64"/>
        <v>0</v>
      </c>
      <c r="K111" s="473">
        <f t="shared" si="64"/>
        <v>0</v>
      </c>
      <c r="L111" s="473">
        <f t="shared" si="64"/>
        <v>0</v>
      </c>
      <c r="M111" s="473">
        <f t="shared" si="64"/>
        <v>0</v>
      </c>
      <c r="N111" s="473">
        <f t="shared" si="64"/>
        <v>0</v>
      </c>
      <c r="O111" s="473">
        <f t="shared" si="64"/>
        <v>0</v>
      </c>
      <c r="P111" s="473">
        <f t="shared" si="64"/>
        <v>0</v>
      </c>
      <c r="Q111" s="473">
        <f t="shared" si="64"/>
        <v>0</v>
      </c>
      <c r="R111" s="473">
        <f t="shared" si="64"/>
        <v>0</v>
      </c>
      <c r="U111" s="287"/>
      <c r="W111" s="48"/>
      <c r="X111" s="48"/>
      <c r="Y111" s="48"/>
      <c r="Z111" s="48"/>
      <c r="AA111" s="48"/>
      <c r="AB111" s="48"/>
      <c r="AC111" s="48"/>
      <c r="AD111" s="48"/>
      <c r="AE111" s="48"/>
      <c r="AF111" s="48"/>
      <c r="AG111" s="48"/>
      <c r="AH111" s="48"/>
      <c r="AI111" s="48"/>
      <c r="AJ111" s="48"/>
      <c r="AK111" s="48"/>
      <c r="AL111" s="48"/>
      <c r="AM111" s="48"/>
      <c r="AN111" s="48"/>
      <c r="AO111" s="48"/>
    </row>
    <row r="112" spans="1:41">
      <c r="A112" s="290">
        <f>ROW()</f>
        <v>112</v>
      </c>
      <c r="B112" s="11" t="s">
        <v>410</v>
      </c>
      <c r="C112" s="11"/>
      <c r="D112" s="11"/>
      <c r="E112" s="473">
        <f t="shared" ref="E112:R112" si="65">IFERROR(E48/E$36,0)</f>
        <v>0.24353032774158645</v>
      </c>
      <c r="F112" s="473">
        <f t="shared" si="65"/>
        <v>0.2472</v>
      </c>
      <c r="G112" s="473">
        <f t="shared" si="65"/>
        <v>0.26300591583770794</v>
      </c>
      <c r="H112" s="473">
        <f t="shared" si="65"/>
        <v>0.26300591583770794</v>
      </c>
      <c r="I112" s="473">
        <f t="shared" si="65"/>
        <v>0.26300591583770794</v>
      </c>
      <c r="J112" s="473">
        <f t="shared" si="65"/>
        <v>0.26300591583770794</v>
      </c>
      <c r="K112" s="473">
        <f t="shared" si="65"/>
        <v>0.26300591583770794</v>
      </c>
      <c r="L112" s="473">
        <f t="shared" si="65"/>
        <v>0.26300591583770794</v>
      </c>
      <c r="M112" s="473">
        <f t="shared" si="65"/>
        <v>0.26300591583770794</v>
      </c>
      <c r="N112" s="473">
        <f t="shared" si="65"/>
        <v>0.26300591583770794</v>
      </c>
      <c r="O112" s="473">
        <f t="shared" si="65"/>
        <v>0.26300591583770794</v>
      </c>
      <c r="P112" s="473">
        <f t="shared" si="65"/>
        <v>0.26300591583770794</v>
      </c>
      <c r="Q112" s="473">
        <f t="shared" si="65"/>
        <v>0.27747290040629657</v>
      </c>
      <c r="R112" s="473">
        <f t="shared" si="65"/>
        <v>0</v>
      </c>
      <c r="U112" s="287"/>
      <c r="W112" s="48"/>
      <c r="X112" s="48"/>
      <c r="Y112" s="48"/>
      <c r="Z112" s="48"/>
      <c r="AA112" s="48"/>
      <c r="AB112" s="48"/>
      <c r="AC112" s="48"/>
      <c r="AD112" s="48"/>
      <c r="AE112" s="48"/>
      <c r="AF112" s="48"/>
      <c r="AG112" s="48"/>
      <c r="AH112" s="48"/>
      <c r="AI112" s="48"/>
      <c r="AJ112" s="48"/>
      <c r="AK112" s="48"/>
      <c r="AL112" s="48"/>
      <c r="AM112" s="48"/>
      <c r="AN112" s="48"/>
      <c r="AO112" s="48"/>
    </row>
    <row r="113" spans="1:41">
      <c r="A113" s="290">
        <f>ROW()</f>
        <v>113</v>
      </c>
      <c r="B113" s="11" t="s">
        <v>411</v>
      </c>
      <c r="C113" s="11"/>
      <c r="D113" s="11"/>
      <c r="E113" s="473">
        <f>IFERROR(#REF!/E$36,0)</f>
        <v>0</v>
      </c>
      <c r="F113" s="473">
        <f>IFERROR(#REF!/F$36,0)</f>
        <v>0</v>
      </c>
      <c r="G113" s="473">
        <f>IFERROR(#REF!/G$36,0)</f>
        <v>0</v>
      </c>
      <c r="H113" s="473">
        <f>IFERROR(#REF!/H$36,0)</f>
        <v>0</v>
      </c>
      <c r="I113" s="473">
        <f>IFERROR(#REF!/I$36,0)</f>
        <v>0</v>
      </c>
      <c r="J113" s="473">
        <f>IFERROR(#REF!/J$36,0)</f>
        <v>0</v>
      </c>
      <c r="K113" s="473">
        <f>IFERROR(#REF!/K$36,0)</f>
        <v>0</v>
      </c>
      <c r="L113" s="473">
        <f>IFERROR(#REF!/L$36,0)</f>
        <v>0</v>
      </c>
      <c r="M113" s="473">
        <f>IFERROR(#REF!/M$36,0)</f>
        <v>0</v>
      </c>
      <c r="N113" s="473">
        <f>IFERROR(#REF!/N$36,0)</f>
        <v>0</v>
      </c>
      <c r="O113" s="473">
        <f>IFERROR(#REF!/O$36,0)</f>
        <v>0</v>
      </c>
      <c r="P113" s="473">
        <f>IFERROR(#REF!/P$36,0)</f>
        <v>0</v>
      </c>
      <c r="Q113" s="473">
        <f>IFERROR(#REF!/Q$36,0)</f>
        <v>0</v>
      </c>
      <c r="R113" s="473">
        <f>IFERROR(#REF!/R$36,0)</f>
        <v>0</v>
      </c>
      <c r="U113" s="287"/>
      <c r="W113" s="48"/>
      <c r="X113" s="48"/>
      <c r="Y113" s="48"/>
      <c r="Z113" s="48"/>
      <c r="AA113" s="48"/>
      <c r="AB113" s="48"/>
      <c r="AC113" s="48"/>
      <c r="AD113" s="48"/>
      <c r="AE113" s="48"/>
      <c r="AF113" s="48"/>
      <c r="AG113" s="48"/>
      <c r="AH113" s="48"/>
      <c r="AI113" s="48"/>
      <c r="AJ113" s="48"/>
      <c r="AK113" s="48"/>
      <c r="AL113" s="48"/>
      <c r="AM113" s="48"/>
      <c r="AN113" s="48"/>
      <c r="AO113" s="48"/>
    </row>
    <row r="114" spans="1:41">
      <c r="A114" s="290">
        <f>ROW()</f>
        <v>114</v>
      </c>
      <c r="B114" s="11" t="s">
        <v>412</v>
      </c>
      <c r="C114" s="11"/>
      <c r="D114" s="11"/>
      <c r="E114" s="473">
        <f>IFERROR(#REF!/E$36,0)</f>
        <v>0</v>
      </c>
      <c r="F114" s="473">
        <f>IFERROR(#REF!/F$36,0)</f>
        <v>0</v>
      </c>
      <c r="G114" s="473">
        <f>IFERROR(#REF!/G$36,0)</f>
        <v>0</v>
      </c>
      <c r="H114" s="473">
        <f>IFERROR(#REF!/H$36,0)</f>
        <v>0</v>
      </c>
      <c r="I114" s="473">
        <f>IFERROR(#REF!/I$36,0)</f>
        <v>0</v>
      </c>
      <c r="J114" s="473">
        <f>IFERROR(#REF!/J$36,0)</f>
        <v>0</v>
      </c>
      <c r="K114" s="473">
        <f>IFERROR(#REF!/K$36,0)</f>
        <v>0</v>
      </c>
      <c r="L114" s="473">
        <f>IFERROR(#REF!/L$36,0)</f>
        <v>0</v>
      </c>
      <c r="M114" s="473">
        <f>IFERROR(#REF!/M$36,0)</f>
        <v>0</v>
      </c>
      <c r="N114" s="473">
        <f>IFERROR(#REF!/N$36,0)</f>
        <v>0</v>
      </c>
      <c r="O114" s="473">
        <f>IFERROR(#REF!/O$36,0)</f>
        <v>0</v>
      </c>
      <c r="P114" s="473">
        <f>IFERROR(#REF!/P$36,0)</f>
        <v>0</v>
      </c>
      <c r="Q114" s="473">
        <f>IFERROR(#REF!/Q$36,0)</f>
        <v>0</v>
      </c>
      <c r="R114" s="473">
        <f>IFERROR(#REF!/R$36,0)</f>
        <v>0</v>
      </c>
      <c r="U114" s="287"/>
      <c r="W114" s="48"/>
      <c r="X114" s="48"/>
      <c r="Y114" s="48"/>
      <c r="Z114" s="48"/>
      <c r="AA114" s="48"/>
      <c r="AB114" s="48"/>
      <c r="AC114" s="48"/>
      <c r="AD114" s="48"/>
      <c r="AE114" s="48"/>
      <c r="AF114" s="48"/>
      <c r="AG114" s="48"/>
      <c r="AH114" s="48"/>
      <c r="AI114" s="48"/>
      <c r="AJ114" s="48"/>
      <c r="AK114" s="48"/>
      <c r="AL114" s="48"/>
      <c r="AM114" s="48"/>
      <c r="AN114" s="48"/>
      <c r="AO114" s="48"/>
    </row>
    <row r="115" spans="1:41">
      <c r="A115" s="290">
        <f>ROW()</f>
        <v>115</v>
      </c>
      <c r="B115" s="97" t="s">
        <v>413</v>
      </c>
      <c r="C115" s="11"/>
      <c r="D115" s="11"/>
      <c r="E115" s="473">
        <f>IFERROR(#REF!/E$36,0)</f>
        <v>0</v>
      </c>
      <c r="F115" s="473">
        <f>IFERROR(#REF!/F$36,0)</f>
        <v>0</v>
      </c>
      <c r="G115" s="473">
        <f>IFERROR(#REF!/G$36,0)</f>
        <v>0</v>
      </c>
      <c r="H115" s="473">
        <f>IFERROR(#REF!/H$36,0)</f>
        <v>0</v>
      </c>
      <c r="I115" s="473">
        <f>IFERROR(#REF!/I$36,0)</f>
        <v>0</v>
      </c>
      <c r="J115" s="473">
        <f>IFERROR(#REF!/J$36,0)</f>
        <v>0</v>
      </c>
      <c r="K115" s="473">
        <f>IFERROR(#REF!/K$36,0)</f>
        <v>0</v>
      </c>
      <c r="L115" s="473">
        <f>IFERROR(#REF!/L$36,0)</f>
        <v>0</v>
      </c>
      <c r="M115" s="473">
        <f>IFERROR(#REF!/M$36,0)</f>
        <v>0</v>
      </c>
      <c r="N115" s="473">
        <f>IFERROR(#REF!/N$36,0)</f>
        <v>0</v>
      </c>
      <c r="O115" s="473">
        <f>IFERROR(#REF!/O$36,0)</f>
        <v>0</v>
      </c>
      <c r="P115" s="473">
        <f>IFERROR(#REF!/P$36,0)</f>
        <v>0</v>
      </c>
      <c r="Q115" s="473">
        <f>IFERROR(#REF!/Q$36,0)</f>
        <v>0</v>
      </c>
      <c r="R115" s="473">
        <f>IFERROR(#REF!/R$36,0)</f>
        <v>0</v>
      </c>
      <c r="U115" s="287"/>
      <c r="W115" s="48"/>
      <c r="X115" s="48"/>
      <c r="Y115" s="48"/>
      <c r="Z115" s="48"/>
      <c r="AA115" s="48"/>
      <c r="AB115" s="48"/>
      <c r="AC115" s="48"/>
      <c r="AD115" s="48"/>
      <c r="AE115" s="48"/>
      <c r="AF115" s="48"/>
      <c r="AG115" s="48"/>
      <c r="AH115" s="48"/>
      <c r="AI115" s="48"/>
      <c r="AJ115" s="48"/>
      <c r="AK115" s="48"/>
      <c r="AL115" s="48"/>
      <c r="AM115" s="48"/>
      <c r="AN115" s="48"/>
      <c r="AO115" s="48"/>
    </row>
    <row r="116" spans="1:41">
      <c r="A116" s="290">
        <f>ROW()</f>
        <v>116</v>
      </c>
      <c r="B116" s="97" t="s">
        <v>414</v>
      </c>
      <c r="C116" s="11"/>
      <c r="D116" s="11"/>
      <c r="E116" s="473">
        <f>IFERROR(#REF!/E$36,0)</f>
        <v>0</v>
      </c>
      <c r="F116" s="473">
        <f>IFERROR(#REF!/F$36,0)</f>
        <v>0</v>
      </c>
      <c r="G116" s="473">
        <f>IFERROR(#REF!/G$36,0)</f>
        <v>0</v>
      </c>
      <c r="H116" s="473">
        <f>IFERROR(#REF!/H$36,0)</f>
        <v>0</v>
      </c>
      <c r="I116" s="473">
        <f>IFERROR(#REF!/I$36,0)</f>
        <v>0</v>
      </c>
      <c r="J116" s="473">
        <f>IFERROR(#REF!/J$36,0)</f>
        <v>0</v>
      </c>
      <c r="K116" s="473">
        <f>IFERROR(#REF!/K$36,0)</f>
        <v>0</v>
      </c>
      <c r="L116" s="473">
        <f>IFERROR(#REF!/L$36,0)</f>
        <v>0</v>
      </c>
      <c r="M116" s="473">
        <f>IFERROR(#REF!/M$36,0)</f>
        <v>0</v>
      </c>
      <c r="N116" s="473">
        <f>IFERROR(#REF!/N$36,0)</f>
        <v>0</v>
      </c>
      <c r="O116" s="473">
        <f>IFERROR(#REF!/O$36,0)</f>
        <v>0</v>
      </c>
      <c r="P116" s="473">
        <f>IFERROR(#REF!/P$36,0)</f>
        <v>0</v>
      </c>
      <c r="Q116" s="473">
        <f>IFERROR(#REF!/Q$36,0)</f>
        <v>0</v>
      </c>
      <c r="R116" s="473">
        <f>IFERROR(#REF!/R$36,0)</f>
        <v>0</v>
      </c>
      <c r="U116" s="287"/>
      <c r="W116" s="48"/>
      <c r="X116" s="48"/>
      <c r="Y116" s="48"/>
      <c r="Z116" s="48"/>
      <c r="AA116" s="48"/>
      <c r="AB116" s="48"/>
      <c r="AC116" s="48"/>
      <c r="AD116" s="48"/>
      <c r="AE116" s="48"/>
      <c r="AF116" s="48"/>
      <c r="AG116" s="48"/>
      <c r="AH116" s="48"/>
      <c r="AI116" s="48"/>
      <c r="AJ116" s="48"/>
      <c r="AK116" s="48"/>
      <c r="AL116" s="48"/>
      <c r="AM116" s="48"/>
      <c r="AN116" s="48"/>
      <c r="AO116" s="48"/>
    </row>
    <row r="117" spans="1:41">
      <c r="A117" s="290">
        <f>ROW()</f>
        <v>117</v>
      </c>
      <c r="B117" s="97" t="s">
        <v>415</v>
      </c>
      <c r="C117" s="11"/>
      <c r="D117" s="11"/>
      <c r="E117" s="473">
        <f>IFERROR(#REF!/E$36,0)</f>
        <v>0</v>
      </c>
      <c r="F117" s="473">
        <f>IFERROR(#REF!/F$36,0)</f>
        <v>0</v>
      </c>
      <c r="G117" s="473">
        <f>IFERROR(#REF!/G$36,0)</f>
        <v>0</v>
      </c>
      <c r="H117" s="473">
        <f>IFERROR(#REF!/H$36,0)</f>
        <v>0</v>
      </c>
      <c r="I117" s="473">
        <f>IFERROR(#REF!/I$36,0)</f>
        <v>0</v>
      </c>
      <c r="J117" s="473">
        <f>IFERROR(#REF!/J$36,0)</f>
        <v>0</v>
      </c>
      <c r="K117" s="473">
        <f>IFERROR(#REF!/K$36,0)</f>
        <v>0</v>
      </c>
      <c r="L117" s="473">
        <f>IFERROR(#REF!/L$36,0)</f>
        <v>0</v>
      </c>
      <c r="M117" s="473">
        <f>IFERROR(#REF!/M$36,0)</f>
        <v>0</v>
      </c>
      <c r="N117" s="473">
        <f>IFERROR(#REF!/N$36,0)</f>
        <v>0</v>
      </c>
      <c r="O117" s="473">
        <f>IFERROR(#REF!/O$36,0)</f>
        <v>0</v>
      </c>
      <c r="P117" s="473">
        <f>IFERROR(#REF!/P$36,0)</f>
        <v>0</v>
      </c>
      <c r="Q117" s="473">
        <f>IFERROR(#REF!/Q$36,0)</f>
        <v>0</v>
      </c>
      <c r="R117" s="473">
        <f>IFERROR(#REF!/R$36,0)</f>
        <v>0</v>
      </c>
      <c r="U117" s="287"/>
      <c r="W117" s="48"/>
      <c r="X117" s="48"/>
      <c r="Y117" s="48"/>
      <c r="Z117" s="48"/>
      <c r="AA117" s="48"/>
      <c r="AB117" s="48"/>
      <c r="AC117" s="48"/>
      <c r="AD117" s="48"/>
      <c r="AE117" s="48"/>
      <c r="AF117" s="48"/>
      <c r="AG117" s="48"/>
      <c r="AH117" s="48"/>
      <c r="AI117" s="48"/>
      <c r="AJ117" s="48"/>
      <c r="AK117" s="48"/>
      <c r="AL117" s="48"/>
      <c r="AM117" s="48"/>
      <c r="AN117" s="48"/>
      <c r="AO117" s="48"/>
    </row>
    <row r="118" spans="1:41">
      <c r="A118" s="290">
        <f>ROW()</f>
        <v>118</v>
      </c>
      <c r="B118" s="11" t="s">
        <v>380</v>
      </c>
      <c r="C118" s="11"/>
      <c r="D118" s="11"/>
      <c r="E118" s="473">
        <f t="shared" ref="E118:R118" si="66">IFERROR(E49/E$36,0)</f>
        <v>0</v>
      </c>
      <c r="F118" s="473">
        <f t="shared" si="66"/>
        <v>0</v>
      </c>
      <c r="G118" s="473">
        <f t="shared" si="66"/>
        <v>0</v>
      </c>
      <c r="H118" s="473">
        <f t="shared" si="66"/>
        <v>0</v>
      </c>
      <c r="I118" s="473">
        <f t="shared" si="66"/>
        <v>0</v>
      </c>
      <c r="J118" s="473">
        <f t="shared" si="66"/>
        <v>0</v>
      </c>
      <c r="K118" s="473">
        <f t="shared" si="66"/>
        <v>0</v>
      </c>
      <c r="L118" s="473">
        <f t="shared" si="66"/>
        <v>0</v>
      </c>
      <c r="M118" s="473">
        <f t="shared" si="66"/>
        <v>0</v>
      </c>
      <c r="N118" s="473">
        <f t="shared" si="66"/>
        <v>0</v>
      </c>
      <c r="O118" s="473">
        <f t="shared" si="66"/>
        <v>0</v>
      </c>
      <c r="P118" s="473">
        <f t="shared" si="66"/>
        <v>0</v>
      </c>
      <c r="Q118" s="473">
        <f t="shared" si="66"/>
        <v>0</v>
      </c>
      <c r="R118" s="473">
        <f t="shared" si="66"/>
        <v>0</v>
      </c>
      <c r="U118" s="287"/>
      <c r="W118" s="48"/>
      <c r="X118" s="48"/>
      <c r="Y118" s="48"/>
      <c r="Z118" s="48"/>
      <c r="AA118" s="48"/>
      <c r="AB118" s="48"/>
      <c r="AC118" s="48"/>
      <c r="AD118" s="48"/>
      <c r="AE118" s="48"/>
      <c r="AF118" s="48"/>
      <c r="AG118" s="48"/>
      <c r="AH118" s="48"/>
      <c r="AI118" s="48"/>
      <c r="AJ118" s="48"/>
      <c r="AK118" s="48"/>
      <c r="AL118" s="48"/>
      <c r="AM118" s="48"/>
      <c r="AN118" s="48"/>
      <c r="AO118" s="48"/>
    </row>
    <row r="119" spans="1:41">
      <c r="A119" s="290">
        <f>ROW()</f>
        <v>119</v>
      </c>
      <c r="B119" s="97" t="s">
        <v>113</v>
      </c>
      <c r="C119" s="11"/>
      <c r="D119" s="11"/>
      <c r="E119" s="473">
        <f t="shared" ref="E119:R119" si="67">IFERROR(E50/E$36,0)</f>
        <v>9.7427729384886627E-2</v>
      </c>
      <c r="F119" s="473">
        <f t="shared" si="67"/>
        <v>1.18675</v>
      </c>
      <c r="G119" s="473">
        <f t="shared" si="67"/>
        <v>0</v>
      </c>
      <c r="H119" s="473">
        <f t="shared" si="67"/>
        <v>0</v>
      </c>
      <c r="I119" s="473">
        <f t="shared" si="67"/>
        <v>0</v>
      </c>
      <c r="J119" s="473">
        <f t="shared" si="67"/>
        <v>0</v>
      </c>
      <c r="K119" s="473">
        <f t="shared" si="67"/>
        <v>0</v>
      </c>
      <c r="L119" s="473">
        <f t="shared" si="67"/>
        <v>0</v>
      </c>
      <c r="M119" s="473">
        <f t="shared" si="67"/>
        <v>0</v>
      </c>
      <c r="N119" s="473">
        <f t="shared" si="67"/>
        <v>0</v>
      </c>
      <c r="O119" s="473">
        <f t="shared" si="67"/>
        <v>0</v>
      </c>
      <c r="P119" s="473">
        <f t="shared" si="67"/>
        <v>0</v>
      </c>
      <c r="Q119" s="473">
        <f t="shared" si="67"/>
        <v>0</v>
      </c>
      <c r="R119" s="473">
        <f t="shared" si="67"/>
        <v>0</v>
      </c>
      <c r="U119" s="287"/>
      <c r="W119" s="48"/>
      <c r="X119" s="48"/>
      <c r="Y119" s="48"/>
      <c r="Z119" s="48"/>
      <c r="AA119" s="48"/>
      <c r="AB119" s="48"/>
      <c r="AC119" s="48"/>
      <c r="AD119" s="48"/>
      <c r="AE119" s="48"/>
      <c r="AF119" s="48"/>
      <c r="AG119" s="48"/>
      <c r="AH119" s="48"/>
      <c r="AI119" s="48"/>
      <c r="AJ119" s="48"/>
      <c r="AK119" s="48"/>
      <c r="AL119" s="48"/>
      <c r="AM119" s="48"/>
      <c r="AN119" s="48"/>
      <c r="AO119" s="48"/>
    </row>
    <row r="120" spans="1:41">
      <c r="A120" s="290">
        <f>ROW()</f>
        <v>120</v>
      </c>
      <c r="B120" s="97" t="s">
        <v>51</v>
      </c>
      <c r="C120" s="11"/>
      <c r="D120" s="11"/>
      <c r="E120" s="472">
        <f t="shared" ref="E120:R120" si="68">IFERROR(E52/E$36,0)</f>
        <v>9.8515504749832703E-3</v>
      </c>
      <c r="F120" s="472">
        <f t="shared" si="68"/>
        <v>0.01</v>
      </c>
      <c r="G120" s="472">
        <f t="shared" si="68"/>
        <v>1.0639397889874917E-2</v>
      </c>
      <c r="H120" s="472">
        <f t="shared" si="68"/>
        <v>1.0639397889874917E-2</v>
      </c>
      <c r="I120" s="472">
        <f t="shared" si="68"/>
        <v>1.0639397889874917E-2</v>
      </c>
      <c r="J120" s="472">
        <f t="shared" si="68"/>
        <v>1.0639397889874917E-2</v>
      </c>
      <c r="K120" s="472">
        <f t="shared" si="68"/>
        <v>1.0639397889874917E-2</v>
      </c>
      <c r="L120" s="472">
        <f t="shared" si="68"/>
        <v>1.0639397889874917E-2</v>
      </c>
      <c r="M120" s="472">
        <f t="shared" si="68"/>
        <v>1.0639397889874917E-2</v>
      </c>
      <c r="N120" s="472">
        <f t="shared" si="68"/>
        <v>1.0639397889874917E-2</v>
      </c>
      <c r="O120" s="472">
        <f t="shared" si="68"/>
        <v>1.0639397889874917E-2</v>
      </c>
      <c r="P120" s="472">
        <f t="shared" si="68"/>
        <v>1.0639397889874917E-2</v>
      </c>
      <c r="Q120" s="472">
        <f t="shared" si="68"/>
        <v>1.1224631893458601E-2</v>
      </c>
      <c r="R120" s="472">
        <f t="shared" si="68"/>
        <v>0</v>
      </c>
      <c r="U120" s="287"/>
      <c r="W120" s="48"/>
      <c r="X120" s="48"/>
      <c r="Y120" s="48"/>
      <c r="Z120" s="48"/>
      <c r="AA120" s="48"/>
      <c r="AB120" s="48"/>
      <c r="AC120" s="48"/>
      <c r="AD120" s="48"/>
      <c r="AE120" s="48"/>
      <c r="AF120" s="48"/>
      <c r="AG120" s="48"/>
      <c r="AH120" s="48"/>
      <c r="AI120" s="48"/>
      <c r="AJ120" s="48"/>
      <c r="AK120" s="48"/>
      <c r="AL120" s="48"/>
      <c r="AM120" s="48"/>
      <c r="AN120" s="48"/>
      <c r="AO120" s="48"/>
    </row>
    <row r="121" spans="1:41">
      <c r="A121" s="290">
        <f>ROW()</f>
        <v>121</v>
      </c>
      <c r="B121" s="12" t="s">
        <v>381</v>
      </c>
      <c r="C121" s="11"/>
      <c r="D121" s="12"/>
      <c r="E121" s="481">
        <f t="shared" ref="E121:R121" si="69">IFERROR(E50/E$36,0)</f>
        <v>9.7427729384886627E-2</v>
      </c>
      <c r="F121" s="481">
        <f t="shared" si="69"/>
        <v>1.18675</v>
      </c>
      <c r="G121" s="481">
        <f t="shared" si="69"/>
        <v>0</v>
      </c>
      <c r="H121" s="481">
        <f t="shared" si="69"/>
        <v>0</v>
      </c>
      <c r="I121" s="481">
        <f t="shared" si="69"/>
        <v>0</v>
      </c>
      <c r="J121" s="481">
        <f t="shared" si="69"/>
        <v>0</v>
      </c>
      <c r="K121" s="481">
        <f t="shared" si="69"/>
        <v>0</v>
      </c>
      <c r="L121" s="481">
        <f t="shared" si="69"/>
        <v>0</v>
      </c>
      <c r="M121" s="481">
        <f t="shared" si="69"/>
        <v>0</v>
      </c>
      <c r="N121" s="481">
        <f t="shared" si="69"/>
        <v>0</v>
      </c>
      <c r="O121" s="481">
        <f t="shared" si="69"/>
        <v>0</v>
      </c>
      <c r="P121" s="481">
        <f t="shared" si="69"/>
        <v>0</v>
      </c>
      <c r="Q121" s="481">
        <f t="shared" si="69"/>
        <v>0</v>
      </c>
      <c r="R121" s="481">
        <f t="shared" si="69"/>
        <v>0</v>
      </c>
      <c r="U121" s="287"/>
      <c r="W121" s="48"/>
      <c r="X121" s="48"/>
      <c r="Y121" s="48"/>
      <c r="Z121" s="48"/>
      <c r="AA121" s="48"/>
      <c r="AB121" s="48"/>
      <c r="AC121" s="48"/>
      <c r="AD121" s="48"/>
      <c r="AE121" s="48"/>
      <c r="AF121" s="48"/>
      <c r="AG121" s="48"/>
      <c r="AH121" s="48"/>
      <c r="AI121" s="48"/>
      <c r="AJ121" s="48"/>
      <c r="AK121" s="48"/>
      <c r="AL121" s="48"/>
      <c r="AM121" s="48"/>
      <c r="AN121" s="48"/>
      <c r="AO121" s="48"/>
    </row>
    <row r="122" spans="1:41">
      <c r="A122" s="290">
        <f>ROW()</f>
        <v>122</v>
      </c>
      <c r="B122" s="12" t="s">
        <v>385</v>
      </c>
      <c r="C122" s="11"/>
      <c r="D122" s="12"/>
      <c r="E122" s="479"/>
      <c r="F122" s="480">
        <f t="shared" ref="F122:R122" si="70">IFERROR(F52/F$36,0)</f>
        <v>0.01</v>
      </c>
      <c r="G122" s="480">
        <f t="shared" si="70"/>
        <v>1.0639397889874917E-2</v>
      </c>
      <c r="H122" s="480">
        <f t="shared" si="70"/>
        <v>1.0639397889874917E-2</v>
      </c>
      <c r="I122" s="480">
        <f t="shared" si="70"/>
        <v>1.0639397889874917E-2</v>
      </c>
      <c r="J122" s="480">
        <f t="shared" si="70"/>
        <v>1.0639397889874917E-2</v>
      </c>
      <c r="K122" s="480">
        <f t="shared" si="70"/>
        <v>1.0639397889874917E-2</v>
      </c>
      <c r="L122" s="480">
        <f t="shared" si="70"/>
        <v>1.0639397889874917E-2</v>
      </c>
      <c r="M122" s="480">
        <f t="shared" si="70"/>
        <v>1.0639397889874917E-2</v>
      </c>
      <c r="N122" s="480">
        <f t="shared" si="70"/>
        <v>1.0639397889874917E-2</v>
      </c>
      <c r="O122" s="480">
        <f t="shared" si="70"/>
        <v>1.0639397889874917E-2</v>
      </c>
      <c r="P122" s="480">
        <f t="shared" si="70"/>
        <v>1.0639397889874917E-2</v>
      </c>
      <c r="Q122" s="480">
        <f t="shared" si="70"/>
        <v>1.1224631893458601E-2</v>
      </c>
      <c r="R122" s="480">
        <f t="shared" si="70"/>
        <v>0</v>
      </c>
      <c r="U122" s="287"/>
      <c r="W122" s="48"/>
      <c r="X122" s="48"/>
      <c r="Y122" s="48"/>
      <c r="Z122" s="48"/>
      <c r="AA122" s="48"/>
      <c r="AB122" s="48"/>
      <c r="AC122" s="48"/>
      <c r="AD122" s="48"/>
      <c r="AE122" s="48"/>
      <c r="AF122" s="48"/>
      <c r="AG122" s="48"/>
      <c r="AH122" s="48"/>
      <c r="AI122" s="48"/>
      <c r="AJ122" s="48"/>
      <c r="AK122" s="48"/>
      <c r="AL122" s="48"/>
      <c r="AM122" s="48"/>
      <c r="AN122" s="48"/>
      <c r="AO122" s="48"/>
    </row>
    <row r="123" spans="1:41">
      <c r="A123" s="290">
        <f>ROW()</f>
        <v>123</v>
      </c>
      <c r="B123" s="98" t="s">
        <v>416</v>
      </c>
      <c r="C123" s="76"/>
      <c r="D123" s="76"/>
      <c r="E123" s="76"/>
      <c r="F123" s="76"/>
      <c r="G123" s="76"/>
      <c r="H123" s="76"/>
      <c r="I123" s="76"/>
      <c r="J123" s="76"/>
      <c r="K123" s="76"/>
      <c r="L123" s="76"/>
      <c r="M123" s="76"/>
      <c r="N123" s="76"/>
      <c r="O123" s="76"/>
      <c r="P123" s="76"/>
      <c r="Q123" s="76"/>
      <c r="R123" s="76"/>
      <c r="U123" s="287"/>
      <c r="W123" s="48"/>
      <c r="X123" s="48"/>
      <c r="Y123" s="48"/>
      <c r="Z123" s="48"/>
      <c r="AA123" s="48"/>
      <c r="AB123" s="48"/>
      <c r="AC123" s="48"/>
      <c r="AD123" s="48"/>
      <c r="AE123" s="48"/>
      <c r="AF123" s="48"/>
      <c r="AG123" s="48"/>
      <c r="AH123" s="48"/>
      <c r="AI123" s="48"/>
      <c r="AJ123" s="48"/>
      <c r="AK123" s="48"/>
      <c r="AL123" s="48"/>
      <c r="AM123" s="48"/>
      <c r="AN123" s="48"/>
      <c r="AO123" s="48"/>
    </row>
    <row r="124" spans="1:41">
      <c r="A124" s="290">
        <f>ROW()</f>
        <v>124</v>
      </c>
      <c r="B124" s="11"/>
      <c r="C124" s="11"/>
      <c r="D124" s="11"/>
      <c r="E124" s="27"/>
      <c r="F124" s="486"/>
      <c r="G124" s="486"/>
      <c r="H124" s="486"/>
      <c r="I124" s="486"/>
      <c r="J124" s="486"/>
      <c r="K124" s="486"/>
      <c r="L124" s="486"/>
      <c r="M124" s="486"/>
      <c r="N124" s="486"/>
      <c r="O124" s="486"/>
      <c r="P124" s="486"/>
      <c r="Q124" s="486"/>
      <c r="R124" s="486"/>
      <c r="U124" s="287"/>
      <c r="W124" s="48"/>
      <c r="X124" s="48"/>
      <c r="Y124" s="48"/>
      <c r="Z124" s="48"/>
      <c r="AA124" s="48"/>
      <c r="AB124" s="48"/>
      <c r="AC124" s="48"/>
      <c r="AD124" s="48"/>
      <c r="AE124" s="48"/>
      <c r="AF124" s="48"/>
      <c r="AG124" s="48"/>
      <c r="AH124" s="48"/>
      <c r="AI124" s="48"/>
      <c r="AJ124" s="48"/>
      <c r="AK124" s="48"/>
      <c r="AL124" s="48"/>
      <c r="AM124" s="48"/>
      <c r="AN124" s="48"/>
      <c r="AO124" s="48"/>
    </row>
    <row r="125" spans="1:41">
      <c r="A125" s="290">
        <f>ROW()</f>
        <v>125</v>
      </c>
      <c r="B125" s="11" t="s">
        <v>417</v>
      </c>
      <c r="C125" s="11"/>
      <c r="D125" s="11"/>
      <c r="E125" s="485">
        <f t="shared" ref="E125:R125" si="71">IF(OR(E71=0,E$36=0),0,MAX(E71,E72)/E$36)</f>
        <v>0</v>
      </c>
      <c r="F125" s="474">
        <f t="shared" si="71"/>
        <v>0</v>
      </c>
      <c r="G125" s="474">
        <f t="shared" si="71"/>
        <v>0</v>
      </c>
      <c r="H125" s="474">
        <f t="shared" si="71"/>
        <v>0</v>
      </c>
      <c r="I125" s="474">
        <f t="shared" si="71"/>
        <v>0</v>
      </c>
      <c r="J125" s="474">
        <f t="shared" si="71"/>
        <v>0</v>
      </c>
      <c r="K125" s="474">
        <f t="shared" si="71"/>
        <v>0</v>
      </c>
      <c r="L125" s="474">
        <f t="shared" si="71"/>
        <v>0</v>
      </c>
      <c r="M125" s="474">
        <f t="shared" si="71"/>
        <v>0</v>
      </c>
      <c r="N125" s="474">
        <f t="shared" si="71"/>
        <v>0</v>
      </c>
      <c r="O125" s="474">
        <f t="shared" si="71"/>
        <v>0</v>
      </c>
      <c r="P125" s="474">
        <f t="shared" si="71"/>
        <v>0</v>
      </c>
      <c r="Q125" s="474">
        <f t="shared" si="71"/>
        <v>0</v>
      </c>
      <c r="R125" s="474">
        <f t="shared" si="71"/>
        <v>0</v>
      </c>
      <c r="U125" s="287"/>
      <c r="W125" s="48"/>
      <c r="X125" s="48"/>
      <c r="Y125" s="48"/>
      <c r="Z125" s="48"/>
      <c r="AA125" s="48"/>
      <c r="AB125" s="48"/>
      <c r="AC125" s="48"/>
      <c r="AD125" s="48"/>
      <c r="AE125" s="48"/>
      <c r="AF125" s="48"/>
      <c r="AG125" s="48"/>
      <c r="AH125" s="48"/>
      <c r="AI125" s="48"/>
      <c r="AJ125" s="48"/>
      <c r="AK125" s="48"/>
      <c r="AL125" s="48"/>
      <c r="AM125" s="48"/>
      <c r="AN125" s="48"/>
      <c r="AO125" s="48"/>
    </row>
    <row r="126" spans="1:41">
      <c r="A126" s="290">
        <f>ROW()</f>
        <v>126</v>
      </c>
      <c r="B126" s="11"/>
      <c r="C126" s="11"/>
      <c r="D126" s="11"/>
      <c r="E126" s="479"/>
      <c r="F126" s="489"/>
      <c r="G126" s="489"/>
      <c r="H126" s="489"/>
      <c r="I126" s="489"/>
      <c r="J126" s="489"/>
      <c r="K126" s="489"/>
      <c r="L126" s="489"/>
      <c r="M126" s="489"/>
      <c r="N126" s="489"/>
      <c r="O126" s="489"/>
      <c r="P126" s="489"/>
      <c r="Q126" s="489"/>
      <c r="R126" s="489"/>
      <c r="U126" s="287"/>
      <c r="W126" s="48"/>
      <c r="X126" s="48"/>
      <c r="Y126" s="48"/>
      <c r="Z126" s="48"/>
      <c r="AA126" s="48"/>
      <c r="AB126" s="48"/>
      <c r="AC126" s="48"/>
      <c r="AD126" s="48"/>
      <c r="AE126" s="48"/>
      <c r="AF126" s="48"/>
      <c r="AG126" s="48"/>
      <c r="AH126" s="48"/>
      <c r="AI126" s="48"/>
      <c r="AJ126" s="48"/>
      <c r="AK126" s="48"/>
      <c r="AL126" s="48"/>
      <c r="AM126" s="48"/>
      <c r="AN126" s="48"/>
      <c r="AO126" s="48"/>
    </row>
    <row r="127" spans="1:41">
      <c r="A127" s="290">
        <f>ROW()</f>
        <v>127</v>
      </c>
      <c r="B127" s="11" t="s">
        <v>418</v>
      </c>
      <c r="C127" s="11"/>
      <c r="D127" s="11"/>
      <c r="E127" s="488"/>
      <c r="F127" s="655">
        <v>0.01</v>
      </c>
      <c r="G127" s="1631">
        <f t="shared" ref="G127:P127" si="72">F129</f>
        <v>0.01</v>
      </c>
      <c r="H127" s="1631">
        <f t="shared" si="72"/>
        <v>0.01</v>
      </c>
      <c r="I127" s="1631">
        <f t="shared" si="72"/>
        <v>0.01</v>
      </c>
      <c r="J127" s="1631">
        <f t="shared" si="72"/>
        <v>0.01</v>
      </c>
      <c r="K127" s="1631">
        <f t="shared" si="72"/>
        <v>0.01</v>
      </c>
      <c r="L127" s="1631">
        <f t="shared" si="72"/>
        <v>0.01</v>
      </c>
      <c r="M127" s="1631">
        <f t="shared" si="72"/>
        <v>0.01</v>
      </c>
      <c r="N127" s="1631">
        <f t="shared" si="72"/>
        <v>0.01</v>
      </c>
      <c r="O127" s="1631">
        <f t="shared" si="72"/>
        <v>0.01</v>
      </c>
      <c r="P127" s="1631">
        <f t="shared" si="72"/>
        <v>0.01</v>
      </c>
      <c r="Q127" s="1631">
        <f>O129</f>
        <v>0.01</v>
      </c>
      <c r="R127" s="1631">
        <f>P129</f>
        <v>0.01</v>
      </c>
      <c r="U127" s="287"/>
      <c r="W127" s="48"/>
      <c r="X127" s="48"/>
      <c r="Y127" s="48"/>
      <c r="Z127" s="48"/>
      <c r="AA127" s="48"/>
      <c r="AB127" s="48"/>
      <c r="AC127" s="48"/>
      <c r="AD127" s="48"/>
      <c r="AE127" s="48"/>
      <c r="AF127" s="48"/>
      <c r="AG127" s="48"/>
      <c r="AH127" s="48"/>
      <c r="AI127" s="48"/>
      <c r="AJ127" s="48"/>
      <c r="AK127" s="48"/>
      <c r="AL127" s="48"/>
      <c r="AM127" s="48"/>
      <c r="AN127" s="48"/>
      <c r="AO127" s="48"/>
    </row>
    <row r="128" spans="1:41">
      <c r="A128" s="290">
        <f>ROW()</f>
        <v>128</v>
      </c>
      <c r="B128" s="11"/>
      <c r="C128" s="11"/>
      <c r="D128" s="11"/>
      <c r="E128" s="484"/>
      <c r="F128" s="483"/>
      <c r="G128" s="487"/>
      <c r="H128" s="487"/>
      <c r="I128" s="487"/>
      <c r="J128" s="487"/>
      <c r="K128" s="487"/>
      <c r="L128" s="487"/>
      <c r="M128" s="487"/>
      <c r="N128" s="487"/>
      <c r="O128" s="487"/>
      <c r="P128" s="487"/>
      <c r="Q128" s="487"/>
      <c r="R128" s="487"/>
      <c r="U128" s="287"/>
      <c r="W128" s="48"/>
      <c r="X128" s="48"/>
      <c r="Y128" s="48"/>
      <c r="Z128" s="48"/>
      <c r="AA128" s="48"/>
      <c r="AB128" s="48"/>
      <c r="AC128" s="48"/>
      <c r="AD128" s="48"/>
      <c r="AE128" s="48"/>
      <c r="AF128" s="48"/>
      <c r="AG128" s="48"/>
      <c r="AH128" s="48"/>
      <c r="AI128" s="48"/>
      <c r="AJ128" s="48"/>
      <c r="AK128" s="48"/>
      <c r="AL128" s="48"/>
      <c r="AM128" s="48"/>
      <c r="AN128" s="48"/>
      <c r="AO128" s="48"/>
    </row>
    <row r="129" spans="1:41">
      <c r="A129" s="290">
        <f>ROW()</f>
        <v>129</v>
      </c>
      <c r="B129" s="12" t="s">
        <v>419</v>
      </c>
      <c r="C129" s="12"/>
      <c r="D129" s="12"/>
      <c r="E129" s="1625">
        <f>SUM(E127,E125)</f>
        <v>0</v>
      </c>
      <c r="F129" s="1626">
        <f>SUM(F127,F125)</f>
        <v>0.01</v>
      </c>
      <c r="G129" s="1626">
        <f>SUM(G127,G125)</f>
        <v>0.01</v>
      </c>
      <c r="H129" s="1626">
        <f t="shared" ref="H129:R129" si="73">SUM(H127,H125)</f>
        <v>0.01</v>
      </c>
      <c r="I129" s="1626">
        <f t="shared" si="73"/>
        <v>0.01</v>
      </c>
      <c r="J129" s="1626">
        <f t="shared" si="73"/>
        <v>0.01</v>
      </c>
      <c r="K129" s="1626">
        <f t="shared" si="73"/>
        <v>0.01</v>
      </c>
      <c r="L129" s="1626">
        <f t="shared" si="73"/>
        <v>0.01</v>
      </c>
      <c r="M129" s="1626">
        <f t="shared" si="73"/>
        <v>0.01</v>
      </c>
      <c r="N129" s="1626">
        <f t="shared" si="73"/>
        <v>0.01</v>
      </c>
      <c r="O129" s="1626">
        <f t="shared" si="73"/>
        <v>0.01</v>
      </c>
      <c r="P129" s="1626">
        <f t="shared" si="73"/>
        <v>0.01</v>
      </c>
      <c r="Q129" s="1626">
        <f t="shared" ref="Q129" si="74">SUM(Q127,Q125)</f>
        <v>0.01</v>
      </c>
      <c r="R129" s="1626">
        <f t="shared" si="73"/>
        <v>0.01</v>
      </c>
      <c r="U129" s="287"/>
      <c r="W129" s="48"/>
      <c r="X129" s="48"/>
      <c r="Y129" s="48"/>
      <c r="Z129" s="48"/>
      <c r="AA129" s="48"/>
      <c r="AB129" s="48"/>
      <c r="AC129" s="48"/>
      <c r="AD129" s="48"/>
      <c r="AE129" s="48"/>
      <c r="AF129" s="48"/>
      <c r="AG129" s="48"/>
      <c r="AH129" s="48"/>
      <c r="AI129" s="48"/>
      <c r="AJ129" s="48"/>
      <c r="AK129" s="48"/>
      <c r="AL129" s="48"/>
      <c r="AM129" s="48"/>
      <c r="AN129" s="48"/>
      <c r="AO129" s="48"/>
    </row>
    <row r="130" spans="1:41">
      <c r="A130" s="290">
        <f>ROW()</f>
        <v>130</v>
      </c>
      <c r="E130" s="1627"/>
      <c r="F130" s="1627"/>
      <c r="G130" s="1627"/>
      <c r="H130" s="1627"/>
      <c r="I130" s="1627"/>
      <c r="J130" s="1627"/>
      <c r="K130" s="1627"/>
      <c r="L130" s="1627"/>
      <c r="M130" s="1627"/>
      <c r="N130" s="1627"/>
      <c r="O130" s="1627"/>
      <c r="P130" s="1627"/>
      <c r="Q130" s="1627"/>
      <c r="R130" s="1627"/>
      <c r="U130" s="287"/>
      <c r="W130" s="48"/>
      <c r="X130" s="48"/>
      <c r="Y130" s="48"/>
      <c r="Z130" s="48"/>
      <c r="AA130" s="48"/>
      <c r="AB130" s="48"/>
      <c r="AC130" s="48"/>
      <c r="AD130" s="48"/>
      <c r="AE130" s="48"/>
      <c r="AF130" s="48"/>
      <c r="AG130" s="48"/>
      <c r="AH130" s="48"/>
      <c r="AI130" s="48"/>
      <c r="AJ130" s="48"/>
      <c r="AK130" s="48"/>
      <c r="AL130" s="48"/>
      <c r="AM130" s="48"/>
      <c r="AN130" s="48"/>
      <c r="AO130" s="48"/>
    </row>
    <row r="131" spans="1:41">
      <c r="A131" s="290">
        <f>ROW()</f>
        <v>131</v>
      </c>
      <c r="B131" s="32" t="s">
        <v>420</v>
      </c>
      <c r="E131" s="1627"/>
      <c r="F131" s="1628">
        <f>IFERROR(#REF!/F41,0)</f>
        <v>0</v>
      </c>
      <c r="G131" s="1628">
        <f>IFERROR(#REF!/G41,0)</f>
        <v>0</v>
      </c>
      <c r="H131" s="1628">
        <f>IFERROR(#REF!/H41,0)</f>
        <v>0</v>
      </c>
      <c r="I131" s="1628">
        <f>IFERROR(#REF!/I41,0)</f>
        <v>0</v>
      </c>
      <c r="J131" s="1628">
        <f>IFERROR(#REF!/J41,0)</f>
        <v>0</v>
      </c>
      <c r="K131" s="1628">
        <f>IFERROR(#REF!/K41,0)</f>
        <v>0</v>
      </c>
      <c r="L131" s="1628">
        <f>IFERROR(#REF!/L41,0)</f>
        <v>0</v>
      </c>
      <c r="M131" s="1628">
        <f>IFERROR(#REF!/M41,0)</f>
        <v>0</v>
      </c>
      <c r="N131" s="1628">
        <f>IFERROR(#REF!/N41,0)</f>
        <v>0</v>
      </c>
      <c r="O131" s="1628">
        <f>IFERROR(#REF!/O41,0)</f>
        <v>0</v>
      </c>
      <c r="P131" s="1628">
        <f>IFERROR(#REF!/P41,0)</f>
        <v>0</v>
      </c>
      <c r="Q131" s="1628">
        <f>IFERROR(#REF!/Q41,0)</f>
        <v>0</v>
      </c>
      <c r="R131" s="1628">
        <f>IFERROR(#REF!/R41,0)</f>
        <v>0</v>
      </c>
      <c r="U131" s="287"/>
      <c r="W131" s="48"/>
      <c r="X131" s="48"/>
      <c r="Y131" s="48"/>
      <c r="Z131" s="48"/>
      <c r="AA131" s="48"/>
      <c r="AB131" s="48"/>
      <c r="AC131" s="48"/>
      <c r="AD131" s="48"/>
      <c r="AE131" s="48"/>
      <c r="AF131" s="48"/>
      <c r="AG131" s="48"/>
      <c r="AH131" s="48"/>
      <c r="AI131" s="48"/>
      <c r="AJ131" s="48"/>
      <c r="AK131" s="48"/>
      <c r="AL131" s="48"/>
      <c r="AM131" s="48"/>
      <c r="AN131" s="48"/>
      <c r="AO131" s="48"/>
    </row>
    <row r="132" spans="1:41">
      <c r="A132" s="290">
        <f>ROW()</f>
        <v>132</v>
      </c>
      <c r="B132" s="78" t="s">
        <v>421</v>
      </c>
      <c r="C132" s="78"/>
      <c r="D132" s="78"/>
      <c r="E132" s="1627"/>
      <c r="F132" s="1629">
        <f>Statistics!$G$22</f>
        <v>14.5</v>
      </c>
      <c r="G132" s="1629">
        <f>Statistics!$G$22</f>
        <v>14.5</v>
      </c>
      <c r="H132" s="1629">
        <f>Statistics!$G$22</f>
        <v>14.5</v>
      </c>
      <c r="I132" s="1629">
        <f>Statistics!$G$22</f>
        <v>14.5</v>
      </c>
      <c r="J132" s="1629">
        <f>Statistics!$G$22</f>
        <v>14.5</v>
      </c>
      <c r="K132" s="1629">
        <f>Statistics!$G$22</f>
        <v>14.5</v>
      </c>
      <c r="L132" s="1629">
        <f>Statistics!$G$22</f>
        <v>14.5</v>
      </c>
      <c r="M132" s="1629">
        <f>Statistics!$G$22</f>
        <v>14.5</v>
      </c>
      <c r="N132" s="1629">
        <f>Statistics!$G$22</f>
        <v>14.5</v>
      </c>
      <c r="O132" s="1629">
        <f>Statistics!$G$22</f>
        <v>14.5</v>
      </c>
      <c r="P132" s="1629">
        <f>Statistics!$G$22</f>
        <v>14.5</v>
      </c>
      <c r="Q132" s="1629">
        <f>Statistics!$G$22</f>
        <v>14.5</v>
      </c>
      <c r="R132" s="1629">
        <f>Statistics!$G$22</f>
        <v>14.5</v>
      </c>
      <c r="U132" s="287"/>
      <c r="W132" s="48"/>
      <c r="X132" s="48"/>
      <c r="Y132" s="48"/>
      <c r="Z132" s="48"/>
      <c r="AA132" s="48"/>
      <c r="AB132" s="48"/>
      <c r="AC132" s="48"/>
      <c r="AD132" s="48"/>
      <c r="AE132" s="48"/>
      <c r="AF132" s="48"/>
      <c r="AG132" s="48"/>
      <c r="AH132" s="48"/>
      <c r="AI132" s="48"/>
      <c r="AJ132" s="48"/>
      <c r="AK132" s="48"/>
      <c r="AL132" s="48"/>
      <c r="AM132" s="48"/>
      <c r="AN132" s="48"/>
      <c r="AO132" s="48"/>
    </row>
    <row r="133" spans="1:41">
      <c r="A133" s="290">
        <f>ROW()</f>
        <v>133</v>
      </c>
      <c r="B133" s="32" t="s">
        <v>422</v>
      </c>
      <c r="E133" s="1627"/>
      <c r="F133" s="1630">
        <f>IFERROR(#REF!/Statistics!$H$22,0)</f>
        <v>0</v>
      </c>
      <c r="G133" s="1630">
        <f>IFERROR(#REF!/Statistics!$H$22,0)</f>
        <v>0</v>
      </c>
      <c r="H133" s="1630">
        <f>IFERROR(#REF!/Statistics!$H$22,0)</f>
        <v>0</v>
      </c>
      <c r="I133" s="1630">
        <f>IFERROR(#REF!/Statistics!$H$22,0)</f>
        <v>0</v>
      </c>
      <c r="J133" s="1630">
        <f>IFERROR(#REF!/Statistics!$H$22,0)</f>
        <v>0</v>
      </c>
      <c r="K133" s="1630">
        <f>IFERROR(#REF!/Statistics!$H$22,0)</f>
        <v>0</v>
      </c>
      <c r="L133" s="1630">
        <f>IFERROR(#REF!/Statistics!$H$22,0)</f>
        <v>0</v>
      </c>
      <c r="M133" s="1630">
        <f>IFERROR(#REF!/Statistics!$H$22,0)</f>
        <v>0</v>
      </c>
      <c r="N133" s="1630">
        <f>IFERROR(#REF!/Statistics!$H$22,0)</f>
        <v>0</v>
      </c>
      <c r="O133" s="1630">
        <f>IFERROR(#REF!/Statistics!$H$22,0)</f>
        <v>0</v>
      </c>
      <c r="P133" s="1630">
        <f>IFERROR(#REF!/Statistics!$H$22,0)</f>
        <v>0</v>
      </c>
      <c r="Q133" s="1630">
        <f>IFERROR(#REF!/Statistics!$H$22,0)</f>
        <v>0</v>
      </c>
      <c r="R133" s="1630">
        <f>IFERROR(#REF!/Statistics!$H$22,0)</f>
        <v>0</v>
      </c>
      <c r="U133" s="287"/>
      <c r="W133" s="48"/>
      <c r="X133" s="48"/>
      <c r="Y133" s="48"/>
      <c r="Z133" s="48"/>
      <c r="AA133" s="48"/>
      <c r="AB133" s="48"/>
      <c r="AC133" s="48"/>
      <c r="AD133" s="48"/>
      <c r="AE133" s="48"/>
      <c r="AF133" s="48"/>
      <c r="AG133" s="48"/>
      <c r="AH133" s="48"/>
      <c r="AI133" s="48"/>
      <c r="AJ133" s="48"/>
      <c r="AK133" s="48"/>
      <c r="AL133" s="48"/>
      <c r="AM133" s="48"/>
      <c r="AN133" s="48"/>
      <c r="AO133" s="48"/>
    </row>
    <row r="134" spans="1:41">
      <c r="A134" s="290">
        <f>ROW()</f>
        <v>134</v>
      </c>
      <c r="B134" s="32" t="s">
        <v>423</v>
      </c>
      <c r="E134" s="1627"/>
      <c r="F134" s="1630">
        <f>IFERROR(F41/Statistics!$H$22,0)</f>
        <v>3272.7441860465115</v>
      </c>
      <c r="G134" s="1630">
        <f>IFERROR(G41/Statistics!$H$22,0)</f>
        <v>4580.4651162790697</v>
      </c>
      <c r="H134" s="1630">
        <f>IFERROR(H41/Statistics!$H$22,0)</f>
        <v>4580.4651162790697</v>
      </c>
      <c r="I134" s="1630">
        <f>IFERROR(I41/Statistics!$H$22,0)</f>
        <v>4580.4651162790697</v>
      </c>
      <c r="J134" s="1630">
        <f>IFERROR(J41/Statistics!$H$22,0)</f>
        <v>4580.4651162790697</v>
      </c>
      <c r="K134" s="1630">
        <f>IFERROR(K41/Statistics!$H$22,0)</f>
        <v>4580.4651162790697</v>
      </c>
      <c r="L134" s="1630">
        <f>IFERROR(L41/Statistics!$H$22,0)</f>
        <v>4580.4651162790697</v>
      </c>
      <c r="M134" s="1630">
        <f>IFERROR(M41/Statistics!$H$22,0)</f>
        <v>4580.4651162790697</v>
      </c>
      <c r="N134" s="1630">
        <f>IFERROR(N41/Statistics!$H$22,0)</f>
        <v>4580.4651162790697</v>
      </c>
      <c r="O134" s="1630">
        <f>IFERROR(O41/Statistics!$H$22,0)</f>
        <v>4580.4651162790697</v>
      </c>
      <c r="P134" s="1630">
        <f>IFERROR(P41/Statistics!$H$22,0)</f>
        <v>4580.4651162790697</v>
      </c>
      <c r="Q134" s="1630">
        <f>IFERROR(Q41/Statistics!$H$22,0)</f>
        <v>4580.4651162790697</v>
      </c>
      <c r="R134" s="1630">
        <f>IFERROR(R41/Statistics!$H$22,0)</f>
        <v>0</v>
      </c>
      <c r="U134" s="287"/>
      <c r="W134" s="48"/>
      <c r="X134" s="48"/>
      <c r="Y134" s="48"/>
      <c r="Z134" s="48"/>
      <c r="AA134" s="48"/>
      <c r="AB134" s="48"/>
      <c r="AC134" s="48"/>
      <c r="AD134" s="48"/>
      <c r="AE134" s="48"/>
      <c r="AF134" s="48"/>
      <c r="AG134" s="48"/>
      <c r="AH134" s="48"/>
      <c r="AI134" s="48"/>
      <c r="AJ134" s="48"/>
      <c r="AK134" s="48"/>
      <c r="AL134" s="48"/>
      <c r="AM134" s="48"/>
      <c r="AN134" s="48"/>
      <c r="AO134" s="48"/>
    </row>
    <row r="136" spans="1:41">
      <c r="A136" s="74"/>
      <c r="B136" s="74"/>
    </row>
  </sheetData>
  <sheetProtection sheet="1" objects="1" scenarios="1"/>
  <conditionalFormatting sqref="D1">
    <cfRule type="expression" dxfId="64" priority="14" stopIfTrue="1">
      <formula>MOD(ROW(),2)=0</formula>
    </cfRule>
  </conditionalFormatting>
  <conditionalFormatting sqref="E67:E70">
    <cfRule type="cellIs" dxfId="63" priority="191" stopIfTrue="1" operator="equal">
      <formula>0</formula>
    </cfRule>
  </conditionalFormatting>
  <conditionalFormatting sqref="E69:R69">
    <cfRule type="cellIs" dxfId="62" priority="4" stopIfTrue="1" operator="equal">
      <formula>0</formula>
    </cfRule>
  </conditionalFormatting>
  <conditionalFormatting sqref="E71:R72">
    <cfRule type="cellIs" dxfId="61" priority="3" stopIfTrue="1" operator="equal">
      <formula>0</formula>
    </cfRule>
  </conditionalFormatting>
  <conditionalFormatting sqref="E79:R95">
    <cfRule type="cellIs" dxfId="60" priority="5" stopIfTrue="1" operator="equal">
      <formula>0</formula>
    </cfRule>
  </conditionalFormatting>
  <conditionalFormatting sqref="E101:R122">
    <cfRule type="cellIs" dxfId="59" priority="6" stopIfTrue="1" operator="equal">
      <formula>0</formula>
    </cfRule>
  </conditionalFormatting>
  <conditionalFormatting sqref="E125:R129">
    <cfRule type="cellIs" dxfId="58" priority="8" stopIfTrue="1" operator="equal">
      <formula>0</formula>
    </cfRule>
  </conditionalFormatting>
  <conditionalFormatting sqref="F131:R134">
    <cfRule type="cellIs" dxfId="57" priority="10" stopIfTrue="1" operator="equal">
      <formula>0</formula>
    </cfRule>
  </conditionalFormatting>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4" max="16" man="1"/>
    <brk id="97"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FF99"/>
  </sheetPr>
  <dimension ref="A1:AE489"/>
  <sheetViews>
    <sheetView zoomScale="65" zoomScaleNormal="130" workbookViewId="0">
      <selection activeCell="C66" sqref="C66"/>
    </sheetView>
  </sheetViews>
  <sheetFormatPr defaultColWidth="8.6640625" defaultRowHeight="13.8" outlineLevelRow="1"/>
  <cols>
    <col min="1" max="1" width="8.33203125" style="32" customWidth="1"/>
    <col min="2" max="2" width="43.6640625" style="32" customWidth="1"/>
    <col min="3" max="3" width="20.33203125" style="32" customWidth="1"/>
    <col min="4" max="5" width="13.33203125" style="32" customWidth="1"/>
    <col min="6" max="6" width="10" style="32" customWidth="1"/>
    <col min="7" max="13" width="18" style="32" customWidth="1"/>
    <col min="14" max="14" width="2.5546875" style="32" customWidth="1"/>
    <col min="15" max="15" width="70.44140625" style="257" customWidth="1"/>
    <col min="16" max="16" width="12.5546875" style="32" customWidth="1"/>
    <col min="17" max="30" width="3.44140625" style="32" bestFit="1" customWidth="1"/>
    <col min="31" max="31" width="3.109375" style="32" bestFit="1" customWidth="1"/>
    <col min="32" max="16384" width="8.6640625" style="32"/>
  </cols>
  <sheetData>
    <row r="1" spans="1:31" ht="17.399999999999999">
      <c r="A1" s="1639" t="s">
        <v>424</v>
      </c>
      <c r="B1" s="1634"/>
      <c r="D1" s="347"/>
      <c r="Q1" s="34"/>
      <c r="Y1" s="257"/>
    </row>
    <row r="2" spans="1:31" ht="15.6">
      <c r="A2" s="35" t="str">
        <f>SchoolName</f>
        <v>Game Changers Sports Academy</v>
      </c>
      <c r="B2" s="36"/>
      <c r="Y2" s="257"/>
    </row>
    <row r="3" spans="1:31">
      <c r="A3" s="37"/>
      <c r="L3" s="30"/>
      <c r="Y3" s="257"/>
    </row>
    <row r="4" spans="1:31" hidden="1">
      <c r="A4" s="38"/>
      <c r="Y4" s="257"/>
    </row>
    <row r="5" spans="1:31" hidden="1">
      <c r="A5" s="29"/>
      <c r="Y5" s="257"/>
    </row>
    <row r="6" spans="1:31" ht="15.6" hidden="1">
      <c r="A6" s="412"/>
      <c r="D6" s="60"/>
      <c r="E6" s="60"/>
      <c r="F6" s="60"/>
      <c r="G6" s="429"/>
      <c r="H6" s="430"/>
      <c r="I6" s="429"/>
      <c r="J6" s="429"/>
      <c r="K6" s="60"/>
      <c r="L6" s="429"/>
      <c r="M6" s="429"/>
      <c r="Y6" s="257"/>
    </row>
    <row r="7" spans="1:31" hidden="1">
      <c r="A7" s="412"/>
      <c r="D7" s="31"/>
      <c r="E7" s="31"/>
      <c r="F7" s="31"/>
      <c r="G7" s="429">
        <f>+G8</f>
        <v>0</v>
      </c>
      <c r="H7" s="429">
        <f>+H8</f>
        <v>1</v>
      </c>
      <c r="I7" s="429">
        <f t="shared" ref="I7:K7" si="0">+I8</f>
        <v>2</v>
      </c>
      <c r="J7" s="429">
        <f t="shared" si="0"/>
        <v>3</v>
      </c>
      <c r="K7" s="429">
        <f t="shared" si="0"/>
        <v>4</v>
      </c>
      <c r="L7" s="429"/>
      <c r="M7" s="429"/>
      <c r="Y7" s="257"/>
    </row>
    <row r="8" spans="1:31" hidden="1">
      <c r="A8" s="412"/>
      <c r="G8" s="1296">
        <f>' Enrol &amp; Rev'!F9</f>
        <v>0</v>
      </c>
      <c r="H8" s="615">
        <f>' Enrol &amp; Rev'!G9</f>
        <v>1</v>
      </c>
      <c r="I8" s="615">
        <f>' Enrol &amp; Rev'!H9</f>
        <v>2</v>
      </c>
      <c r="J8" s="615">
        <f>' Enrol &amp; Rev'!I9</f>
        <v>3</v>
      </c>
      <c r="K8" s="615">
        <f>' Enrol &amp; Rev'!J9</f>
        <v>4</v>
      </c>
      <c r="L8" s="615">
        <f>' Enrol &amp; Rev'!K9</f>
        <v>5</v>
      </c>
      <c r="M8" s="957">
        <f>' Enrol &amp; Rev'!L9</f>
        <v>6</v>
      </c>
      <c r="Q8" s="48"/>
      <c r="R8" s="48"/>
      <c r="S8" s="48"/>
      <c r="T8" s="48"/>
      <c r="U8" s="48"/>
      <c r="V8" s="48"/>
      <c r="W8" s="48"/>
      <c r="X8" s="48"/>
      <c r="Y8" s="48"/>
      <c r="Z8" s="48"/>
      <c r="AA8" s="48"/>
      <c r="AB8" s="48"/>
      <c r="AC8" s="48"/>
      <c r="AD8" s="48"/>
      <c r="AE8" s="48"/>
    </row>
    <row r="9" spans="1:31" hidden="1">
      <c r="A9" s="412"/>
      <c r="G9" s="616">
        <f>' Enrol &amp; Rev'!F10</f>
        <v>2025</v>
      </c>
      <c r="H9" s="617">
        <f>' Enrol &amp; Rev'!G10</f>
        <v>2026</v>
      </c>
      <c r="I9" s="617">
        <f>' Enrol &amp; Rev'!H10</f>
        <v>2027</v>
      </c>
      <c r="J9" s="617">
        <f>' Enrol &amp; Rev'!I10</f>
        <v>2028</v>
      </c>
      <c r="K9" s="617">
        <f>' Enrol &amp; Rev'!J10</f>
        <v>2029</v>
      </c>
      <c r="L9" s="617">
        <f>' Enrol &amp; Rev'!K10</f>
        <v>2030</v>
      </c>
      <c r="M9" s="618">
        <f>' Enrol &amp; Rev'!L10</f>
        <v>2031</v>
      </c>
      <c r="Q9" s="48"/>
      <c r="R9" s="48"/>
      <c r="S9" s="48"/>
      <c r="T9" s="48"/>
      <c r="U9" s="48"/>
      <c r="V9" s="48"/>
      <c r="W9" s="48"/>
      <c r="X9" s="48"/>
      <c r="Y9" s="48"/>
      <c r="Z9" s="48"/>
      <c r="AA9" s="48"/>
      <c r="AB9" s="48"/>
      <c r="AC9" s="48"/>
      <c r="AD9" s="48"/>
      <c r="AE9" s="48"/>
    </row>
    <row r="10" spans="1:31" hidden="1">
      <c r="A10" s="412"/>
      <c r="G10" s="619">
        <f>' Enrol &amp; Rev'!F11</f>
        <v>2026</v>
      </c>
      <c r="H10" s="620">
        <f>' Enrol &amp; Rev'!G11</f>
        <v>2027</v>
      </c>
      <c r="I10" s="620">
        <f>' Enrol &amp; Rev'!H11</f>
        <v>2028</v>
      </c>
      <c r="J10" s="620">
        <f>' Enrol &amp; Rev'!I11</f>
        <v>2029</v>
      </c>
      <c r="K10" s="620">
        <f>' Enrol &amp; Rev'!J11</f>
        <v>2030</v>
      </c>
      <c r="L10" s="620">
        <f>' Enrol &amp; Rev'!K11</f>
        <v>2031</v>
      </c>
      <c r="M10" s="621">
        <f>' Enrol &amp; Rev'!L11</f>
        <v>2032</v>
      </c>
      <c r="Q10" s="48"/>
      <c r="R10" s="48"/>
      <c r="S10" s="48"/>
      <c r="T10" s="48"/>
      <c r="U10" s="48"/>
      <c r="V10" s="48"/>
      <c r="W10" s="48"/>
      <c r="X10" s="48"/>
      <c r="Y10" s="48"/>
      <c r="Z10" s="48"/>
      <c r="AA10" s="48"/>
      <c r="AB10" s="48"/>
      <c r="AC10" s="48"/>
      <c r="AD10" s="48"/>
      <c r="AE10" s="48"/>
    </row>
    <row r="11" spans="1:31" ht="17.399999999999999" hidden="1">
      <c r="A11" s="412"/>
      <c r="B11" s="373"/>
      <c r="F11" s="32" t="s">
        <v>1265</v>
      </c>
      <c r="G11" s="429"/>
      <c r="H11" s="429"/>
      <c r="I11" s="429"/>
      <c r="J11" s="429"/>
      <c r="K11" s="429"/>
      <c r="L11" s="429"/>
      <c r="M11" s="429"/>
      <c r="Q11" s="48"/>
      <c r="R11" s="48"/>
      <c r="S11" s="48"/>
      <c r="T11" s="48"/>
      <c r="U11" s="48"/>
      <c r="V11" s="48"/>
      <c r="W11" s="48"/>
      <c r="X11" s="48"/>
      <c r="Y11" s="48"/>
      <c r="Z11" s="48"/>
      <c r="AA11" s="48"/>
      <c r="AB11" s="48"/>
      <c r="AC11" s="48"/>
      <c r="AD11" s="48"/>
      <c r="AE11" s="48"/>
    </row>
    <row r="12" spans="1:31">
      <c r="A12" s="412"/>
      <c r="D12" s="247"/>
      <c r="E12" s="247"/>
      <c r="F12" s="247"/>
      <c r="G12" s="429"/>
      <c r="H12" s="429"/>
      <c r="I12" s="429"/>
      <c r="J12" s="429"/>
      <c r="K12" s="429"/>
      <c r="L12" s="429"/>
      <c r="M12" s="429"/>
      <c r="N12" s="83"/>
      <c r="Q12" s="48"/>
      <c r="R12" s="48"/>
      <c r="S12" s="48"/>
      <c r="T12" s="48"/>
      <c r="U12" s="48"/>
      <c r="V12" s="48"/>
      <c r="W12" s="48"/>
      <c r="X12" s="48"/>
      <c r="Y12" s="48"/>
      <c r="Z12" s="48"/>
      <c r="AA12" s="48"/>
      <c r="AB12" s="48"/>
      <c r="AC12" s="48"/>
      <c r="AD12" s="48"/>
      <c r="AE12" s="48"/>
    </row>
    <row r="13" spans="1:31">
      <c r="A13" s="412"/>
      <c r="B13" s="30"/>
      <c r="C13" s="30"/>
      <c r="D13" s="30"/>
      <c r="E13" s="30"/>
      <c r="F13" s="30"/>
      <c r="G13" s="60"/>
      <c r="H13" s="431"/>
      <c r="I13" s="431"/>
      <c r="J13" s="431"/>
      <c r="K13" s="431"/>
      <c r="L13" s="431"/>
      <c r="M13" s="431"/>
      <c r="N13" s="83"/>
      <c r="Q13" s="48"/>
      <c r="R13" s="48"/>
      <c r="S13" s="48"/>
      <c r="T13" s="48"/>
      <c r="U13" s="48"/>
      <c r="V13" s="48"/>
      <c r="W13" s="48"/>
      <c r="X13" s="48"/>
      <c r="Y13" s="48"/>
      <c r="Z13" s="48"/>
      <c r="AA13" s="48"/>
      <c r="AB13" s="48"/>
      <c r="AC13" s="48"/>
      <c r="AD13" s="48"/>
      <c r="AE13" s="48"/>
    </row>
    <row r="14" spans="1:31" ht="17.399999999999999">
      <c r="A14" s="412">
        <f>ROW()</f>
        <v>14</v>
      </c>
      <c r="B14" s="1428" t="s">
        <v>425</v>
      </c>
      <c r="C14" s="1509"/>
      <c r="D14" s="1509"/>
      <c r="E14" s="1509"/>
      <c r="F14" s="1509"/>
      <c r="G14" s="1491"/>
      <c r="H14" s="1491"/>
      <c r="I14" s="1491"/>
      <c r="J14" s="1491"/>
      <c r="K14" s="1491"/>
      <c r="L14" s="1491"/>
      <c r="M14" s="1491"/>
      <c r="N14" s="83"/>
      <c r="O14" s="1425" t="s">
        <v>1253</v>
      </c>
      <c r="Q14" s="48"/>
      <c r="R14" s="48"/>
      <c r="S14" s="48"/>
      <c r="T14" s="48"/>
      <c r="U14" s="48"/>
      <c r="V14" s="48"/>
      <c r="W14" s="48"/>
      <c r="X14" s="48"/>
      <c r="Y14" s="48"/>
      <c r="Z14" s="48"/>
      <c r="AA14" s="48"/>
      <c r="AB14" s="48"/>
      <c r="AC14" s="48"/>
      <c r="AD14" s="48"/>
      <c r="AE14" s="48"/>
    </row>
    <row r="15" spans="1:31">
      <c r="A15" s="412">
        <f>ROW()</f>
        <v>15</v>
      </c>
      <c r="G15" s="1511">
        <v>0</v>
      </c>
      <c r="H15" s="1511">
        <v>1</v>
      </c>
      <c r="I15" s="1511">
        <v>2</v>
      </c>
      <c r="J15" s="1511">
        <v>3</v>
      </c>
      <c r="K15" s="1511">
        <v>4</v>
      </c>
      <c r="L15" s="1511">
        <v>5</v>
      </c>
      <c r="M15" s="1512">
        <v>6</v>
      </c>
      <c r="N15" s="83"/>
      <c r="O15" s="394"/>
      <c r="Q15" s="48"/>
      <c r="R15" s="48"/>
      <c r="S15" s="48"/>
      <c r="T15" s="48"/>
      <c r="U15" s="48"/>
      <c r="V15" s="48"/>
      <c r="W15" s="48"/>
      <c r="X15" s="48"/>
      <c r="Y15" s="48"/>
      <c r="Z15" s="48"/>
      <c r="AA15" s="48"/>
      <c r="AB15" s="48"/>
      <c r="AC15" s="48"/>
      <c r="AD15" s="48"/>
      <c r="AE15" s="48"/>
    </row>
    <row r="16" spans="1:31" ht="17.399999999999999">
      <c r="A16" s="412">
        <f>ROW()</f>
        <v>16</v>
      </c>
      <c r="B16" s="74"/>
      <c r="D16" s="1062" t="s">
        <v>426</v>
      </c>
      <c r="E16" s="58"/>
      <c r="F16" s="58"/>
      <c r="G16" s="1640">
        <f>+G10</f>
        <v>2026</v>
      </c>
      <c r="H16" s="1640">
        <f t="shared" ref="H16:M16" si="1">+H10</f>
        <v>2027</v>
      </c>
      <c r="I16" s="1640">
        <f t="shared" si="1"/>
        <v>2028</v>
      </c>
      <c r="J16" s="1640">
        <f t="shared" si="1"/>
        <v>2029</v>
      </c>
      <c r="K16" s="1640">
        <f t="shared" si="1"/>
        <v>2030</v>
      </c>
      <c r="L16" s="1640">
        <f t="shared" si="1"/>
        <v>2031</v>
      </c>
      <c r="M16" s="1640">
        <f t="shared" si="1"/>
        <v>2032</v>
      </c>
      <c r="N16" s="83"/>
      <c r="O16" s="394"/>
      <c r="Q16" s="48"/>
      <c r="R16" s="48"/>
      <c r="S16" s="48"/>
      <c r="T16" s="48"/>
      <c r="U16" s="48"/>
      <c r="V16" s="48"/>
      <c r="W16" s="48"/>
      <c r="X16" s="48"/>
      <c r="Y16" s="48"/>
      <c r="Z16" s="48"/>
      <c r="AA16" s="48"/>
      <c r="AB16" s="48"/>
      <c r="AC16" s="48"/>
      <c r="AD16" s="48"/>
      <c r="AE16" s="48"/>
    </row>
    <row r="17" spans="1:31" ht="15.6">
      <c r="A17" s="412">
        <f>ROW()</f>
        <v>17</v>
      </c>
      <c r="B17" s="74"/>
      <c r="D17" s="312" t="s">
        <v>427</v>
      </c>
      <c r="E17" s="312"/>
      <c r="F17" s="312"/>
      <c r="G17" s="1056">
        <f>$G$89</f>
        <v>0</v>
      </c>
      <c r="H17" s="1056">
        <f>$H$89</f>
        <v>1</v>
      </c>
      <c r="I17" s="1056">
        <f>$I$89</f>
        <v>2</v>
      </c>
      <c r="J17" s="1056">
        <f>$J$89</f>
        <v>2</v>
      </c>
      <c r="K17" s="1056">
        <f>$K$89</f>
        <v>2</v>
      </c>
      <c r="L17" s="1056">
        <f>$L$89</f>
        <v>2</v>
      </c>
      <c r="M17" s="1056">
        <f>$M$89</f>
        <v>2</v>
      </c>
      <c r="N17" s="83"/>
      <c r="O17" s="394"/>
      <c r="Q17" s="48"/>
      <c r="R17" s="48"/>
      <c r="S17" s="48"/>
      <c r="T17" s="48"/>
      <c r="U17" s="48"/>
      <c r="V17" s="48"/>
      <c r="W17" s="48"/>
      <c r="X17" s="48"/>
      <c r="Y17" s="48"/>
      <c r="Z17" s="48"/>
      <c r="AA17" s="48"/>
      <c r="AB17" s="48"/>
      <c r="AC17" s="48"/>
      <c r="AD17" s="48"/>
      <c r="AE17" s="48"/>
    </row>
    <row r="18" spans="1:31" ht="15.6">
      <c r="A18" s="412">
        <f>ROW()</f>
        <v>18</v>
      </c>
      <c r="D18" s="312" t="s">
        <v>428</v>
      </c>
      <c r="E18" s="312"/>
      <c r="F18" s="312"/>
      <c r="G18" s="1056">
        <f>$G$97-$G$89</f>
        <v>0</v>
      </c>
      <c r="H18" s="1056">
        <f>$H$97-$H$89</f>
        <v>2</v>
      </c>
      <c r="I18" s="1056">
        <f>$I$97-$I$89</f>
        <v>2</v>
      </c>
      <c r="J18" s="1056">
        <f>$J$97-$J$89</f>
        <v>2</v>
      </c>
      <c r="K18" s="1056">
        <f>$K$97-$K$89</f>
        <v>2</v>
      </c>
      <c r="L18" s="1056">
        <f>$L$97-$L$89</f>
        <v>2</v>
      </c>
      <c r="M18" s="1056">
        <f>$M$97-$M$89</f>
        <v>2</v>
      </c>
      <c r="N18" s="83"/>
      <c r="O18" s="287"/>
      <c r="Q18" s="48"/>
      <c r="R18" s="48"/>
      <c r="S18" s="48"/>
      <c r="T18" s="48"/>
      <c r="U18" s="48"/>
      <c r="V18" s="48"/>
      <c r="W18" s="48"/>
      <c r="X18" s="48"/>
      <c r="Y18" s="48"/>
      <c r="Z18" s="48"/>
      <c r="AA18" s="48"/>
      <c r="AB18" s="48"/>
      <c r="AC18" s="48"/>
      <c r="AD18" s="48"/>
      <c r="AE18" s="48"/>
    </row>
    <row r="19" spans="1:31" ht="15.6">
      <c r="A19" s="412">
        <f>ROW()</f>
        <v>19</v>
      </c>
      <c r="D19" s="312" t="s">
        <v>429</v>
      </c>
      <c r="E19" s="312"/>
      <c r="F19" s="312"/>
      <c r="G19" s="1056">
        <f>$G$109</f>
        <v>0</v>
      </c>
      <c r="H19" s="1056">
        <f>$H$109</f>
        <v>1</v>
      </c>
      <c r="I19" s="1056">
        <f>$I$109</f>
        <v>2</v>
      </c>
      <c r="J19" s="1056">
        <f>$J$109</f>
        <v>2</v>
      </c>
      <c r="K19" s="1056">
        <f>$K$109</f>
        <v>3</v>
      </c>
      <c r="L19" s="1056">
        <f>$L$109</f>
        <v>3</v>
      </c>
      <c r="M19" s="1056">
        <f>$M$109</f>
        <v>3</v>
      </c>
      <c r="N19" s="83"/>
      <c r="O19" s="287"/>
      <c r="Q19" s="48"/>
      <c r="R19" s="48"/>
      <c r="S19" s="48"/>
      <c r="T19" s="48"/>
      <c r="U19" s="48"/>
      <c r="V19" s="48"/>
      <c r="W19" s="48"/>
      <c r="X19" s="48"/>
      <c r="Y19" s="48"/>
      <c r="Z19" s="48"/>
      <c r="AA19" s="48"/>
      <c r="AB19" s="48"/>
      <c r="AC19" s="48"/>
      <c r="AD19" s="48"/>
      <c r="AE19" s="48"/>
    </row>
    <row r="20" spans="1:31" ht="15.6">
      <c r="A20" s="412">
        <f>ROW()</f>
        <v>20</v>
      </c>
      <c r="D20" s="312" t="s">
        <v>430</v>
      </c>
      <c r="E20" s="312"/>
      <c r="F20" s="312"/>
      <c r="G20" s="1056">
        <f>$G$123</f>
        <v>0</v>
      </c>
      <c r="H20" s="1056">
        <f>$H$123</f>
        <v>0.5</v>
      </c>
      <c r="I20" s="1056">
        <f>$I$123</f>
        <v>0.5</v>
      </c>
      <c r="J20" s="1056">
        <f>$J$123</f>
        <v>1</v>
      </c>
      <c r="K20" s="1056">
        <f>$K$123</f>
        <v>1</v>
      </c>
      <c r="L20" s="1056">
        <f>$L$123</f>
        <v>1</v>
      </c>
      <c r="M20" s="1056">
        <f>$M$123</f>
        <v>1</v>
      </c>
      <c r="N20" s="83"/>
      <c r="O20" s="287"/>
      <c r="Q20" s="48"/>
      <c r="R20" s="48"/>
      <c r="S20" s="48"/>
      <c r="T20" s="48"/>
      <c r="U20" s="48"/>
      <c r="V20" s="48"/>
      <c r="W20" s="48"/>
      <c r="X20" s="48"/>
      <c r="Y20" s="48"/>
      <c r="Z20" s="48"/>
      <c r="AA20" s="48"/>
      <c r="AB20" s="48"/>
      <c r="AC20" s="48"/>
      <c r="AD20" s="48"/>
      <c r="AE20" s="48"/>
    </row>
    <row r="21" spans="1:31" ht="15.6">
      <c r="A21" s="412">
        <f>ROW()</f>
        <v>21</v>
      </c>
      <c r="D21" s="312" t="s">
        <v>431</v>
      </c>
      <c r="E21" s="312"/>
      <c r="F21" s="312"/>
      <c r="G21" s="1056">
        <f>$G$137</f>
        <v>0</v>
      </c>
      <c r="H21" s="1056">
        <f>$H$137</f>
        <v>1</v>
      </c>
      <c r="I21" s="1056">
        <f>$I$137</f>
        <v>1</v>
      </c>
      <c r="J21" s="1056">
        <f>$J$137</f>
        <v>2</v>
      </c>
      <c r="K21" s="1056">
        <f>$K$137</f>
        <v>2</v>
      </c>
      <c r="L21" s="1056">
        <f>$L$137</f>
        <v>3</v>
      </c>
      <c r="M21" s="1056">
        <f>$M$137</f>
        <v>3</v>
      </c>
      <c r="N21" s="83"/>
      <c r="O21" s="287"/>
      <c r="Q21" s="48"/>
      <c r="R21" s="48"/>
      <c r="S21" s="48"/>
      <c r="T21" s="48"/>
      <c r="U21" s="48"/>
      <c r="V21" s="48"/>
      <c r="W21" s="48"/>
      <c r="X21" s="48"/>
      <c r="Y21" s="48"/>
      <c r="Z21" s="48"/>
      <c r="AA21" s="48"/>
      <c r="AB21" s="48"/>
      <c r="AC21" s="48"/>
      <c r="AD21" s="48"/>
      <c r="AE21" s="48"/>
    </row>
    <row r="22" spans="1:31" ht="15.6">
      <c r="A22" s="412">
        <f>ROW()</f>
        <v>22</v>
      </c>
      <c r="D22" s="312" t="s">
        <v>432</v>
      </c>
      <c r="E22" s="312"/>
      <c r="F22" s="312"/>
      <c r="G22" s="1056">
        <f>$G$241</f>
        <v>0</v>
      </c>
      <c r="H22" s="1056">
        <f>$H$241</f>
        <v>9</v>
      </c>
      <c r="I22" s="1056">
        <f>$I$241</f>
        <v>14</v>
      </c>
      <c r="J22" s="1056">
        <f>$J$241</f>
        <v>16</v>
      </c>
      <c r="K22" s="1056">
        <f>$K$241</f>
        <v>20</v>
      </c>
      <c r="L22" s="1056">
        <f>$L$241</f>
        <v>20</v>
      </c>
      <c r="M22" s="1056">
        <f>$M$241</f>
        <v>20</v>
      </c>
      <c r="N22" s="83"/>
      <c r="O22" s="287"/>
      <c r="Q22" s="48"/>
      <c r="R22" s="48"/>
      <c r="S22" s="48"/>
      <c r="T22" s="48"/>
      <c r="U22" s="48"/>
      <c r="V22" s="48"/>
      <c r="W22" s="48"/>
      <c r="X22" s="48"/>
      <c r="Y22" s="48"/>
      <c r="Z22" s="48"/>
      <c r="AA22" s="48"/>
      <c r="AB22" s="48"/>
      <c r="AC22" s="48"/>
      <c r="AD22" s="48"/>
      <c r="AE22" s="48"/>
    </row>
    <row r="23" spans="1:31" ht="15.6">
      <c r="A23" s="412"/>
      <c r="D23" s="312" t="s">
        <v>1238</v>
      </c>
      <c r="E23" s="312"/>
      <c r="F23" s="312"/>
      <c r="G23" s="1056">
        <f>+G434</f>
        <v>0</v>
      </c>
      <c r="H23" s="1056">
        <f t="shared" ref="H23:M23" si="2">+H434</f>
        <v>0</v>
      </c>
      <c r="I23" s="1056">
        <f t="shared" si="2"/>
        <v>0</v>
      </c>
      <c r="J23" s="1056">
        <f t="shared" si="2"/>
        <v>0</v>
      </c>
      <c r="K23" s="1056">
        <f t="shared" si="2"/>
        <v>0</v>
      </c>
      <c r="L23" s="1056">
        <f t="shared" si="2"/>
        <v>0</v>
      </c>
      <c r="M23" s="1056">
        <f t="shared" si="2"/>
        <v>0</v>
      </c>
      <c r="N23" s="83"/>
      <c r="O23" s="287"/>
      <c r="Q23" s="48"/>
      <c r="R23" s="48"/>
      <c r="S23" s="48"/>
      <c r="T23" s="48"/>
      <c r="U23" s="48"/>
      <c r="V23" s="48"/>
      <c r="W23" s="48"/>
      <c r="X23" s="48"/>
      <c r="Y23" s="48"/>
      <c r="Z23" s="48"/>
      <c r="AA23" s="48"/>
      <c r="AB23" s="48"/>
      <c r="AC23" s="48"/>
      <c r="AD23" s="48"/>
      <c r="AE23" s="48"/>
    </row>
    <row r="24" spans="1:31" ht="15.6">
      <c r="A24" s="412">
        <f>ROW()</f>
        <v>24</v>
      </c>
      <c r="C24" s="30"/>
      <c r="D24" s="147" t="s">
        <v>433</v>
      </c>
      <c r="E24" s="147"/>
      <c r="F24" s="147"/>
      <c r="G24" s="1061">
        <f>SUM(G17:G23)</f>
        <v>0</v>
      </c>
      <c r="H24" s="1061">
        <f t="shared" ref="H24:M24" si="3">SUM(H17:H23)</f>
        <v>14.5</v>
      </c>
      <c r="I24" s="1061">
        <f t="shared" si="3"/>
        <v>21.5</v>
      </c>
      <c r="J24" s="1061">
        <f t="shared" si="3"/>
        <v>25</v>
      </c>
      <c r="K24" s="1061">
        <f t="shared" si="3"/>
        <v>30</v>
      </c>
      <c r="L24" s="1061">
        <f t="shared" si="3"/>
        <v>31</v>
      </c>
      <c r="M24" s="1061">
        <f t="shared" si="3"/>
        <v>31</v>
      </c>
      <c r="N24" s="83"/>
      <c r="O24" s="287"/>
      <c r="Q24" s="48"/>
      <c r="R24" s="48"/>
      <c r="S24" s="48"/>
      <c r="T24" s="48"/>
      <c r="U24" s="48"/>
      <c r="V24" s="48"/>
      <c r="W24" s="48"/>
      <c r="X24" s="48"/>
      <c r="Y24" s="48"/>
      <c r="Z24" s="48"/>
      <c r="AA24" s="48"/>
      <c r="AB24" s="48"/>
      <c r="AC24" s="48"/>
      <c r="AD24" s="48"/>
      <c r="AE24" s="48"/>
    </row>
    <row r="25" spans="1:31" ht="15.6">
      <c r="A25" s="412">
        <f>ROW()</f>
        <v>25</v>
      </c>
      <c r="D25" s="312"/>
      <c r="E25" s="312"/>
      <c r="F25" s="312"/>
      <c r="G25" s="312"/>
      <c r="H25" s="1057"/>
      <c r="I25" s="1057"/>
      <c r="J25" s="1057"/>
      <c r="K25" s="312"/>
      <c r="L25" s="312"/>
      <c r="M25" s="312"/>
      <c r="N25" s="83"/>
      <c r="O25" s="287"/>
      <c r="Q25" s="48"/>
      <c r="R25" s="48"/>
      <c r="S25" s="48"/>
      <c r="T25" s="48"/>
      <c r="U25" s="48"/>
      <c r="V25" s="48"/>
      <c r="W25" s="48"/>
      <c r="X25" s="48"/>
      <c r="Y25" s="48"/>
      <c r="Z25" s="48"/>
      <c r="AA25" s="48"/>
      <c r="AB25" s="48"/>
      <c r="AC25" s="48"/>
      <c r="AD25" s="48"/>
      <c r="AE25" s="48"/>
    </row>
    <row r="26" spans="1:31" ht="15.6">
      <c r="A26" s="412">
        <f>ROW()</f>
        <v>26</v>
      </c>
      <c r="D26" s="1058" t="s">
        <v>434</v>
      </c>
      <c r="E26" s="1058"/>
      <c r="F26" s="1058"/>
      <c r="G26" s="1059">
        <f>G470</f>
        <v>0</v>
      </c>
      <c r="H26" s="1059">
        <f t="shared" ref="H26:M26" si="4">H470</f>
        <v>0</v>
      </c>
      <c r="I26" s="1059">
        <f t="shared" si="4"/>
        <v>0</v>
      </c>
      <c r="J26" s="1059">
        <f t="shared" si="4"/>
        <v>0</v>
      </c>
      <c r="K26" s="1059">
        <f t="shared" si="4"/>
        <v>0</v>
      </c>
      <c r="L26" s="1059">
        <f t="shared" si="4"/>
        <v>0</v>
      </c>
      <c r="M26" s="1059">
        <f t="shared" si="4"/>
        <v>0</v>
      </c>
      <c r="N26" s="83"/>
      <c r="O26" s="287"/>
      <c r="Q26" s="48"/>
      <c r="R26" s="48"/>
      <c r="S26" s="48"/>
      <c r="T26" s="48"/>
      <c r="U26" s="48"/>
      <c r="V26" s="48"/>
      <c r="W26" s="48"/>
      <c r="X26" s="48"/>
      <c r="Y26" s="48"/>
      <c r="Z26" s="48"/>
      <c r="AA26" s="48"/>
      <c r="AB26" s="48"/>
      <c r="AC26" s="48"/>
      <c r="AD26" s="48"/>
      <c r="AE26" s="48"/>
    </row>
    <row r="27" spans="1:31" ht="15.6">
      <c r="A27" s="412">
        <f>ROW()</f>
        <v>27</v>
      </c>
      <c r="D27" s="312"/>
      <c r="E27" s="312"/>
      <c r="F27" s="312"/>
      <c r="G27" s="312"/>
      <c r="H27" s="1057"/>
      <c r="I27" s="1057"/>
      <c r="J27" s="1057"/>
      <c r="K27" s="312"/>
      <c r="L27" s="312"/>
      <c r="M27" s="312"/>
      <c r="N27" s="83"/>
      <c r="O27" s="287"/>
      <c r="Q27" s="48"/>
      <c r="R27" s="48"/>
      <c r="S27" s="48"/>
      <c r="T27" s="48"/>
      <c r="U27" s="48"/>
      <c r="V27" s="48"/>
      <c r="W27" s="48"/>
      <c r="X27" s="48"/>
      <c r="Y27" s="48"/>
      <c r="Z27" s="48"/>
      <c r="AA27" s="48"/>
      <c r="AB27" s="48"/>
      <c r="AC27" s="48"/>
      <c r="AD27" s="48"/>
      <c r="AE27" s="48"/>
    </row>
    <row r="28" spans="1:31" ht="15.6">
      <c r="A28" s="412">
        <f>ROW()</f>
        <v>28</v>
      </c>
      <c r="C28" s="30"/>
      <c r="D28" s="147" t="s">
        <v>435</v>
      </c>
      <c r="E28" s="147"/>
      <c r="F28" s="147"/>
      <c r="G28" s="1060">
        <f>+G26+G24</f>
        <v>0</v>
      </c>
      <c r="H28" s="1060">
        <f t="shared" ref="H28:M28" si="5">+H26+H24</f>
        <v>14.5</v>
      </c>
      <c r="I28" s="1060">
        <f t="shared" si="5"/>
        <v>21.5</v>
      </c>
      <c r="J28" s="1060">
        <f t="shared" si="5"/>
        <v>25</v>
      </c>
      <c r="K28" s="1060">
        <f t="shared" si="5"/>
        <v>30</v>
      </c>
      <c r="L28" s="1060">
        <f t="shared" si="5"/>
        <v>31</v>
      </c>
      <c r="M28" s="1060">
        <f t="shared" si="5"/>
        <v>31</v>
      </c>
      <c r="N28" s="83"/>
      <c r="O28" s="287"/>
      <c r="Q28" s="48"/>
      <c r="R28" s="48"/>
      <c r="S28" s="48"/>
      <c r="T28" s="48"/>
      <c r="U28" s="48"/>
      <c r="V28" s="48"/>
      <c r="W28" s="48"/>
      <c r="X28" s="48"/>
      <c r="Y28" s="48"/>
      <c r="Z28" s="48"/>
      <c r="AA28" s="48"/>
      <c r="AB28" s="48"/>
      <c r="AC28" s="48"/>
      <c r="AD28" s="48"/>
      <c r="AE28" s="48"/>
    </row>
    <row r="29" spans="1:31">
      <c r="A29" s="412">
        <f>ROW()</f>
        <v>29</v>
      </c>
      <c r="H29" s="89"/>
      <c r="I29" s="89"/>
      <c r="J29" s="89"/>
      <c r="N29" s="83"/>
      <c r="O29" s="287"/>
      <c r="Q29" s="48"/>
      <c r="R29" s="48"/>
      <c r="S29" s="48"/>
      <c r="T29" s="48"/>
      <c r="U29" s="48"/>
      <c r="V29" s="48"/>
      <c r="W29" s="48"/>
      <c r="X29" s="48"/>
      <c r="Y29" s="48"/>
      <c r="Z29" s="48"/>
      <c r="AA29" s="48"/>
      <c r="AB29" s="48"/>
      <c r="AC29" s="48"/>
      <c r="AD29" s="48"/>
      <c r="AE29" s="48"/>
    </row>
    <row r="30" spans="1:31">
      <c r="A30" s="412">
        <f>ROW()</f>
        <v>30</v>
      </c>
      <c r="C30" s="429" t="s">
        <v>436</v>
      </c>
      <c r="H30" s="89"/>
      <c r="I30" s="89"/>
      <c r="J30" s="89"/>
      <c r="N30" s="83"/>
      <c r="O30" s="287"/>
      <c r="Q30" s="48"/>
      <c r="R30" s="48"/>
      <c r="S30" s="48"/>
      <c r="T30" s="48"/>
      <c r="U30" s="48"/>
      <c r="V30" s="48"/>
      <c r="W30" s="48"/>
      <c r="X30" s="48"/>
      <c r="Y30" s="48"/>
      <c r="Z30" s="48"/>
      <c r="AA30" s="48"/>
      <c r="AB30" s="48"/>
      <c r="AC30" s="48"/>
      <c r="AD30" s="48"/>
      <c r="AE30" s="48"/>
    </row>
    <row r="31" spans="1:31" ht="17.399999999999999">
      <c r="A31" s="412">
        <f>ROW()</f>
        <v>31</v>
      </c>
      <c r="B31" s="1062" t="s">
        <v>437</v>
      </c>
      <c r="C31" s="663">
        <f>AVERAGE(H31:M31)</f>
        <v>418.33333333333331</v>
      </c>
      <c r="D31" s="374"/>
      <c r="E31" s="374"/>
      <c r="F31" s="374"/>
      <c r="G31" s="1641"/>
      <c r="H31" s="1641">
        <f>Levers!D9</f>
        <v>230</v>
      </c>
      <c r="I31" s="1641">
        <f>Levers!E9</f>
        <v>310</v>
      </c>
      <c r="J31" s="1641">
        <f>Levers!F9</f>
        <v>390</v>
      </c>
      <c r="K31" s="1641">
        <f>Levers!G9</f>
        <v>470</v>
      </c>
      <c r="L31" s="1641">
        <f>Levers!H9</f>
        <v>550</v>
      </c>
      <c r="M31" s="1641">
        <f>Levers!I9</f>
        <v>560</v>
      </c>
      <c r="N31" s="83"/>
      <c r="O31" s="287"/>
      <c r="Q31" s="48"/>
      <c r="R31" s="48"/>
      <c r="S31" s="48"/>
      <c r="T31" s="48"/>
      <c r="U31" s="48"/>
      <c r="V31" s="48"/>
      <c r="W31" s="48"/>
      <c r="X31" s="48"/>
      <c r="Y31" s="48"/>
      <c r="Z31" s="48"/>
      <c r="AA31" s="48"/>
      <c r="AB31" s="48"/>
      <c r="AC31" s="48"/>
      <c r="AD31" s="48"/>
      <c r="AE31" s="48"/>
    </row>
    <row r="32" spans="1:31" ht="18">
      <c r="A32" s="412">
        <f>ROW()</f>
        <v>32</v>
      </c>
      <c r="B32" s="1149" t="s">
        <v>438</v>
      </c>
      <c r="C32" s="1077"/>
      <c r="D32" s="1078"/>
      <c r="E32" s="1078"/>
      <c r="F32" s="1078"/>
      <c r="G32" s="1079">
        <f>SUM(G19,G20,G22)</f>
        <v>0</v>
      </c>
      <c r="H32" s="1079">
        <f t="shared" ref="H32:M32" si="6">SUM(H19,H20,H22)</f>
        <v>10.5</v>
      </c>
      <c r="I32" s="1079">
        <f t="shared" si="6"/>
        <v>16.5</v>
      </c>
      <c r="J32" s="1079">
        <f t="shared" si="6"/>
        <v>19</v>
      </c>
      <c r="K32" s="1079">
        <f t="shared" si="6"/>
        <v>24</v>
      </c>
      <c r="L32" s="1079">
        <f t="shared" si="6"/>
        <v>24</v>
      </c>
      <c r="M32" s="1079">
        <f t="shared" si="6"/>
        <v>24</v>
      </c>
      <c r="N32" s="83"/>
      <c r="O32" s="287"/>
      <c r="Q32" s="48"/>
      <c r="R32" s="48"/>
      <c r="S32" s="48"/>
      <c r="T32" s="48"/>
      <c r="U32" s="48"/>
      <c r="V32" s="48"/>
      <c r="W32" s="48"/>
      <c r="X32" s="48"/>
      <c r="Y32" s="48"/>
      <c r="Z32" s="48"/>
      <c r="AA32" s="48"/>
      <c r="AB32" s="48"/>
      <c r="AC32" s="48"/>
      <c r="AD32" s="48"/>
      <c r="AE32" s="48"/>
    </row>
    <row r="33" spans="1:31" ht="18">
      <c r="A33" s="412">
        <f>ROW()</f>
        <v>33</v>
      </c>
      <c r="B33" s="1150" t="s">
        <v>439</v>
      </c>
      <c r="C33" s="1080"/>
      <c r="D33" s="1081"/>
      <c r="E33" s="1081"/>
      <c r="F33" s="1081"/>
      <c r="G33" s="1082">
        <f>IFERROR(G31/G32,0)</f>
        <v>0</v>
      </c>
      <c r="H33" s="1082">
        <f t="shared" ref="H33:M33" si="7">IFERROR(H31/H32,0)</f>
        <v>21.904761904761905</v>
      </c>
      <c r="I33" s="1082">
        <f t="shared" si="7"/>
        <v>18.787878787878789</v>
      </c>
      <c r="J33" s="1082">
        <f t="shared" si="7"/>
        <v>20.526315789473685</v>
      </c>
      <c r="K33" s="1082">
        <f t="shared" si="7"/>
        <v>19.583333333333332</v>
      </c>
      <c r="L33" s="1082">
        <f t="shared" si="7"/>
        <v>22.916666666666668</v>
      </c>
      <c r="M33" s="1082">
        <f t="shared" si="7"/>
        <v>23.333333333333332</v>
      </c>
      <c r="N33" s="83"/>
      <c r="O33" s="287"/>
      <c r="Q33" s="48"/>
      <c r="R33" s="48"/>
      <c r="S33" s="48"/>
      <c r="T33" s="48"/>
      <c r="U33" s="48"/>
      <c r="V33" s="48"/>
      <c r="W33" s="48"/>
      <c r="X33" s="48"/>
      <c r="Y33" s="48"/>
      <c r="Z33" s="48"/>
      <c r="AA33" s="48"/>
      <c r="AB33" s="48"/>
      <c r="AC33" s="48"/>
      <c r="AD33" s="48"/>
      <c r="AE33" s="48"/>
    </row>
    <row r="34" spans="1:31">
      <c r="A34" s="412">
        <f>ROW()</f>
        <v>34</v>
      </c>
      <c r="B34" s="663"/>
      <c r="C34" s="663"/>
      <c r="D34" s="374"/>
      <c r="E34" s="374"/>
      <c r="F34" s="374"/>
      <c r="G34" s="374"/>
      <c r="H34" s="374"/>
      <c r="I34" s="374"/>
      <c r="J34" s="374"/>
      <c r="K34" s="374"/>
      <c r="L34" s="374"/>
      <c r="M34" s="374"/>
      <c r="N34" s="83"/>
      <c r="O34" s="287"/>
      <c r="Q34" s="48"/>
      <c r="R34" s="48"/>
      <c r="S34" s="48"/>
      <c r="T34" s="48"/>
      <c r="U34" s="48"/>
      <c r="V34" s="48"/>
      <c r="W34" s="48"/>
      <c r="X34" s="48"/>
      <c r="Y34" s="48"/>
      <c r="Z34" s="48"/>
      <c r="AA34" s="48"/>
      <c r="AB34" s="48"/>
      <c r="AC34" s="48"/>
      <c r="AD34" s="48"/>
      <c r="AE34" s="48"/>
    </row>
    <row r="35" spans="1:31">
      <c r="A35" s="412">
        <f>ROW()</f>
        <v>35</v>
      </c>
      <c r="B35" s="1307" t="s">
        <v>440</v>
      </c>
      <c r="C35" s="663">
        <f t="shared" ref="C35:C36" si="8">AVERAGE(H35:M35)</f>
        <v>4607931.6712391665</v>
      </c>
      <c r="D35" s="389"/>
      <c r="E35" s="386"/>
      <c r="F35" s="386"/>
      <c r="G35" s="388">
        <f>Levers!C10</f>
        <v>0</v>
      </c>
      <c r="H35" s="388">
        <f>Levers!D10</f>
        <v>2405997.25</v>
      </c>
      <c r="I35" s="388">
        <f>Levers!E10</f>
        <v>3392920.8001589999</v>
      </c>
      <c r="J35" s="388">
        <f>Levers!F10</f>
        <v>4291461.1828230005</v>
      </c>
      <c r="K35" s="388">
        <f>Levers!G10</f>
        <v>5190001.5654870002</v>
      </c>
      <c r="L35" s="388">
        <f>Levers!H10</f>
        <v>6088541.9481509998</v>
      </c>
      <c r="M35" s="388">
        <f>Levers!I10</f>
        <v>6278667.2808150006</v>
      </c>
      <c r="N35" s="83"/>
      <c r="O35" s="287"/>
      <c r="Q35" s="48"/>
      <c r="R35" s="48"/>
      <c r="S35" s="48"/>
      <c r="T35" s="48"/>
      <c r="U35" s="48"/>
      <c r="V35" s="48"/>
      <c r="W35" s="48"/>
      <c r="X35" s="48"/>
      <c r="Y35" s="48"/>
      <c r="Z35" s="48"/>
      <c r="AA35" s="48"/>
      <c r="AB35" s="48"/>
      <c r="AC35" s="48"/>
      <c r="AD35" s="48"/>
      <c r="AE35" s="48"/>
    </row>
    <row r="36" spans="1:31">
      <c r="A36" s="412">
        <f>ROW()</f>
        <v>36</v>
      </c>
      <c r="B36" s="1307" t="s">
        <v>441</v>
      </c>
      <c r="C36" s="663">
        <f t="shared" si="8"/>
        <v>1570550</v>
      </c>
      <c r="D36" s="389"/>
      <c r="E36" s="386"/>
      <c r="F36" s="386"/>
      <c r="G36" s="388">
        <f>G403</f>
        <v>0</v>
      </c>
      <c r="H36" s="388">
        <f>H403</f>
        <v>878700</v>
      </c>
      <c r="I36" s="388">
        <f t="shared" ref="I36:M36" si="9">I403</f>
        <v>1333200</v>
      </c>
      <c r="J36" s="388">
        <f t="shared" si="9"/>
        <v>1545300</v>
      </c>
      <c r="K36" s="388">
        <f t="shared" si="9"/>
        <v>1848300</v>
      </c>
      <c r="L36" s="388">
        <f t="shared" si="9"/>
        <v>1908900</v>
      </c>
      <c r="M36" s="388">
        <f t="shared" si="9"/>
        <v>1908900</v>
      </c>
      <c r="N36" s="83"/>
      <c r="O36" s="287"/>
      <c r="Q36" s="48"/>
      <c r="R36" s="48"/>
      <c r="S36" s="48"/>
      <c r="T36" s="48"/>
      <c r="U36" s="48"/>
      <c r="V36" s="48"/>
      <c r="W36" s="48"/>
      <c r="X36" s="48"/>
      <c r="Y36" s="48"/>
      <c r="Z36" s="48"/>
      <c r="AA36" s="48"/>
      <c r="AB36" s="48"/>
      <c r="AC36" s="48"/>
      <c r="AD36" s="48"/>
      <c r="AE36" s="48"/>
    </row>
    <row r="37" spans="1:31">
      <c r="A37" s="412">
        <f>ROW()</f>
        <v>37</v>
      </c>
      <c r="C37" s="109"/>
      <c r="D37" s="52"/>
      <c r="E37" s="52"/>
      <c r="F37" s="52"/>
      <c r="G37" s="52"/>
      <c r="H37" s="92"/>
      <c r="I37" s="92"/>
      <c r="J37" s="92"/>
      <c r="K37" s="92"/>
      <c r="L37" s="92"/>
      <c r="M37" s="92"/>
      <c r="N37" s="83"/>
      <c r="O37" s="287"/>
      <c r="Q37" s="48"/>
      <c r="R37" s="48"/>
      <c r="S37" s="48"/>
      <c r="T37" s="48"/>
      <c r="U37" s="48"/>
      <c r="V37" s="48"/>
      <c r="W37" s="48"/>
      <c r="X37" s="48"/>
      <c r="Y37" s="48"/>
      <c r="Z37" s="48"/>
      <c r="AA37" s="48"/>
      <c r="AB37" s="48"/>
      <c r="AC37" s="48"/>
      <c r="AD37" s="48"/>
      <c r="AE37" s="48"/>
    </row>
    <row r="38" spans="1:31">
      <c r="A38" s="412">
        <f>ROW()</f>
        <v>38</v>
      </c>
      <c r="B38" s="1307" t="s">
        <v>442</v>
      </c>
      <c r="C38" s="663">
        <f>AVERAGE(H38:M38)</f>
        <v>492914.76864129817</v>
      </c>
      <c r="D38" s="390"/>
      <c r="E38" s="387"/>
      <c r="F38" s="387"/>
      <c r="G38" s="428">
        <f>G428</f>
        <v>0</v>
      </c>
      <c r="H38" s="428">
        <f t="shared" ref="H38:M38" si="10">H428</f>
        <v>274945.23</v>
      </c>
      <c r="I38" s="428">
        <f t="shared" si="10"/>
        <v>415862.95499999996</v>
      </c>
      <c r="J38" s="428">
        <f t="shared" si="10"/>
        <v>483535.73249999993</v>
      </c>
      <c r="K38" s="428">
        <f t="shared" si="10"/>
        <v>580192.11135000002</v>
      </c>
      <c r="L38" s="428">
        <f t="shared" si="10"/>
        <v>600743.21198894992</v>
      </c>
      <c r="M38" s="428">
        <f t="shared" si="10"/>
        <v>602209.37100883946</v>
      </c>
      <c r="N38" s="83"/>
      <c r="O38" s="287"/>
      <c r="Q38" s="48"/>
      <c r="R38" s="48"/>
      <c r="S38" s="48"/>
      <c r="T38" s="48"/>
      <c r="U38" s="48"/>
      <c r="V38" s="48"/>
      <c r="W38" s="48"/>
      <c r="X38" s="48"/>
      <c r="Y38" s="48"/>
      <c r="Z38" s="48"/>
      <c r="AA38" s="48"/>
      <c r="AB38" s="48"/>
      <c r="AC38" s="48"/>
      <c r="AD38" s="48"/>
      <c r="AE38" s="48"/>
    </row>
    <row r="39" spans="1:31">
      <c r="A39" s="412">
        <f>ROW()</f>
        <v>39</v>
      </c>
      <c r="B39" s="32" t="s">
        <v>455</v>
      </c>
      <c r="G39" s="87">
        <f>G408</f>
        <v>0</v>
      </c>
      <c r="H39" s="87">
        <f t="shared" ref="H39:M39" si="11">H408</f>
        <v>65902.5</v>
      </c>
      <c r="I39" s="87">
        <f t="shared" si="11"/>
        <v>98694.675000000003</v>
      </c>
      <c r="J39" s="87">
        <f t="shared" si="11"/>
        <v>115908.86249999999</v>
      </c>
      <c r="K39" s="87">
        <f t="shared" si="11"/>
        <v>140481.54135000001</v>
      </c>
      <c r="L39" s="87">
        <f t="shared" si="11"/>
        <v>146615.90198894998</v>
      </c>
      <c r="M39" s="87">
        <f t="shared" si="11"/>
        <v>148082.06100883952</v>
      </c>
      <c r="N39" s="83"/>
      <c r="O39" s="287"/>
      <c r="Q39" s="48"/>
      <c r="R39" s="48"/>
      <c r="S39" s="48"/>
      <c r="T39" s="48"/>
      <c r="U39" s="48"/>
      <c r="V39" s="48"/>
      <c r="W39" s="48"/>
      <c r="X39" s="48"/>
      <c r="Y39" s="48"/>
      <c r="Z39" s="48"/>
      <c r="AA39" s="48"/>
      <c r="AB39" s="48"/>
      <c r="AC39" s="48"/>
      <c r="AD39" s="48"/>
      <c r="AE39" s="48"/>
    </row>
    <row r="40" spans="1:31">
      <c r="A40" s="412">
        <f>ROW()</f>
        <v>40</v>
      </c>
      <c r="B40" s="32" t="s">
        <v>444</v>
      </c>
      <c r="G40" s="87">
        <f>G414</f>
        <v>0</v>
      </c>
      <c r="H40" s="87">
        <f t="shared" ref="H40:M40" si="12">H414</f>
        <v>153772.5</v>
      </c>
      <c r="I40" s="87">
        <f t="shared" si="12"/>
        <v>233309.99999999997</v>
      </c>
      <c r="J40" s="87">
        <f t="shared" si="12"/>
        <v>270427.5</v>
      </c>
      <c r="K40" s="87">
        <f t="shared" si="12"/>
        <v>323452.5</v>
      </c>
      <c r="L40" s="87">
        <f t="shared" si="12"/>
        <v>334057.5</v>
      </c>
      <c r="M40" s="87">
        <f t="shared" si="12"/>
        <v>334057.5</v>
      </c>
      <c r="N40" s="83"/>
      <c r="O40" s="287"/>
      <c r="Q40" s="48"/>
      <c r="R40" s="48"/>
      <c r="S40" s="48"/>
      <c r="T40" s="48"/>
      <c r="U40" s="48"/>
      <c r="V40" s="48"/>
      <c r="W40" s="48"/>
      <c r="X40" s="48"/>
      <c r="Y40" s="48"/>
      <c r="Z40" s="48"/>
      <c r="AA40" s="48"/>
      <c r="AB40" s="48"/>
      <c r="AC40" s="48"/>
      <c r="AD40" s="48"/>
      <c r="AE40" s="48"/>
    </row>
    <row r="41" spans="1:31">
      <c r="A41" s="412">
        <f>ROW()</f>
        <v>41</v>
      </c>
      <c r="B41" s="32" t="s">
        <v>445</v>
      </c>
      <c r="G41" s="87">
        <f t="shared" ref="G41:M41" si="13">G428-G40-G39</f>
        <v>0</v>
      </c>
      <c r="H41" s="87">
        <f t="shared" si="13"/>
        <v>55270.229999999981</v>
      </c>
      <c r="I41" s="87">
        <f t="shared" si="13"/>
        <v>83858.279999999984</v>
      </c>
      <c r="J41" s="87">
        <f t="shared" si="13"/>
        <v>97199.369999999937</v>
      </c>
      <c r="K41" s="87">
        <f t="shared" si="13"/>
        <v>116258.07</v>
      </c>
      <c r="L41" s="87">
        <f t="shared" si="13"/>
        <v>120069.80999999994</v>
      </c>
      <c r="M41" s="87">
        <f t="shared" si="13"/>
        <v>120069.80999999994</v>
      </c>
      <c r="N41" s="83"/>
      <c r="O41" s="287"/>
      <c r="Q41" s="48"/>
      <c r="R41" s="48"/>
      <c r="S41" s="48"/>
      <c r="T41" s="48"/>
      <c r="U41" s="48"/>
      <c r="V41" s="48"/>
      <c r="W41" s="48"/>
      <c r="X41" s="48"/>
      <c r="Y41" s="48"/>
      <c r="Z41" s="48"/>
      <c r="AA41" s="48"/>
      <c r="AB41" s="48"/>
      <c r="AC41" s="48"/>
      <c r="AD41" s="48"/>
      <c r="AE41" s="48"/>
    </row>
    <row r="42" spans="1:31">
      <c r="A42" s="412">
        <f>ROW()</f>
        <v>42</v>
      </c>
      <c r="H42" s="89"/>
      <c r="I42" s="89"/>
      <c r="J42" s="89"/>
      <c r="N42" s="83"/>
      <c r="O42" s="287"/>
      <c r="Q42" s="48"/>
      <c r="R42" s="48"/>
      <c r="S42" s="48"/>
      <c r="T42" s="48"/>
      <c r="U42" s="48"/>
      <c r="V42" s="48"/>
      <c r="W42" s="48"/>
      <c r="X42" s="48"/>
      <c r="Y42" s="48"/>
      <c r="Z42" s="48"/>
      <c r="AA42" s="48"/>
      <c r="AB42" s="48"/>
      <c r="AC42" s="48"/>
      <c r="AD42" s="48"/>
      <c r="AE42" s="48"/>
    </row>
    <row r="43" spans="1:31">
      <c r="A43" s="412">
        <f>ROW()</f>
        <v>43</v>
      </c>
      <c r="B43" s="1307" t="s">
        <v>446</v>
      </c>
      <c r="C43" s="663">
        <f t="shared" ref="C43:C48" si="14">AVERAGE(H43:M43)</f>
        <v>2063464.7686412984</v>
      </c>
      <c r="D43" s="1307"/>
      <c r="E43" s="1307"/>
      <c r="F43" s="1307"/>
      <c r="G43" s="428">
        <f>G474</f>
        <v>0</v>
      </c>
      <c r="H43" s="428">
        <f t="shared" ref="H43:M43" si="15">H474</f>
        <v>1153645.23</v>
      </c>
      <c r="I43" s="428">
        <f t="shared" si="15"/>
        <v>1749062.9550000001</v>
      </c>
      <c r="J43" s="428">
        <f t="shared" si="15"/>
        <v>2028835.7324999999</v>
      </c>
      <c r="K43" s="428">
        <f t="shared" si="15"/>
        <v>2428492.1113499999</v>
      </c>
      <c r="L43" s="428">
        <f t="shared" si="15"/>
        <v>2509643.2119889501</v>
      </c>
      <c r="M43" s="428">
        <f t="shared" si="15"/>
        <v>2511109.3710088395</v>
      </c>
      <c r="N43" s="83"/>
      <c r="O43" s="287"/>
      <c r="Q43" s="48"/>
      <c r="R43" s="48"/>
      <c r="S43" s="48"/>
      <c r="T43" s="48"/>
      <c r="U43" s="48"/>
      <c r="V43" s="48"/>
      <c r="W43" s="48"/>
      <c r="X43" s="48"/>
      <c r="Y43" s="48"/>
      <c r="Z43" s="48"/>
      <c r="AA43" s="48"/>
      <c r="AB43" s="48"/>
      <c r="AC43" s="48"/>
      <c r="AD43" s="48"/>
      <c r="AE43" s="48"/>
    </row>
    <row r="44" spans="1:31">
      <c r="A44" s="412">
        <f>ROW()</f>
        <v>44</v>
      </c>
      <c r="B44" s="32" t="s">
        <v>447</v>
      </c>
      <c r="C44" s="665">
        <f t="shared" si="14"/>
        <v>5012.3743869410846</v>
      </c>
      <c r="G44" s="375"/>
      <c r="H44" s="375">
        <f>Levers!D13</f>
        <v>5015.8488260869563</v>
      </c>
      <c r="I44" s="375">
        <f>Levers!E13</f>
        <v>5642.138564516129</v>
      </c>
      <c r="J44" s="375">
        <f>Levers!F13</f>
        <v>5202.1429038461538</v>
      </c>
      <c r="K44" s="375">
        <f>Levers!G13</f>
        <v>5167.0044922340421</v>
      </c>
      <c r="L44" s="375">
        <f>Levers!H13</f>
        <v>4562.9876581617273</v>
      </c>
      <c r="M44" s="375">
        <f>Levers!I13</f>
        <v>4484.1238768014991</v>
      </c>
      <c r="N44" s="83"/>
      <c r="O44" s="287"/>
      <c r="Q44" s="48"/>
      <c r="R44" s="48"/>
      <c r="S44" s="48"/>
      <c r="T44" s="48"/>
      <c r="U44" s="48"/>
      <c r="V44" s="48"/>
      <c r="W44" s="48"/>
      <c r="X44" s="48"/>
      <c r="Y44" s="48"/>
      <c r="Z44" s="48"/>
      <c r="AA44" s="48"/>
      <c r="AB44" s="48"/>
      <c r="AC44" s="48"/>
      <c r="AD44" s="48"/>
      <c r="AE44" s="48"/>
    </row>
    <row r="45" spans="1:31">
      <c r="A45" s="412">
        <f>ROW()</f>
        <v>45</v>
      </c>
      <c r="B45" s="66" t="s">
        <v>448</v>
      </c>
      <c r="C45" s="664">
        <f t="shared" si="14"/>
        <v>2544466.9025978688</v>
      </c>
      <c r="D45" s="66"/>
      <c r="E45" s="66"/>
      <c r="F45" s="66"/>
      <c r="G45" s="376">
        <f>Levers!C14</f>
        <v>0</v>
      </c>
      <c r="H45" s="376">
        <f>Levers!D14</f>
        <v>1252352.02</v>
      </c>
      <c r="I45" s="376">
        <f>Levers!E14</f>
        <v>1643857.8451589998</v>
      </c>
      <c r="J45" s="376">
        <f>Levers!F14</f>
        <v>2262625.4503230006</v>
      </c>
      <c r="K45" s="376">
        <f>Levers!G14</f>
        <v>2761509.4541370003</v>
      </c>
      <c r="L45" s="376">
        <f>Levers!H14</f>
        <v>3578898.7361620497</v>
      </c>
      <c r="M45" s="376">
        <f>Levers!I14</f>
        <v>3767557.9098061612</v>
      </c>
      <c r="N45" s="83"/>
      <c r="O45" s="287"/>
      <c r="Q45" s="48"/>
      <c r="R45" s="48"/>
      <c r="S45" s="48"/>
      <c r="T45" s="48"/>
      <c r="U45" s="48"/>
      <c r="V45" s="48"/>
      <c r="W45" s="48"/>
      <c r="X45" s="48"/>
      <c r="Y45" s="48"/>
      <c r="Z45" s="48"/>
      <c r="AA45" s="48"/>
      <c r="AB45" s="48"/>
      <c r="AC45" s="48"/>
      <c r="AD45" s="48"/>
      <c r="AE45" s="48"/>
    </row>
    <row r="46" spans="1:31">
      <c r="A46" s="412">
        <f>ROW()</f>
        <v>46</v>
      </c>
      <c r="B46" s="66" t="s">
        <v>449</v>
      </c>
      <c r="C46" s="664">
        <f t="shared" si="14"/>
        <v>5943.3003944855291</v>
      </c>
      <c r="D46" s="66"/>
      <c r="E46" s="66"/>
      <c r="F46" s="66"/>
      <c r="G46" s="376"/>
      <c r="H46" s="376">
        <f>Levers!D15</f>
        <v>5445.0087826086956</v>
      </c>
      <c r="I46" s="376">
        <f>Levers!E15</f>
        <v>5302.7672424483862</v>
      </c>
      <c r="J46" s="376">
        <f>Levers!F15</f>
        <v>5801.6037187769243</v>
      </c>
      <c r="K46" s="376">
        <f>Levers!G15</f>
        <v>5875.5520300787239</v>
      </c>
      <c r="L46" s="376">
        <f>Levers!H15</f>
        <v>6507.0886112037269</v>
      </c>
      <c r="M46" s="376">
        <f>Levers!I15</f>
        <v>6727.7819817967165</v>
      </c>
      <c r="N46" s="83"/>
      <c r="O46" s="287"/>
      <c r="Q46" s="48"/>
      <c r="R46" s="48"/>
      <c r="S46" s="48"/>
      <c r="T46" s="48"/>
      <c r="U46" s="48"/>
      <c r="V46" s="48"/>
      <c r="W46" s="48"/>
      <c r="X46" s="48"/>
      <c r="Y46" s="48"/>
      <c r="Z46" s="48"/>
      <c r="AA46" s="48"/>
      <c r="AB46" s="48"/>
      <c r="AC46" s="48"/>
      <c r="AD46" s="48"/>
      <c r="AE46" s="48"/>
    </row>
    <row r="47" spans="1:31">
      <c r="A47" s="412">
        <f>ROW()</f>
        <v>47</v>
      </c>
      <c r="B47" s="66" t="s">
        <v>450</v>
      </c>
      <c r="C47" s="664">
        <f t="shared" si="14"/>
        <v>1708907.2203717353</v>
      </c>
      <c r="D47" s="66"/>
      <c r="E47" s="66"/>
      <c r="F47" s="66"/>
      <c r="G47" s="376">
        <f>Levers!C38</f>
        <v>0</v>
      </c>
      <c r="H47" s="376">
        <f>Levers!D38</f>
        <v>327593.02</v>
      </c>
      <c r="I47" s="376">
        <f>Levers!E38</f>
        <v>849238.84515899979</v>
      </c>
      <c r="J47" s="376">
        <f>Levers!F38</f>
        <v>1464828.0503230006</v>
      </c>
      <c r="K47" s="376">
        <f>Levers!G38</f>
        <v>1929999.7021370004</v>
      </c>
      <c r="L47" s="376">
        <f>Levers!H38</f>
        <v>2742626.6616020496</v>
      </c>
      <c r="M47" s="376">
        <f>Levers!I38</f>
        <v>2939157.0430093613</v>
      </c>
      <c r="N47" s="83"/>
      <c r="O47" s="287"/>
      <c r="Q47" s="48"/>
      <c r="R47" s="48"/>
      <c r="S47" s="48"/>
      <c r="T47" s="48"/>
      <c r="U47" s="48"/>
      <c r="V47" s="48"/>
      <c r="W47" s="48"/>
      <c r="X47" s="48"/>
      <c r="Y47" s="48"/>
      <c r="Z47" s="48"/>
      <c r="AA47" s="48"/>
      <c r="AB47" s="48"/>
      <c r="AC47" s="48"/>
      <c r="AD47" s="48"/>
      <c r="AE47" s="48"/>
    </row>
    <row r="48" spans="1:31">
      <c r="A48" s="412">
        <f>ROW()</f>
        <v>48</v>
      </c>
      <c r="B48" s="66" t="s">
        <v>451</v>
      </c>
      <c r="C48" s="664">
        <f t="shared" si="14"/>
        <v>3710.2063297591812</v>
      </c>
      <c r="D48" s="66"/>
      <c r="E48" s="66"/>
      <c r="F48" s="66"/>
      <c r="G48" s="376">
        <f>Levers!C39</f>
        <v>0</v>
      </c>
      <c r="H48" s="376">
        <f>Levers!D39</f>
        <v>1424.3174782608696</v>
      </c>
      <c r="I48" s="376">
        <f>Levers!E39</f>
        <v>2739.480145674193</v>
      </c>
      <c r="J48" s="376">
        <f>Levers!F39</f>
        <v>3755.9693598025656</v>
      </c>
      <c r="K48" s="376">
        <f>Levers!G39</f>
        <v>4106.3823449723413</v>
      </c>
      <c r="L48" s="376">
        <f>Levers!H39</f>
        <v>4986.5939301855451</v>
      </c>
      <c r="M48" s="376">
        <f>Levers!I39</f>
        <v>5248.494719659574</v>
      </c>
      <c r="N48" s="83"/>
      <c r="O48" s="287"/>
      <c r="Q48" s="48"/>
      <c r="R48" s="48"/>
      <c r="S48" s="48"/>
      <c r="T48" s="48"/>
      <c r="U48" s="48"/>
      <c r="V48" s="48"/>
      <c r="W48" s="48"/>
      <c r="X48" s="48"/>
      <c r="Y48" s="48"/>
      <c r="Z48" s="48"/>
      <c r="AA48" s="48"/>
      <c r="AB48" s="48"/>
      <c r="AC48" s="48"/>
      <c r="AD48" s="48"/>
      <c r="AE48" s="48"/>
    </row>
    <row r="49" spans="1:31">
      <c r="A49" s="412">
        <f>ROW()</f>
        <v>49</v>
      </c>
      <c r="H49" s="89"/>
      <c r="I49" s="89"/>
      <c r="J49" s="89"/>
      <c r="N49" s="83"/>
      <c r="O49" s="287"/>
      <c r="Q49" s="48"/>
      <c r="R49" s="48"/>
      <c r="S49" s="48"/>
      <c r="T49" s="48"/>
      <c r="U49" s="48"/>
      <c r="V49" s="48"/>
      <c r="W49" s="48"/>
      <c r="X49" s="48"/>
      <c r="Y49" s="48"/>
      <c r="Z49" s="48"/>
      <c r="AA49" s="48"/>
      <c r="AB49" s="48"/>
      <c r="AC49" s="48"/>
      <c r="AD49" s="48"/>
      <c r="AE49" s="48"/>
    </row>
    <row r="50" spans="1:31">
      <c r="A50" s="412">
        <f>ROW()</f>
        <v>50</v>
      </c>
      <c r="B50" s="1502" t="s">
        <v>109</v>
      </c>
      <c r="C50" s="1502"/>
      <c r="D50" s="1502"/>
      <c r="E50" s="1502"/>
      <c r="F50" s="1502"/>
      <c r="G50" s="1643">
        <f t="shared" ref="G50:M52" si="16">G8</f>
        <v>0</v>
      </c>
      <c r="H50" s="1644">
        <f t="shared" si="16"/>
        <v>1</v>
      </c>
      <c r="I50" s="1644">
        <f t="shared" si="16"/>
        <v>2</v>
      </c>
      <c r="J50" s="1644">
        <f t="shared" si="16"/>
        <v>3</v>
      </c>
      <c r="K50" s="1644">
        <f t="shared" si="16"/>
        <v>4</v>
      </c>
      <c r="L50" s="1644">
        <f t="shared" si="16"/>
        <v>5</v>
      </c>
      <c r="M50" s="1644">
        <f t="shared" si="16"/>
        <v>6</v>
      </c>
      <c r="N50" s="83"/>
      <c r="O50" s="287"/>
      <c r="Q50" s="48"/>
      <c r="R50" s="48"/>
      <c r="S50" s="48"/>
      <c r="T50" s="48"/>
      <c r="U50" s="48"/>
      <c r="V50" s="48"/>
      <c r="W50" s="48"/>
      <c r="X50" s="48"/>
      <c r="Y50" s="48"/>
      <c r="Z50" s="48"/>
      <c r="AA50" s="48"/>
      <c r="AB50" s="48"/>
      <c r="AC50" s="48"/>
      <c r="AD50" s="48"/>
      <c r="AE50" s="48"/>
    </row>
    <row r="51" spans="1:31">
      <c r="A51" s="412">
        <f>ROW()</f>
        <v>51</v>
      </c>
      <c r="B51" s="30" t="s">
        <v>452</v>
      </c>
      <c r="C51" s="30"/>
      <c r="D51" s="30"/>
      <c r="E51" s="30"/>
      <c r="F51" s="30"/>
      <c r="G51" s="661">
        <f t="shared" si="16"/>
        <v>2025</v>
      </c>
      <c r="H51" s="661">
        <f t="shared" si="16"/>
        <v>2026</v>
      </c>
      <c r="I51" s="427">
        <f t="shared" si="16"/>
        <v>2027</v>
      </c>
      <c r="J51" s="427">
        <f t="shared" si="16"/>
        <v>2028</v>
      </c>
      <c r="K51" s="427">
        <f t="shared" si="16"/>
        <v>2029</v>
      </c>
      <c r="L51" s="427">
        <f t="shared" si="16"/>
        <v>2030</v>
      </c>
      <c r="M51" s="427">
        <f t="shared" si="16"/>
        <v>2031</v>
      </c>
      <c r="N51" s="83"/>
      <c r="O51" s="287"/>
      <c r="Q51" s="48"/>
      <c r="R51" s="48"/>
      <c r="S51" s="48"/>
      <c r="T51" s="48"/>
      <c r="U51" s="48"/>
      <c r="V51" s="48"/>
      <c r="W51" s="48"/>
      <c r="X51" s="48"/>
      <c r="Y51" s="48"/>
      <c r="Z51" s="48"/>
      <c r="AA51" s="48"/>
      <c r="AB51" s="48"/>
      <c r="AC51" s="48"/>
      <c r="AD51" s="48"/>
      <c r="AE51" s="48"/>
    </row>
    <row r="52" spans="1:31">
      <c r="A52" s="412">
        <f>ROW()</f>
        <v>52</v>
      </c>
      <c r="B52" s="30" t="s">
        <v>453</v>
      </c>
      <c r="C52" s="30"/>
      <c r="D52" s="30"/>
      <c r="E52" s="30"/>
      <c r="F52" s="30"/>
      <c r="G52" s="60">
        <f t="shared" si="16"/>
        <v>2026</v>
      </c>
      <c r="H52" s="60">
        <f t="shared" si="16"/>
        <v>2027</v>
      </c>
      <c r="I52" s="60">
        <f t="shared" si="16"/>
        <v>2028</v>
      </c>
      <c r="J52" s="60">
        <f t="shared" si="16"/>
        <v>2029</v>
      </c>
      <c r="K52" s="60">
        <f t="shared" si="16"/>
        <v>2030</v>
      </c>
      <c r="L52" s="60">
        <f t="shared" si="16"/>
        <v>2031</v>
      </c>
      <c r="M52" s="60">
        <f t="shared" si="16"/>
        <v>2032</v>
      </c>
      <c r="N52" s="83"/>
      <c r="O52" s="287"/>
      <c r="Q52" s="48"/>
      <c r="R52" s="48"/>
      <c r="S52" s="48"/>
      <c r="T52" s="48"/>
      <c r="U52" s="48"/>
      <c r="V52" s="48"/>
      <c r="W52" s="48"/>
      <c r="X52" s="48"/>
      <c r="Y52" s="48"/>
      <c r="Z52" s="48"/>
      <c r="AA52" s="48"/>
      <c r="AB52" s="48"/>
      <c r="AC52" s="48"/>
      <c r="AD52" s="48"/>
      <c r="AE52" s="48"/>
    </row>
    <row r="53" spans="1:31">
      <c r="A53" s="412">
        <f>ROW()</f>
        <v>53</v>
      </c>
      <c r="B53" s="106" t="s">
        <v>454</v>
      </c>
      <c r="C53" s="1777"/>
      <c r="D53" s="1777"/>
      <c r="E53" s="88"/>
      <c r="F53" s="88"/>
      <c r="G53" s="88"/>
      <c r="H53" s="88"/>
      <c r="I53" s="79"/>
      <c r="J53" s="79"/>
      <c r="K53" s="79"/>
      <c r="L53" s="79"/>
      <c r="M53" s="79"/>
      <c r="N53" s="83"/>
      <c r="O53" s="287"/>
      <c r="Q53" s="48"/>
      <c r="R53" s="48"/>
      <c r="S53" s="48"/>
      <c r="T53" s="48"/>
      <c r="U53" s="48"/>
      <c r="V53" s="48"/>
      <c r="W53" s="48"/>
      <c r="X53" s="48"/>
      <c r="Y53" s="48"/>
      <c r="Z53" s="48"/>
      <c r="AA53" s="48"/>
      <c r="AB53" s="48"/>
      <c r="AC53" s="48"/>
      <c r="AD53" s="48"/>
      <c r="AE53" s="48"/>
    </row>
    <row r="54" spans="1:31" ht="14.4">
      <c r="A54" s="412">
        <f>ROW()</f>
        <v>54</v>
      </c>
      <c r="B54" s="154" t="s">
        <v>455</v>
      </c>
      <c r="E54" s="30"/>
      <c r="G54" s="1642"/>
      <c r="H54" s="80"/>
      <c r="I54" s="80"/>
      <c r="J54" s="80"/>
      <c r="K54" s="80"/>
      <c r="L54" s="80"/>
      <c r="M54" s="80"/>
      <c r="N54" s="83"/>
      <c r="O54" s="287"/>
      <c r="Q54" s="48"/>
      <c r="R54" s="48"/>
      <c r="S54" s="48"/>
      <c r="T54" s="48"/>
      <c r="U54" s="48"/>
      <c r="V54" s="48"/>
      <c r="W54" s="48"/>
      <c r="X54" s="48"/>
      <c r="Y54" s="48"/>
      <c r="Z54" s="48"/>
      <c r="AA54" s="48"/>
      <c r="AB54" s="48"/>
      <c r="AC54" s="48"/>
      <c r="AD54" s="48"/>
      <c r="AE54" s="48"/>
    </row>
    <row r="55" spans="1:31">
      <c r="A55" s="412">
        <f>ROW()</f>
        <v>55</v>
      </c>
      <c r="B55" s="32" t="s">
        <v>456</v>
      </c>
      <c r="C55" s="666">
        <v>4500</v>
      </c>
      <c r="D55" s="80" t="s">
        <v>457</v>
      </c>
      <c r="E55" s="1850"/>
      <c r="F55" s="1850"/>
      <c r="G55" s="1850"/>
      <c r="H55" s="1850"/>
      <c r="I55" s="1850"/>
      <c r="J55" s="1850"/>
      <c r="K55" s="1850"/>
      <c r="L55" s="1850"/>
      <c r="M55" s="1850"/>
      <c r="N55" s="83"/>
      <c r="O55" s="287"/>
      <c r="Q55" s="48"/>
      <c r="R55" s="48"/>
      <c r="S55" s="48"/>
      <c r="T55" s="48"/>
      <c r="U55" s="48"/>
      <c r="V55" s="48"/>
      <c r="W55" s="48"/>
      <c r="X55" s="48"/>
      <c r="Y55" s="48"/>
      <c r="Z55" s="48"/>
      <c r="AA55" s="48"/>
      <c r="AB55" s="48"/>
      <c r="AC55" s="48"/>
      <c r="AD55" s="48"/>
      <c r="AE55" s="48"/>
    </row>
    <row r="56" spans="1:31">
      <c r="A56" s="412">
        <f>ROW()</f>
        <v>56</v>
      </c>
      <c r="B56" s="32" t="s">
        <v>458</v>
      </c>
      <c r="C56" s="666">
        <v>4500</v>
      </c>
      <c r="D56" s="80" t="s">
        <v>457</v>
      </c>
      <c r="E56" s="1850"/>
      <c r="F56" s="1850"/>
      <c r="G56" s="1850"/>
      <c r="H56" s="1850"/>
      <c r="I56" s="1850"/>
      <c r="J56" s="1850"/>
      <c r="K56" s="1850"/>
      <c r="L56" s="1850"/>
      <c r="M56" s="1850"/>
      <c r="N56" s="83"/>
      <c r="O56" s="287"/>
      <c r="Q56" s="48"/>
      <c r="R56" s="48"/>
      <c r="S56" s="48"/>
      <c r="T56" s="48"/>
      <c r="U56" s="48"/>
      <c r="V56" s="48"/>
      <c r="W56" s="48"/>
      <c r="X56" s="48"/>
      <c r="Y56" s="48"/>
      <c r="Z56" s="48"/>
      <c r="AA56" s="48"/>
      <c r="AB56" s="48"/>
      <c r="AC56" s="48"/>
      <c r="AD56" s="48"/>
      <c r="AE56" s="48"/>
    </row>
    <row r="57" spans="1:31">
      <c r="A57" s="412">
        <f>ROW()</f>
        <v>57</v>
      </c>
      <c r="B57" s="32" t="s">
        <v>459</v>
      </c>
      <c r="C57" s="667">
        <v>0.9</v>
      </c>
      <c r="D57" s="80"/>
      <c r="E57" s="1850"/>
      <c r="F57" s="1850"/>
      <c r="G57" s="1850"/>
      <c r="H57" s="1850"/>
      <c r="I57" s="1850"/>
      <c r="J57" s="1850"/>
      <c r="K57" s="1850"/>
      <c r="L57" s="1850"/>
      <c r="M57" s="1850"/>
      <c r="N57" s="83"/>
      <c r="O57" s="287"/>
      <c r="Q57" s="48"/>
      <c r="R57" s="48"/>
      <c r="S57" s="48"/>
      <c r="T57" s="48"/>
      <c r="U57" s="48"/>
      <c r="V57" s="48"/>
      <c r="W57" s="48"/>
      <c r="X57" s="48"/>
      <c r="Y57" s="48"/>
      <c r="Z57" s="48"/>
      <c r="AA57" s="48"/>
      <c r="AB57" s="48"/>
      <c r="AC57" s="48"/>
      <c r="AD57" s="48"/>
      <c r="AE57" s="48"/>
    </row>
    <row r="58" spans="1:31">
      <c r="A58" s="412">
        <f>ROW()</f>
        <v>58</v>
      </c>
      <c r="B58" s="32" t="s">
        <v>460</v>
      </c>
      <c r="C58" s="667">
        <v>0.67</v>
      </c>
      <c r="D58" s="80"/>
      <c r="E58" s="1850"/>
      <c r="F58" s="1850"/>
      <c r="G58" s="1850"/>
      <c r="H58" s="1850"/>
      <c r="I58" s="1850"/>
      <c r="J58" s="1850"/>
      <c r="K58" s="1850"/>
      <c r="L58" s="1850"/>
      <c r="M58" s="1850"/>
      <c r="N58" s="83"/>
      <c r="O58" s="287"/>
      <c r="Q58" s="48"/>
      <c r="R58" s="48"/>
      <c r="S58" s="48"/>
      <c r="T58" s="48"/>
      <c r="U58" s="48"/>
      <c r="V58" s="48"/>
      <c r="W58" s="48"/>
      <c r="X58" s="48"/>
      <c r="Y58" s="48"/>
      <c r="Z58" s="48"/>
      <c r="AA58" s="48"/>
      <c r="AB58" s="48"/>
      <c r="AC58" s="48"/>
      <c r="AD58" s="48"/>
      <c r="AE58" s="48"/>
    </row>
    <row r="59" spans="1:31">
      <c r="A59" s="412">
        <f>ROW()</f>
        <v>59</v>
      </c>
      <c r="B59" s="32" t="s">
        <v>461</v>
      </c>
      <c r="C59" s="1146">
        <f>(C58*C55)+((1-C58)*C56)</f>
        <v>4500</v>
      </c>
      <c r="D59" s="1778" t="s">
        <v>462</v>
      </c>
      <c r="E59" s="1850"/>
      <c r="F59" s="1850"/>
      <c r="G59" s="1850"/>
      <c r="H59" s="1850"/>
      <c r="I59" s="1850"/>
      <c r="J59" s="1850"/>
      <c r="K59" s="1850"/>
      <c r="L59" s="1850"/>
      <c r="M59" s="1850"/>
      <c r="N59" s="83"/>
      <c r="O59" s="287"/>
      <c r="Q59" s="48"/>
      <c r="R59" s="48"/>
      <c r="S59" s="48"/>
      <c r="T59" s="48"/>
      <c r="U59" s="48"/>
      <c r="V59" s="48"/>
      <c r="W59" s="48"/>
      <c r="X59" s="48"/>
      <c r="Y59" s="48"/>
      <c r="Z59" s="48"/>
      <c r="AA59" s="48"/>
      <c r="AB59" s="48"/>
      <c r="AC59" s="48"/>
      <c r="AD59" s="48"/>
      <c r="AE59" s="48"/>
    </row>
    <row r="60" spans="1:31">
      <c r="A60" s="412">
        <f>ROW()</f>
        <v>60</v>
      </c>
      <c r="B60" s="32" t="s">
        <v>463</v>
      </c>
      <c r="C60" s="600">
        <v>1.4500000000000001E-2</v>
      </c>
      <c r="D60" s="80" t="s">
        <v>464</v>
      </c>
      <c r="E60" s="1850"/>
      <c r="F60" s="1850"/>
      <c r="G60" s="1850"/>
      <c r="H60" s="1850"/>
      <c r="I60" s="1850"/>
      <c r="J60" s="1850"/>
      <c r="K60" s="1850"/>
      <c r="L60" s="1850"/>
      <c r="M60" s="1850"/>
      <c r="N60" s="83"/>
      <c r="O60" s="287"/>
      <c r="Q60" s="48"/>
      <c r="R60" s="48"/>
      <c r="S60" s="48"/>
      <c r="T60" s="48"/>
      <c r="U60" s="48"/>
      <c r="V60" s="48"/>
      <c r="W60" s="48"/>
      <c r="X60" s="48"/>
      <c r="Y60" s="48"/>
      <c r="Z60" s="48"/>
      <c r="AA60" s="48"/>
      <c r="AB60" s="48"/>
      <c r="AC60" s="48"/>
      <c r="AD60" s="48"/>
      <c r="AE60" s="48"/>
    </row>
    <row r="61" spans="1:31">
      <c r="A61" s="412">
        <f>ROW()</f>
        <v>61</v>
      </c>
      <c r="B61" s="32" t="s">
        <v>465</v>
      </c>
      <c r="C61" s="600">
        <v>0.17499999999999999</v>
      </c>
      <c r="D61" s="80" t="s">
        <v>464</v>
      </c>
      <c r="E61" s="1850"/>
      <c r="F61" s="1850"/>
      <c r="G61" s="1850"/>
      <c r="H61" s="1850"/>
      <c r="I61" s="1850"/>
      <c r="J61" s="1850"/>
      <c r="K61" s="1850"/>
      <c r="L61" s="1850"/>
      <c r="M61" s="1850"/>
      <c r="N61" s="83"/>
      <c r="O61" s="287"/>
      <c r="Q61" s="48"/>
      <c r="R61" s="48"/>
      <c r="S61" s="48"/>
      <c r="T61" s="48"/>
      <c r="U61" s="48"/>
      <c r="V61" s="48"/>
      <c r="W61" s="48"/>
      <c r="X61" s="48"/>
      <c r="Y61" s="48"/>
      <c r="Z61" s="48"/>
      <c r="AA61" s="48"/>
      <c r="AB61" s="48"/>
      <c r="AC61" s="48"/>
      <c r="AD61" s="48"/>
      <c r="AE61" s="48"/>
    </row>
    <row r="62" spans="1:31">
      <c r="A62" s="412">
        <f>ROW()</f>
        <v>62</v>
      </c>
      <c r="B62" s="32" t="s">
        <v>466</v>
      </c>
      <c r="C62" s="600">
        <v>0.01</v>
      </c>
      <c r="D62" s="80" t="s">
        <v>464</v>
      </c>
      <c r="E62" s="1850"/>
      <c r="F62" s="1850"/>
      <c r="G62" s="1850"/>
      <c r="H62" s="1850"/>
      <c r="I62" s="1850"/>
      <c r="J62" s="1850"/>
      <c r="K62" s="1850"/>
      <c r="L62" s="1850"/>
      <c r="M62" s="1850"/>
      <c r="N62" s="83"/>
      <c r="O62" s="287"/>
      <c r="Q62" s="48"/>
      <c r="R62" s="48"/>
      <c r="S62" s="48"/>
      <c r="T62" s="48"/>
      <c r="U62" s="48"/>
      <c r="V62" s="48"/>
      <c r="W62" s="48"/>
      <c r="X62" s="48"/>
      <c r="Y62" s="48"/>
      <c r="Z62" s="48"/>
      <c r="AA62" s="48"/>
      <c r="AB62" s="48"/>
      <c r="AC62" s="48"/>
      <c r="AD62" s="48"/>
      <c r="AE62" s="48"/>
    </row>
    <row r="63" spans="1:31">
      <c r="A63" s="412">
        <f>ROW()</f>
        <v>63</v>
      </c>
      <c r="B63" s="32" t="s">
        <v>467</v>
      </c>
      <c r="C63" s="668">
        <v>0</v>
      </c>
      <c r="D63" s="1778" t="s">
        <v>468</v>
      </c>
      <c r="E63" s="1850"/>
      <c r="F63" s="1850"/>
      <c r="G63" s="1850"/>
      <c r="H63" s="1850"/>
      <c r="I63" s="1850"/>
      <c r="J63" s="1850"/>
      <c r="K63" s="1850"/>
      <c r="L63" s="1850"/>
      <c r="M63" s="1850"/>
      <c r="N63" s="83"/>
      <c r="O63" s="287"/>
      <c r="Q63" s="48"/>
      <c r="R63" s="48"/>
      <c r="S63" s="48"/>
      <c r="T63" s="48"/>
      <c r="U63" s="48"/>
      <c r="V63" s="48"/>
      <c r="W63" s="48"/>
      <c r="X63" s="48"/>
      <c r="Y63" s="48"/>
      <c r="Z63" s="48"/>
      <c r="AA63" s="48"/>
      <c r="AB63" s="48"/>
      <c r="AC63" s="48"/>
      <c r="AD63" s="48"/>
      <c r="AE63" s="48"/>
    </row>
    <row r="64" spans="1:31">
      <c r="A64" s="412">
        <f>ROW()</f>
        <v>64</v>
      </c>
      <c r="B64" s="32" t="s">
        <v>469</v>
      </c>
      <c r="C64" s="1289">
        <v>2.9499999999999998E-2</v>
      </c>
      <c r="D64" s="80" t="s">
        <v>464</v>
      </c>
      <c r="E64" s="1850"/>
      <c r="F64" s="1850"/>
      <c r="G64" s="1850"/>
      <c r="H64" s="1850"/>
      <c r="I64" s="1850"/>
      <c r="J64" s="1850"/>
      <c r="K64" s="1850"/>
      <c r="L64" s="1850"/>
      <c r="M64" s="1850"/>
      <c r="N64" s="83"/>
      <c r="O64" s="287"/>
      <c r="Q64" s="48"/>
      <c r="R64" s="48"/>
      <c r="S64" s="48"/>
      <c r="T64" s="48"/>
      <c r="U64" s="48"/>
      <c r="V64" s="48"/>
      <c r="W64" s="48"/>
      <c r="X64" s="48"/>
      <c r="Y64" s="48"/>
      <c r="Z64" s="48"/>
      <c r="AA64" s="48"/>
      <c r="AB64" s="48"/>
      <c r="AC64" s="48"/>
      <c r="AD64" s="48"/>
      <c r="AE64" s="48"/>
    </row>
    <row r="65" spans="1:31">
      <c r="A65" s="412">
        <f>ROW()</f>
        <v>65</v>
      </c>
      <c r="B65" s="32" t="s">
        <v>470</v>
      </c>
      <c r="C65" s="1289">
        <v>8.8999999999999999E-3</v>
      </c>
      <c r="D65" s="80" t="s">
        <v>464</v>
      </c>
      <c r="E65" s="1850"/>
      <c r="F65" s="1850"/>
      <c r="G65" s="1850"/>
      <c r="H65" s="1850"/>
      <c r="I65" s="1850"/>
      <c r="J65" s="1850"/>
      <c r="K65" s="1850"/>
      <c r="L65" s="1850"/>
      <c r="M65" s="1850"/>
      <c r="N65" s="83"/>
      <c r="O65" s="287"/>
      <c r="Q65" s="48"/>
      <c r="R65" s="48"/>
      <c r="S65" s="48"/>
      <c r="T65" s="48"/>
      <c r="U65" s="48"/>
      <c r="V65" s="48"/>
      <c r="W65" s="48"/>
      <c r="X65" s="48"/>
      <c r="Y65" s="48"/>
      <c r="Z65" s="48"/>
      <c r="AA65" s="48"/>
      <c r="AB65" s="48"/>
      <c r="AC65" s="48"/>
      <c r="AD65" s="48"/>
      <c r="AE65" s="48"/>
    </row>
    <row r="66" spans="1:31">
      <c r="A66" s="412">
        <f>ROW()</f>
        <v>66</v>
      </c>
      <c r="C66" s="1147"/>
      <c r="D66" s="80"/>
      <c r="E66" s="1850"/>
      <c r="F66" s="1850"/>
      <c r="G66" s="1850"/>
      <c r="H66" s="1850"/>
      <c r="I66" s="1850"/>
      <c r="J66" s="1850"/>
      <c r="K66" s="1850"/>
      <c r="L66" s="1850"/>
      <c r="M66" s="1850"/>
      <c r="N66" s="83"/>
      <c r="O66" s="287"/>
      <c r="Q66" s="48"/>
      <c r="R66" s="48"/>
      <c r="S66" s="48"/>
      <c r="T66" s="48"/>
      <c r="U66" s="48"/>
      <c r="V66" s="48"/>
      <c r="W66" s="48"/>
      <c r="X66" s="48"/>
      <c r="Y66" s="48"/>
      <c r="Z66" s="48"/>
      <c r="AA66" s="48"/>
      <c r="AB66" s="48"/>
      <c r="AC66" s="48"/>
      <c r="AD66" s="48"/>
      <c r="AE66" s="48"/>
    </row>
    <row r="67" spans="1:31">
      <c r="A67" s="412">
        <f>ROW()</f>
        <v>67</v>
      </c>
      <c r="B67" s="32" t="s">
        <v>407</v>
      </c>
      <c r="C67" s="666">
        <v>0</v>
      </c>
      <c r="D67" s="80" t="s">
        <v>471</v>
      </c>
      <c r="E67" s="1850"/>
      <c r="F67" s="1850"/>
      <c r="G67" s="1850"/>
      <c r="H67" s="1850"/>
      <c r="I67" s="1850"/>
      <c r="J67" s="1850"/>
      <c r="K67" s="1850"/>
      <c r="L67" s="1850"/>
      <c r="M67" s="1850"/>
      <c r="N67" s="83"/>
      <c r="O67" s="287"/>
      <c r="Q67" s="48"/>
      <c r="R67" s="48"/>
      <c r="S67" s="48"/>
      <c r="T67" s="48"/>
      <c r="U67" s="48"/>
      <c r="V67" s="48"/>
      <c r="W67" s="48"/>
      <c r="X67" s="48"/>
      <c r="Y67" s="48"/>
      <c r="Z67" s="48"/>
      <c r="AA67" s="48"/>
      <c r="AB67" s="48"/>
      <c r="AC67" s="48"/>
      <c r="AD67" s="48"/>
      <c r="AE67" s="48"/>
    </row>
    <row r="68" spans="1:31">
      <c r="A68" s="412">
        <f>ROW()</f>
        <v>68</v>
      </c>
      <c r="B68" s="32" t="s">
        <v>472</v>
      </c>
      <c r="C68" s="1148" t="s">
        <v>473</v>
      </c>
      <c r="D68" s="80"/>
      <c r="E68" s="1850"/>
      <c r="F68" s="1850"/>
      <c r="G68" s="1850"/>
      <c r="H68" s="1850"/>
      <c r="I68" s="1850"/>
      <c r="J68" s="1850"/>
      <c r="K68" s="1850"/>
      <c r="L68" s="1850"/>
      <c r="M68" s="1850"/>
      <c r="N68" s="83"/>
      <c r="O68" s="287"/>
      <c r="Q68" s="48"/>
      <c r="R68" s="48"/>
      <c r="S68" s="48"/>
      <c r="T68" s="48"/>
      <c r="U68" s="48"/>
      <c r="V68" s="48"/>
      <c r="W68" s="48"/>
      <c r="X68" s="48"/>
      <c r="Y68" s="48"/>
      <c r="Z68" s="48"/>
      <c r="AA68" s="48"/>
      <c r="AB68" s="48"/>
      <c r="AC68" s="48"/>
      <c r="AD68" s="48"/>
      <c r="AE68" s="48"/>
    </row>
    <row r="69" spans="1:31">
      <c r="A69" s="412">
        <f>ROW()</f>
        <v>69</v>
      </c>
      <c r="B69" s="30" t="s">
        <v>474</v>
      </c>
      <c r="C69" s="1286">
        <f>+' Enrol &amp; Rev'!C97</f>
        <v>0.01</v>
      </c>
      <c r="D69" s="32" t="s">
        <v>475</v>
      </c>
      <c r="E69" s="44"/>
      <c r="F69" s="44"/>
      <c r="G69" s="68"/>
      <c r="H69" s="68"/>
      <c r="I69" s="31"/>
      <c r="J69" s="31"/>
      <c r="K69" s="31"/>
      <c r="L69" s="31"/>
      <c r="M69" s="31"/>
      <c r="N69" s="83"/>
      <c r="O69" s="287"/>
      <c r="Q69" s="48"/>
      <c r="R69" s="48"/>
      <c r="S69" s="48"/>
      <c r="T69" s="48"/>
      <c r="U69" s="48"/>
      <c r="V69" s="48"/>
      <c r="W69" s="48"/>
      <c r="X69" s="48"/>
      <c r="Y69" s="48"/>
      <c r="Z69" s="48"/>
      <c r="AA69" s="48"/>
      <c r="AB69" s="48"/>
      <c r="AC69" s="48"/>
      <c r="AD69" s="48"/>
      <c r="AE69" s="48"/>
    </row>
    <row r="70" spans="1:31">
      <c r="A70" s="412">
        <f>ROW()</f>
        <v>70</v>
      </c>
      <c r="C70" s="257"/>
      <c r="N70" s="83"/>
      <c r="O70" s="287"/>
      <c r="Q70" s="48"/>
      <c r="R70" s="48"/>
      <c r="S70" s="48"/>
      <c r="T70" s="48"/>
      <c r="U70" s="48"/>
      <c r="V70" s="48"/>
      <c r="W70" s="48"/>
      <c r="X70" s="48"/>
      <c r="Y70" s="48"/>
      <c r="Z70" s="48"/>
      <c r="AA70" s="48"/>
      <c r="AB70" s="48"/>
      <c r="AC70" s="48"/>
      <c r="AD70" s="48"/>
      <c r="AE70" s="48"/>
    </row>
    <row r="71" spans="1:31">
      <c r="A71" s="412">
        <f>ROW()</f>
        <v>71</v>
      </c>
      <c r="B71" s="32" t="s">
        <v>1301</v>
      </c>
      <c r="C71" s="126">
        <v>180</v>
      </c>
      <c r="D71" s="78"/>
      <c r="E71" s="245"/>
      <c r="F71" s="245"/>
      <c r="H71" s="68"/>
      <c r="I71" s="31"/>
      <c r="J71" s="31"/>
      <c r="K71" s="31"/>
      <c r="L71" s="31"/>
      <c r="M71" s="31"/>
      <c r="N71" s="83"/>
      <c r="O71" s="287"/>
      <c r="Q71" s="48"/>
      <c r="R71" s="48"/>
      <c r="S71" s="48"/>
      <c r="T71" s="48"/>
      <c r="U71" s="48"/>
      <c r="V71" s="48"/>
      <c r="W71" s="48"/>
      <c r="X71" s="48"/>
      <c r="Y71" s="48"/>
      <c r="Z71" s="48"/>
      <c r="AA71" s="48"/>
      <c r="AB71" s="48"/>
      <c r="AC71" s="48"/>
      <c r="AD71" s="48"/>
      <c r="AE71" s="48"/>
    </row>
    <row r="72" spans="1:31">
      <c r="A72" s="412">
        <f>ROW()</f>
        <v>72</v>
      </c>
      <c r="B72" s="32" t="s">
        <v>476</v>
      </c>
      <c r="C72" s="127">
        <v>0</v>
      </c>
      <c r="D72" s="246"/>
      <c r="E72" s="246"/>
      <c r="F72" s="246"/>
      <c r="H72" s="39"/>
      <c r="N72" s="83"/>
      <c r="O72" s="287"/>
      <c r="Q72" s="48"/>
      <c r="R72" s="48"/>
      <c r="S72" s="48"/>
      <c r="T72" s="48"/>
      <c r="U72" s="48"/>
      <c r="V72" s="48"/>
      <c r="W72" s="48"/>
      <c r="X72" s="48"/>
      <c r="Y72" s="48"/>
      <c r="Z72" s="48"/>
      <c r="AA72" s="48"/>
      <c r="AB72" s="48"/>
      <c r="AC72" s="48"/>
      <c r="AD72" s="48"/>
      <c r="AE72" s="48"/>
    </row>
    <row r="73" spans="1:31">
      <c r="A73" s="412">
        <f>ROW()</f>
        <v>73</v>
      </c>
      <c r="B73" s="32" t="s">
        <v>477</v>
      </c>
      <c r="C73" s="127">
        <v>0</v>
      </c>
      <c r="D73" s="246"/>
      <c r="E73" s="246"/>
      <c r="F73" s="246"/>
      <c r="H73" s="39"/>
      <c r="N73" s="83"/>
      <c r="O73" s="287"/>
      <c r="Q73" s="48"/>
      <c r="R73" s="48"/>
      <c r="S73" s="48"/>
      <c r="T73" s="48"/>
      <c r="U73" s="48"/>
      <c r="V73" s="48"/>
      <c r="W73" s="48"/>
      <c r="X73" s="48"/>
      <c r="Y73" s="48"/>
      <c r="Z73" s="48"/>
      <c r="AA73" s="48"/>
      <c r="AB73" s="48"/>
      <c r="AC73" s="48"/>
      <c r="AD73" s="48"/>
      <c r="AE73" s="48"/>
    </row>
    <row r="74" spans="1:31">
      <c r="A74" s="412">
        <f>ROW()</f>
        <v>74</v>
      </c>
      <c r="B74" s="32" t="s">
        <v>478</v>
      </c>
      <c r="C74" s="128">
        <v>0</v>
      </c>
      <c r="D74" s="247"/>
      <c r="E74" s="247"/>
      <c r="F74" s="247"/>
      <c r="H74" s="39"/>
      <c r="N74" s="83"/>
      <c r="O74" s="287"/>
      <c r="Q74" s="48"/>
      <c r="R74" s="48"/>
      <c r="S74" s="48"/>
      <c r="T74" s="48"/>
      <c r="U74" s="48"/>
      <c r="V74" s="48"/>
      <c r="W74" s="48"/>
      <c r="X74" s="48"/>
      <c r="Y74" s="48"/>
      <c r="Z74" s="48"/>
      <c r="AA74" s="48"/>
      <c r="AB74" s="48"/>
      <c r="AC74" s="48"/>
      <c r="AD74" s="48"/>
      <c r="AE74" s="48"/>
    </row>
    <row r="75" spans="1:31">
      <c r="A75" s="412">
        <f>ROW()</f>
        <v>75</v>
      </c>
      <c r="H75" s="89"/>
      <c r="I75" s="89"/>
      <c r="J75" s="89"/>
      <c r="N75" s="83"/>
      <c r="O75" s="287"/>
      <c r="Q75" s="48"/>
      <c r="R75" s="48"/>
      <c r="S75" s="48"/>
      <c r="T75" s="48"/>
      <c r="U75" s="48"/>
      <c r="V75" s="48"/>
      <c r="W75" s="48"/>
      <c r="X75" s="48"/>
      <c r="Y75" s="48"/>
      <c r="Z75" s="48"/>
      <c r="AA75" s="48"/>
      <c r="AB75" s="48"/>
      <c r="AC75" s="48"/>
      <c r="AD75" s="48"/>
      <c r="AE75" s="48"/>
    </row>
    <row r="76" spans="1:31" ht="15.6" hidden="1">
      <c r="A76" s="412">
        <f>ROW()</f>
        <v>76</v>
      </c>
      <c r="G76" s="348"/>
      <c r="H76" s="89"/>
      <c r="I76" s="89"/>
      <c r="J76" s="89"/>
      <c r="N76" s="83"/>
      <c r="O76" s="287"/>
      <c r="Q76" s="48"/>
      <c r="R76" s="48"/>
      <c r="S76" s="48"/>
      <c r="T76" s="48"/>
      <c r="U76" s="48"/>
      <c r="V76" s="48"/>
      <c r="W76" s="48"/>
      <c r="X76" s="48"/>
      <c r="Y76" s="48"/>
      <c r="Z76" s="48"/>
      <c r="AA76" s="48"/>
      <c r="AB76" s="48"/>
      <c r="AC76" s="48"/>
      <c r="AD76" s="48"/>
      <c r="AE76" s="48"/>
    </row>
    <row r="77" spans="1:31" ht="15.6" hidden="1">
      <c r="A77" s="412">
        <f>ROW()</f>
        <v>77</v>
      </c>
      <c r="B77" s="30"/>
      <c r="G77" s="348"/>
      <c r="H77" s="89"/>
      <c r="I77" s="89"/>
      <c r="J77" s="89"/>
      <c r="N77" s="83"/>
      <c r="O77" s="287"/>
      <c r="Q77" s="48"/>
      <c r="R77" s="48"/>
      <c r="S77" s="48"/>
      <c r="T77" s="48"/>
      <c r="U77" s="48"/>
      <c r="V77" s="48"/>
      <c r="W77" s="48"/>
      <c r="X77" s="48"/>
      <c r="Y77" s="48"/>
      <c r="Z77" s="48"/>
      <c r="AA77" s="48"/>
      <c r="AB77" s="48"/>
      <c r="AC77" s="48"/>
      <c r="AD77" s="48"/>
      <c r="AE77" s="48"/>
    </row>
    <row r="78" spans="1:31" ht="15.6" hidden="1">
      <c r="A78" s="412">
        <f>ROW()</f>
        <v>78</v>
      </c>
      <c r="G78" s="348"/>
      <c r="H78" s="89"/>
      <c r="I78" s="89"/>
      <c r="J78" s="89"/>
      <c r="N78" s="83"/>
      <c r="O78" s="287"/>
      <c r="Q78" s="48"/>
      <c r="R78" s="48"/>
      <c r="S78" s="48"/>
      <c r="T78" s="48"/>
      <c r="U78" s="48"/>
      <c r="V78" s="48"/>
      <c r="W78" s="48"/>
      <c r="X78" s="48"/>
      <c r="Y78" s="48"/>
      <c r="Z78" s="48"/>
      <c r="AA78" s="48"/>
      <c r="AB78" s="48"/>
      <c r="AC78" s="48"/>
      <c r="AD78" s="48"/>
      <c r="AE78" s="48"/>
    </row>
    <row r="79" spans="1:31" hidden="1" outlineLevel="1">
      <c r="A79" s="412">
        <f>ROW()</f>
        <v>79</v>
      </c>
      <c r="C79" s="31" t="s">
        <v>495</v>
      </c>
      <c r="D79" s="31" t="s">
        <v>479</v>
      </c>
      <c r="E79" s="31"/>
      <c r="F79" s="31"/>
      <c r="H79" s="89"/>
      <c r="I79" s="89"/>
      <c r="J79" s="89"/>
      <c r="N79" s="83"/>
      <c r="O79" s="287"/>
      <c r="Q79" s="48"/>
      <c r="R79" s="48"/>
      <c r="S79" s="48"/>
      <c r="T79" s="48"/>
      <c r="U79" s="48"/>
      <c r="V79" s="48"/>
      <c r="W79" s="48"/>
      <c r="X79" s="48"/>
      <c r="Y79" s="48"/>
      <c r="Z79" s="48"/>
      <c r="AA79" s="48"/>
      <c r="AB79" s="48"/>
      <c r="AC79" s="48"/>
      <c r="AD79" s="48"/>
      <c r="AE79" s="48"/>
    </row>
    <row r="80" spans="1:31" hidden="1" outlineLevel="1">
      <c r="A80" s="708">
        <f>ROW()</f>
        <v>80</v>
      </c>
      <c r="B80" s="69" t="s">
        <v>480</v>
      </c>
      <c r="C80" s="53">
        <f>' Enrol &amp; Rev'!$G$10</f>
        <v>2026</v>
      </c>
      <c r="D80" s="131"/>
      <c r="E80" s="99"/>
      <c r="F80" s="99"/>
      <c r="I80" s="99"/>
      <c r="J80" s="99"/>
      <c r="N80" s="83"/>
      <c r="O80" s="287"/>
      <c r="Q80" s="48"/>
      <c r="R80" s="48"/>
      <c r="S80" s="48"/>
      <c r="T80" s="48"/>
      <c r="U80" s="48"/>
      <c r="V80" s="48"/>
      <c r="W80" s="48"/>
      <c r="X80" s="48"/>
      <c r="Y80" s="48"/>
      <c r="Z80" s="48"/>
      <c r="AA80" s="48"/>
      <c r="AB80" s="48"/>
      <c r="AC80" s="48"/>
      <c r="AD80" s="48"/>
      <c r="AE80" s="48"/>
    </row>
    <row r="81" spans="1:31" outlineLevel="1">
      <c r="A81" s="412">
        <f>ROW()</f>
        <v>81</v>
      </c>
      <c r="B81" s="1647" t="s">
        <v>481</v>
      </c>
      <c r="C81" s="1648"/>
      <c r="D81" s="1649"/>
      <c r="E81" s="1650"/>
      <c r="F81" s="1650"/>
      <c r="G81" s="1526" t="str">
        <f>+B81&amp;" "&amp;""</f>
        <v xml:space="preserve">FTE Count &amp; Hiring Timing  </v>
      </c>
      <c r="H81" s="1651"/>
      <c r="I81" s="1650"/>
      <c r="J81" s="1650"/>
      <c r="K81" s="1651"/>
      <c r="L81" s="1651"/>
      <c r="M81" s="1651"/>
      <c r="N81" s="83"/>
      <c r="O81" s="1528"/>
      <c r="Q81" s="48"/>
      <c r="R81" s="48"/>
      <c r="S81" s="48"/>
      <c r="T81" s="48"/>
      <c r="U81" s="48"/>
      <c r="V81" s="48"/>
      <c r="W81" s="48"/>
      <c r="X81" s="48"/>
      <c r="Y81" s="48"/>
      <c r="Z81" s="48"/>
      <c r="AA81" s="48"/>
      <c r="AB81" s="48"/>
      <c r="AC81" s="48"/>
      <c r="AD81" s="48"/>
      <c r="AE81" s="48"/>
    </row>
    <row r="82" spans="1:31" outlineLevel="1">
      <c r="A82" s="412">
        <f>ROW()</f>
        <v>82</v>
      </c>
      <c r="B82" s="1307" t="s">
        <v>482</v>
      </c>
      <c r="C82" s="53" t="s">
        <v>243</v>
      </c>
      <c r="D82" s="53" t="s">
        <v>1267</v>
      </c>
      <c r="E82" s="53"/>
      <c r="F82" s="53"/>
      <c r="G82" s="58"/>
      <c r="H82" s="53"/>
      <c r="I82" s="53"/>
      <c r="J82" s="53"/>
      <c r="K82" s="58"/>
      <c r="L82" s="58"/>
      <c r="M82" s="58"/>
      <c r="N82" s="83"/>
      <c r="O82" s="1645"/>
      <c r="Q82" s="48"/>
      <c r="R82" s="48"/>
      <c r="S82" s="48"/>
      <c r="T82" s="48"/>
      <c r="U82" s="48"/>
      <c r="V82" s="48"/>
      <c r="W82" s="48"/>
      <c r="X82" s="48"/>
      <c r="Y82" s="48"/>
      <c r="Z82" s="48"/>
      <c r="AA82" s="48"/>
      <c r="AB82" s="48"/>
      <c r="AC82" s="48"/>
      <c r="AD82" s="48"/>
      <c r="AE82" s="48"/>
    </row>
    <row r="83" spans="1:31" outlineLevel="1">
      <c r="A83" s="412">
        <f>ROW()</f>
        <v>83</v>
      </c>
      <c r="B83" s="155" t="s">
        <v>1387</v>
      </c>
      <c r="C83" s="156">
        <v>2027</v>
      </c>
      <c r="D83" s="160">
        <v>90000</v>
      </c>
      <c r="E83" s="1129"/>
      <c r="F83" s="1129"/>
      <c r="G83" s="602">
        <f t="shared" ref="G83:M87" si="17">IF($C83&lt;=G$10,1,0)</f>
        <v>0</v>
      </c>
      <c r="H83" s="602">
        <f t="shared" si="17"/>
        <v>1</v>
      </c>
      <c r="I83" s="602">
        <f t="shared" si="17"/>
        <v>1</v>
      </c>
      <c r="J83" s="602">
        <f t="shared" si="17"/>
        <v>1</v>
      </c>
      <c r="K83" s="602">
        <f t="shared" si="17"/>
        <v>1</v>
      </c>
      <c r="L83" s="602">
        <f t="shared" si="17"/>
        <v>1</v>
      </c>
      <c r="M83" s="602">
        <f t="shared" si="17"/>
        <v>1</v>
      </c>
      <c r="N83" s="83"/>
      <c r="O83" s="287"/>
      <c r="Q83" s="48"/>
      <c r="R83" s="48"/>
      <c r="S83" s="48"/>
      <c r="T83" s="48"/>
      <c r="U83" s="48"/>
      <c r="V83" s="48"/>
      <c r="W83" s="48"/>
      <c r="X83" s="48"/>
      <c r="Y83" s="48"/>
      <c r="Z83" s="48"/>
      <c r="AA83" s="48"/>
      <c r="AB83" s="48"/>
      <c r="AC83" s="48"/>
      <c r="AD83" s="48"/>
      <c r="AE83" s="48"/>
    </row>
    <row r="84" spans="1:31" outlineLevel="1">
      <c r="A84" s="412">
        <f>ROW()</f>
        <v>84</v>
      </c>
      <c r="B84" s="129" t="s">
        <v>1388</v>
      </c>
      <c r="C84" s="130">
        <v>2028</v>
      </c>
      <c r="D84" s="160">
        <v>90000</v>
      </c>
      <c r="E84" s="1127"/>
      <c r="F84" s="1127"/>
      <c r="G84" s="601">
        <f t="shared" si="17"/>
        <v>0</v>
      </c>
      <c r="H84" s="601">
        <f t="shared" si="17"/>
        <v>0</v>
      </c>
      <c r="I84" s="601">
        <f t="shared" si="17"/>
        <v>1</v>
      </c>
      <c r="J84" s="601">
        <f t="shared" si="17"/>
        <v>1</v>
      </c>
      <c r="K84" s="601">
        <f t="shared" si="17"/>
        <v>1</v>
      </c>
      <c r="L84" s="601">
        <f t="shared" si="17"/>
        <v>1</v>
      </c>
      <c r="M84" s="601">
        <f t="shared" si="17"/>
        <v>1</v>
      </c>
      <c r="N84" s="83"/>
      <c r="O84" s="287"/>
      <c r="Q84" s="48"/>
      <c r="R84" s="48"/>
      <c r="S84" s="48"/>
      <c r="T84" s="48"/>
      <c r="U84" s="48"/>
      <c r="V84" s="48"/>
      <c r="W84" s="48"/>
      <c r="X84" s="48"/>
      <c r="Y84" s="48"/>
      <c r="Z84" s="48"/>
      <c r="AA84" s="48"/>
      <c r="AB84" s="48"/>
      <c r="AC84" s="48"/>
      <c r="AD84" s="48"/>
      <c r="AE84" s="48"/>
    </row>
    <row r="85" spans="1:31" outlineLevel="1">
      <c r="A85" s="412">
        <f>ROW()</f>
        <v>85</v>
      </c>
      <c r="B85" s="129"/>
      <c r="C85" s="130" t="s">
        <v>483</v>
      </c>
      <c r="D85" s="160">
        <v>0</v>
      </c>
      <c r="E85" s="1127"/>
      <c r="F85" s="1127"/>
      <c r="G85" s="601">
        <f t="shared" si="17"/>
        <v>0</v>
      </c>
      <c r="H85" s="601">
        <f>IF($C85&lt;=H$10,1,0)</f>
        <v>0</v>
      </c>
      <c r="I85" s="601">
        <f t="shared" si="17"/>
        <v>0</v>
      </c>
      <c r="J85" s="601">
        <f t="shared" si="17"/>
        <v>0</v>
      </c>
      <c r="K85" s="601">
        <f t="shared" si="17"/>
        <v>0</v>
      </c>
      <c r="L85" s="601">
        <f t="shared" si="17"/>
        <v>0</v>
      </c>
      <c r="M85" s="601">
        <f t="shared" si="17"/>
        <v>0</v>
      </c>
      <c r="O85" s="287"/>
      <c r="Q85" s="48"/>
      <c r="R85" s="48"/>
      <c r="S85" s="48"/>
      <c r="T85" s="48"/>
      <c r="U85" s="48"/>
      <c r="V85" s="48"/>
      <c r="W85" s="48"/>
      <c r="X85" s="48"/>
      <c r="Y85" s="48"/>
      <c r="Z85" s="48"/>
      <c r="AA85" s="48"/>
      <c r="AB85" s="48"/>
      <c r="AC85" s="48"/>
      <c r="AD85" s="48"/>
      <c r="AE85" s="48"/>
    </row>
    <row r="86" spans="1:31" outlineLevel="1">
      <c r="A86" s="412">
        <f>ROW()</f>
        <v>86</v>
      </c>
      <c r="B86" s="129"/>
      <c r="C86" s="130" t="s">
        <v>483</v>
      </c>
      <c r="D86" s="160">
        <v>0</v>
      </c>
      <c r="E86" s="1127"/>
      <c r="F86" s="1127"/>
      <c r="G86" s="601">
        <f t="shared" si="17"/>
        <v>0</v>
      </c>
      <c r="H86" s="601">
        <f t="shared" si="17"/>
        <v>0</v>
      </c>
      <c r="I86" s="601">
        <f t="shared" si="17"/>
        <v>0</v>
      </c>
      <c r="J86" s="601">
        <f t="shared" si="17"/>
        <v>0</v>
      </c>
      <c r="K86" s="601">
        <f t="shared" si="17"/>
        <v>0</v>
      </c>
      <c r="L86" s="601">
        <f t="shared" si="17"/>
        <v>0</v>
      </c>
      <c r="M86" s="601">
        <f t="shared" si="17"/>
        <v>0</v>
      </c>
      <c r="O86" s="287"/>
      <c r="Q86" s="48"/>
      <c r="R86" s="48"/>
      <c r="S86" s="48"/>
      <c r="T86" s="48"/>
      <c r="U86" s="48"/>
      <c r="V86" s="48"/>
      <c r="W86" s="48"/>
      <c r="X86" s="48"/>
      <c r="Y86" s="48"/>
      <c r="Z86" s="48"/>
      <c r="AA86" s="48"/>
      <c r="AB86" s="48"/>
      <c r="AC86" s="48"/>
      <c r="AD86" s="48"/>
      <c r="AE86" s="48"/>
    </row>
    <row r="87" spans="1:31" outlineLevel="1">
      <c r="A87" s="412">
        <f>ROW()</f>
        <v>87</v>
      </c>
      <c r="B87" s="129"/>
      <c r="C87" s="130" t="s">
        <v>483</v>
      </c>
      <c r="D87" s="160">
        <v>0</v>
      </c>
      <c r="E87" s="1127"/>
      <c r="F87" s="1127"/>
      <c r="G87" s="601">
        <f t="shared" si="17"/>
        <v>0</v>
      </c>
      <c r="H87" s="601">
        <f t="shared" si="17"/>
        <v>0</v>
      </c>
      <c r="I87" s="601">
        <f t="shared" si="17"/>
        <v>0</v>
      </c>
      <c r="J87" s="601">
        <f t="shared" si="17"/>
        <v>0</v>
      </c>
      <c r="K87" s="601">
        <f t="shared" si="17"/>
        <v>0</v>
      </c>
      <c r="L87" s="601">
        <f t="shared" si="17"/>
        <v>0</v>
      </c>
      <c r="M87" s="601">
        <f t="shared" si="17"/>
        <v>0</v>
      </c>
      <c r="O87" s="287"/>
      <c r="Q87" s="48"/>
      <c r="R87" s="48"/>
      <c r="S87" s="48"/>
      <c r="T87" s="48"/>
      <c r="U87" s="48"/>
      <c r="V87" s="48"/>
      <c r="W87" s="48"/>
      <c r="X87" s="48"/>
      <c r="Y87" s="48"/>
      <c r="Z87" s="48"/>
      <c r="AA87" s="48"/>
      <c r="AB87" s="48"/>
      <c r="AC87" s="48"/>
      <c r="AD87" s="48"/>
      <c r="AE87" s="48"/>
    </row>
    <row r="88" spans="1:31" outlineLevel="1">
      <c r="A88" s="412">
        <f>ROW()</f>
        <v>88</v>
      </c>
      <c r="B88" s="257"/>
      <c r="C88" s="1130"/>
      <c r="D88" s="1131"/>
      <c r="E88" s="1131"/>
      <c r="F88" s="1131"/>
      <c r="G88" s="119"/>
      <c r="H88" s="119"/>
      <c r="I88" s="119"/>
      <c r="J88" s="119"/>
      <c r="K88" s="119"/>
      <c r="L88" s="119"/>
      <c r="M88" s="119"/>
      <c r="O88" s="287"/>
      <c r="Q88" s="48"/>
      <c r="R88" s="48"/>
      <c r="S88" s="48"/>
      <c r="T88" s="48"/>
      <c r="U88" s="48"/>
      <c r="V88" s="48"/>
      <c r="W88" s="48"/>
      <c r="X88" s="48"/>
      <c r="Y88" s="48"/>
      <c r="Z88" s="48"/>
      <c r="AA88" s="48"/>
      <c r="AB88" s="48"/>
      <c r="AC88" s="48"/>
      <c r="AD88" s="48"/>
      <c r="AE88" s="48"/>
    </row>
    <row r="89" spans="1:31" outlineLevel="1">
      <c r="A89" s="412">
        <f>ROW()</f>
        <v>89</v>
      </c>
      <c r="B89" s="1132" t="s">
        <v>484</v>
      </c>
      <c r="C89" s="1133"/>
      <c r="D89" s="1134"/>
      <c r="E89" s="1134"/>
      <c r="F89" s="1134"/>
      <c r="G89" s="1144">
        <f t="shared" ref="G89:M89" si="18">SUM(G83:G87)</f>
        <v>0</v>
      </c>
      <c r="H89" s="1144">
        <f t="shared" si="18"/>
        <v>1</v>
      </c>
      <c r="I89" s="1144">
        <f t="shared" si="18"/>
        <v>2</v>
      </c>
      <c r="J89" s="1144">
        <f t="shared" si="18"/>
        <v>2</v>
      </c>
      <c r="K89" s="1144">
        <f t="shared" si="18"/>
        <v>2</v>
      </c>
      <c r="L89" s="1144">
        <f t="shared" si="18"/>
        <v>2</v>
      </c>
      <c r="M89" s="1144">
        <f t="shared" si="18"/>
        <v>2</v>
      </c>
      <c r="O89" s="287"/>
      <c r="Q89" s="48"/>
      <c r="R89" s="48"/>
      <c r="S89" s="48"/>
      <c r="T89" s="48"/>
      <c r="U89" s="48"/>
      <c r="V89" s="48"/>
      <c r="W89" s="48"/>
      <c r="X89" s="48"/>
      <c r="Y89" s="48"/>
      <c r="Z89" s="48"/>
      <c r="AA89" s="48"/>
      <c r="AB89" s="48"/>
      <c r="AC89" s="48"/>
      <c r="AD89" s="48"/>
      <c r="AE89" s="48"/>
    </row>
    <row r="90" spans="1:31" outlineLevel="1">
      <c r="A90" s="412">
        <f>ROW()</f>
        <v>90</v>
      </c>
      <c r="B90" s="257"/>
      <c r="C90" s="257"/>
      <c r="D90" s="1131"/>
      <c r="E90" s="1131"/>
      <c r="F90" s="1131"/>
      <c r="G90" s="1646"/>
      <c r="H90" s="1646"/>
      <c r="I90" s="119"/>
      <c r="J90" s="119"/>
      <c r="K90" s="119"/>
      <c r="L90" s="119"/>
      <c r="M90" s="119"/>
      <c r="N90" s="51"/>
      <c r="O90" s="287"/>
      <c r="Q90" s="48"/>
      <c r="R90" s="48"/>
      <c r="S90" s="48"/>
      <c r="T90" s="48"/>
      <c r="U90" s="48"/>
      <c r="V90" s="48"/>
      <c r="W90" s="48"/>
      <c r="X90" s="48"/>
      <c r="Y90" s="48"/>
      <c r="Z90" s="48"/>
      <c r="AA90" s="48"/>
      <c r="AB90" s="48"/>
      <c r="AC90" s="48"/>
      <c r="AD90" s="48"/>
      <c r="AE90" s="48"/>
    </row>
    <row r="91" spans="1:31" outlineLevel="1">
      <c r="A91" s="412">
        <f>ROW()</f>
        <v>91</v>
      </c>
      <c r="B91" s="1099" t="s">
        <v>485</v>
      </c>
      <c r="C91" s="1136"/>
      <c r="D91" s="1137"/>
      <c r="E91" s="1137"/>
      <c r="F91" s="1137"/>
      <c r="G91" s="1138"/>
      <c r="H91" s="1138"/>
      <c r="I91" s="1139"/>
      <c r="J91" s="1139"/>
      <c r="K91" s="1139"/>
      <c r="L91" s="1139"/>
      <c r="M91" s="1139"/>
      <c r="N91" s="51"/>
      <c r="O91" s="287"/>
      <c r="Q91" s="48"/>
      <c r="R91" s="48"/>
      <c r="S91" s="48"/>
      <c r="T91" s="48"/>
      <c r="U91" s="48"/>
      <c r="V91" s="48"/>
      <c r="W91" s="48"/>
      <c r="X91" s="48"/>
      <c r="Y91" s="48"/>
      <c r="Z91" s="48"/>
      <c r="AA91" s="48"/>
      <c r="AB91" s="48"/>
      <c r="AC91" s="48"/>
      <c r="AD91" s="48"/>
      <c r="AE91" s="48"/>
    </row>
    <row r="92" spans="1:31" outlineLevel="1">
      <c r="A92" s="412">
        <f>ROW()</f>
        <v>92</v>
      </c>
      <c r="B92" s="155" t="s">
        <v>1389</v>
      </c>
      <c r="C92" s="156">
        <v>2027</v>
      </c>
      <c r="D92" s="157">
        <v>45000</v>
      </c>
      <c r="E92" s="1128"/>
      <c r="F92" s="1128"/>
      <c r="G92" s="602">
        <f t="shared" ref="G92:M95" si="19">IF($C92&lt;=G$10,1,0)</f>
        <v>0</v>
      </c>
      <c r="H92" s="602">
        <f t="shared" si="19"/>
        <v>1</v>
      </c>
      <c r="I92" s="602">
        <f t="shared" si="19"/>
        <v>1</v>
      </c>
      <c r="J92" s="602">
        <f t="shared" si="19"/>
        <v>1</v>
      </c>
      <c r="K92" s="602">
        <f t="shared" si="19"/>
        <v>1</v>
      </c>
      <c r="L92" s="602">
        <f t="shared" si="19"/>
        <v>1</v>
      </c>
      <c r="M92" s="602">
        <f t="shared" si="19"/>
        <v>1</v>
      </c>
      <c r="N92" s="51"/>
      <c r="O92" s="287"/>
      <c r="Q92" s="48"/>
      <c r="R92" s="48"/>
      <c r="S92" s="48"/>
      <c r="T92" s="48"/>
      <c r="U92" s="48"/>
      <c r="V92" s="48"/>
      <c r="W92" s="48"/>
      <c r="X92" s="48"/>
      <c r="Y92" s="48"/>
      <c r="Z92" s="48"/>
      <c r="AA92" s="48"/>
      <c r="AB92" s="48"/>
      <c r="AC92" s="48"/>
      <c r="AD92" s="48"/>
      <c r="AE92" s="48"/>
    </row>
    <row r="93" spans="1:31" outlineLevel="1">
      <c r="A93" s="412">
        <f>ROW()</f>
        <v>93</v>
      </c>
      <c r="B93" s="129" t="s">
        <v>1390</v>
      </c>
      <c r="C93" s="130">
        <v>2027</v>
      </c>
      <c r="D93" s="132">
        <v>45000</v>
      </c>
      <c r="E93" s="1127"/>
      <c r="F93" s="1127"/>
      <c r="G93" s="601">
        <f t="shared" si="19"/>
        <v>0</v>
      </c>
      <c r="H93" s="601">
        <f t="shared" si="19"/>
        <v>1</v>
      </c>
      <c r="I93" s="601">
        <f t="shared" si="19"/>
        <v>1</v>
      </c>
      <c r="J93" s="601">
        <f t="shared" si="19"/>
        <v>1</v>
      </c>
      <c r="K93" s="601">
        <f t="shared" si="19"/>
        <v>1</v>
      </c>
      <c r="L93" s="601">
        <f t="shared" si="19"/>
        <v>1</v>
      </c>
      <c r="M93" s="601">
        <f t="shared" si="19"/>
        <v>1</v>
      </c>
      <c r="N93" s="51"/>
      <c r="O93" s="287"/>
      <c r="Q93" s="48"/>
      <c r="R93" s="48"/>
      <c r="S93" s="48"/>
      <c r="T93" s="48"/>
      <c r="U93" s="48"/>
      <c r="V93" s="48"/>
      <c r="W93" s="48"/>
      <c r="X93" s="48"/>
      <c r="Y93" s="48"/>
      <c r="Z93" s="48"/>
      <c r="AA93" s="48"/>
      <c r="AB93" s="48"/>
      <c r="AC93" s="48"/>
      <c r="AD93" s="48"/>
      <c r="AE93" s="48"/>
    </row>
    <row r="94" spans="1:31" outlineLevel="1">
      <c r="A94" s="412">
        <f>ROW()</f>
        <v>94</v>
      </c>
      <c r="B94" s="129"/>
      <c r="C94" s="130" t="s">
        <v>483</v>
      </c>
      <c r="D94" s="132">
        <v>0</v>
      </c>
      <c r="E94" s="1127"/>
      <c r="F94" s="1127"/>
      <c r="G94" s="601">
        <f t="shared" si="19"/>
        <v>0</v>
      </c>
      <c r="H94" s="601">
        <f t="shared" si="19"/>
        <v>0</v>
      </c>
      <c r="I94" s="601">
        <f t="shared" si="19"/>
        <v>0</v>
      </c>
      <c r="J94" s="601">
        <f t="shared" si="19"/>
        <v>0</v>
      </c>
      <c r="K94" s="601">
        <f t="shared" si="19"/>
        <v>0</v>
      </c>
      <c r="L94" s="601">
        <f t="shared" si="19"/>
        <v>0</v>
      </c>
      <c r="M94" s="601">
        <f t="shared" si="19"/>
        <v>0</v>
      </c>
      <c r="N94" s="51"/>
      <c r="O94" s="287"/>
      <c r="Q94" s="48"/>
      <c r="R94" s="48"/>
      <c r="S94" s="48"/>
      <c r="T94" s="48"/>
      <c r="U94" s="48"/>
      <c r="V94" s="48"/>
      <c r="W94" s="48"/>
      <c r="X94" s="48"/>
      <c r="Y94" s="48"/>
      <c r="Z94" s="48"/>
      <c r="AA94" s="48"/>
      <c r="AB94" s="48"/>
      <c r="AC94" s="48"/>
      <c r="AD94" s="48"/>
      <c r="AE94" s="48"/>
    </row>
    <row r="95" spans="1:31" outlineLevel="1">
      <c r="A95" s="412">
        <f>ROW()</f>
        <v>95</v>
      </c>
      <c r="B95" s="129"/>
      <c r="C95" s="130" t="s">
        <v>483</v>
      </c>
      <c r="D95" s="132">
        <v>0</v>
      </c>
      <c r="E95" s="1127"/>
      <c r="F95" s="1127"/>
      <c r="G95" s="601">
        <f t="shared" si="19"/>
        <v>0</v>
      </c>
      <c r="H95" s="601">
        <f t="shared" si="19"/>
        <v>0</v>
      </c>
      <c r="I95" s="601">
        <f t="shared" si="19"/>
        <v>0</v>
      </c>
      <c r="J95" s="601">
        <f t="shared" si="19"/>
        <v>0</v>
      </c>
      <c r="K95" s="601">
        <f t="shared" si="19"/>
        <v>0</v>
      </c>
      <c r="L95" s="601">
        <f t="shared" si="19"/>
        <v>0</v>
      </c>
      <c r="M95" s="601">
        <f t="shared" si="19"/>
        <v>0</v>
      </c>
      <c r="N95" s="51"/>
      <c r="O95" s="287"/>
      <c r="Q95" s="48"/>
      <c r="R95" s="48"/>
      <c r="S95" s="48"/>
      <c r="T95" s="48"/>
      <c r="U95" s="48"/>
      <c r="V95" s="48"/>
      <c r="W95" s="48"/>
      <c r="X95" s="48"/>
      <c r="Y95" s="48"/>
      <c r="Z95" s="48"/>
      <c r="AA95" s="48"/>
      <c r="AB95" s="48"/>
      <c r="AC95" s="48"/>
      <c r="AD95" s="48"/>
      <c r="AE95" s="48"/>
    </row>
    <row r="96" spans="1:31" outlineLevel="1">
      <c r="A96" s="412">
        <f>ROW()</f>
        <v>96</v>
      </c>
      <c r="B96" s="257"/>
      <c r="C96" s="257"/>
      <c r="D96" s="1140"/>
      <c r="E96" s="1140"/>
      <c r="F96" s="1140"/>
      <c r="G96" s="119"/>
      <c r="H96" s="119"/>
      <c r="I96" s="119"/>
      <c r="J96" s="119"/>
      <c r="K96" s="119"/>
      <c r="L96" s="119"/>
      <c r="M96" s="119"/>
      <c r="N96" s="51"/>
      <c r="O96" s="287"/>
      <c r="Q96" s="48"/>
      <c r="R96" s="48"/>
      <c r="S96" s="48"/>
      <c r="T96" s="48"/>
      <c r="U96" s="48"/>
      <c r="V96" s="48"/>
      <c r="W96" s="48"/>
      <c r="X96" s="48"/>
      <c r="Y96" s="48"/>
      <c r="Z96" s="48"/>
      <c r="AA96" s="48"/>
      <c r="AB96" s="48"/>
      <c r="AC96" s="48"/>
      <c r="AD96" s="48"/>
      <c r="AE96" s="48"/>
    </row>
    <row r="97" spans="1:31" outlineLevel="1">
      <c r="A97" s="412">
        <f>ROW()</f>
        <v>97</v>
      </c>
      <c r="B97" s="1132" t="s">
        <v>486</v>
      </c>
      <c r="C97" s="1133"/>
      <c r="D97" s="1141"/>
      <c r="E97" s="1141"/>
      <c r="F97" s="1141"/>
      <c r="G97" s="1144">
        <f t="shared" ref="G97:M97" si="20">SUM(G92:G95)+G89</f>
        <v>0</v>
      </c>
      <c r="H97" s="1144">
        <f t="shared" si="20"/>
        <v>3</v>
      </c>
      <c r="I97" s="1144">
        <f t="shared" si="20"/>
        <v>4</v>
      </c>
      <c r="J97" s="1144">
        <f t="shared" si="20"/>
        <v>4</v>
      </c>
      <c r="K97" s="1144">
        <f t="shared" si="20"/>
        <v>4</v>
      </c>
      <c r="L97" s="1144">
        <f t="shared" si="20"/>
        <v>4</v>
      </c>
      <c r="M97" s="1144">
        <f t="shared" si="20"/>
        <v>4</v>
      </c>
      <c r="N97" s="51"/>
      <c r="O97" s="287"/>
      <c r="Q97" s="48"/>
      <c r="R97" s="48"/>
      <c r="S97" s="48"/>
      <c r="T97" s="48"/>
      <c r="U97" s="48"/>
      <c r="V97" s="48"/>
      <c r="W97" s="48"/>
      <c r="X97" s="48"/>
      <c r="Y97" s="48"/>
      <c r="Z97" s="48"/>
      <c r="AA97" s="48"/>
      <c r="AB97" s="48"/>
      <c r="AC97" s="48"/>
      <c r="AD97" s="48"/>
      <c r="AE97" s="48"/>
    </row>
    <row r="98" spans="1:31" outlineLevel="1">
      <c r="A98" s="412">
        <f>ROW()</f>
        <v>98</v>
      </c>
      <c r="B98" s="257"/>
      <c r="C98" s="257"/>
      <c r="D98" s="1140"/>
      <c r="E98" s="1140"/>
      <c r="F98" s="1140"/>
      <c r="G98" s="257"/>
      <c r="H98" s="257"/>
      <c r="I98" s="257"/>
      <c r="J98" s="119"/>
      <c r="K98" s="119"/>
      <c r="L98" s="119"/>
      <c r="M98" s="119"/>
      <c r="N98" s="51"/>
      <c r="O98" s="287"/>
      <c r="Q98" s="48"/>
      <c r="R98" s="48"/>
      <c r="S98" s="48"/>
      <c r="T98" s="48"/>
      <c r="U98" s="48"/>
      <c r="V98" s="48"/>
      <c r="W98" s="48"/>
      <c r="X98" s="48"/>
      <c r="Y98" s="48"/>
      <c r="Z98" s="48"/>
      <c r="AA98" s="48"/>
      <c r="AB98" s="48"/>
      <c r="AC98" s="48"/>
      <c r="AD98" s="48"/>
      <c r="AE98" s="48"/>
    </row>
    <row r="99" spans="1:31" outlineLevel="1">
      <c r="A99" s="412">
        <f>ROW()</f>
        <v>99</v>
      </c>
      <c r="B99" s="1099" t="s">
        <v>487</v>
      </c>
      <c r="C99" s="1136"/>
      <c r="D99" s="1137"/>
      <c r="E99" s="1137"/>
      <c r="F99" s="1137"/>
      <c r="G99" s="1136"/>
      <c r="H99" s="1136"/>
      <c r="I99" s="1136"/>
      <c r="J99" s="1139"/>
      <c r="K99" s="1139"/>
      <c r="L99" s="1139"/>
      <c r="M99" s="1139"/>
      <c r="N99" s="51"/>
      <c r="O99" s="287"/>
      <c r="Q99" s="48"/>
      <c r="R99" s="48"/>
      <c r="S99" s="48"/>
      <c r="T99" s="48"/>
      <c r="U99" s="48"/>
      <c r="V99" s="48"/>
      <c r="W99" s="48"/>
      <c r="X99" s="48"/>
      <c r="Y99" s="48"/>
      <c r="Z99" s="48"/>
      <c r="AA99" s="48"/>
      <c r="AB99" s="48"/>
      <c r="AC99" s="48"/>
      <c r="AD99" s="48"/>
      <c r="AE99" s="48"/>
    </row>
    <row r="100" spans="1:31" outlineLevel="1">
      <c r="A100" s="412">
        <f>ROW()</f>
        <v>100</v>
      </c>
      <c r="B100" s="158" t="s">
        <v>1391</v>
      </c>
      <c r="C100" s="159">
        <v>2027</v>
      </c>
      <c r="D100" s="160">
        <v>60000</v>
      </c>
      <c r="E100" s="1128"/>
      <c r="F100" s="1128"/>
      <c r="G100" s="602">
        <f t="shared" ref="G100:M108" si="21">IF($C100&lt;=G$10,1,0)</f>
        <v>0</v>
      </c>
      <c r="H100" s="602">
        <f t="shared" si="21"/>
        <v>1</v>
      </c>
      <c r="I100" s="602">
        <f t="shared" si="21"/>
        <v>1</v>
      </c>
      <c r="J100" s="602">
        <f t="shared" si="21"/>
        <v>1</v>
      </c>
      <c r="K100" s="602">
        <f t="shared" si="21"/>
        <v>1</v>
      </c>
      <c r="L100" s="602">
        <f t="shared" si="21"/>
        <v>1</v>
      </c>
      <c r="M100" s="602">
        <f t="shared" si="21"/>
        <v>1</v>
      </c>
      <c r="N100" s="51"/>
      <c r="O100" s="287"/>
      <c r="Q100" s="48"/>
      <c r="R100" s="48"/>
      <c r="S100" s="48"/>
      <c r="T100" s="48"/>
      <c r="U100" s="48"/>
      <c r="V100" s="48"/>
      <c r="W100" s="48"/>
      <c r="X100" s="48"/>
      <c r="Y100" s="48"/>
      <c r="Z100" s="48"/>
      <c r="AA100" s="48"/>
      <c r="AB100" s="48"/>
      <c r="AC100" s="48"/>
      <c r="AD100" s="48"/>
      <c r="AE100" s="48"/>
    </row>
    <row r="101" spans="1:31" outlineLevel="1">
      <c r="A101" s="412">
        <f>ROW()</f>
        <v>101</v>
      </c>
      <c r="B101" s="124" t="s">
        <v>1392</v>
      </c>
      <c r="C101" s="125">
        <v>2028</v>
      </c>
      <c r="D101" s="133">
        <v>60000</v>
      </c>
      <c r="E101" s="1127"/>
      <c r="F101" s="1127"/>
      <c r="G101" s="601">
        <f t="shared" si="21"/>
        <v>0</v>
      </c>
      <c r="H101" s="601">
        <f t="shared" si="21"/>
        <v>0</v>
      </c>
      <c r="I101" s="601">
        <f t="shared" si="21"/>
        <v>1</v>
      </c>
      <c r="J101" s="601">
        <f t="shared" si="21"/>
        <v>1</v>
      </c>
      <c r="K101" s="601">
        <f t="shared" si="21"/>
        <v>1</v>
      </c>
      <c r="L101" s="601">
        <f t="shared" si="21"/>
        <v>1</v>
      </c>
      <c r="M101" s="601">
        <f t="shared" si="21"/>
        <v>1</v>
      </c>
      <c r="N101" s="51"/>
      <c r="O101" s="287"/>
      <c r="Q101" s="48"/>
      <c r="R101" s="48"/>
      <c r="S101" s="48"/>
      <c r="T101" s="48"/>
      <c r="U101" s="48"/>
      <c r="V101" s="48"/>
      <c r="W101" s="48"/>
      <c r="X101" s="48"/>
      <c r="Y101" s="48"/>
      <c r="Z101" s="48"/>
      <c r="AA101" s="48"/>
      <c r="AB101" s="48"/>
      <c r="AC101" s="48"/>
      <c r="AD101" s="48"/>
      <c r="AE101" s="48"/>
    </row>
    <row r="102" spans="1:31" outlineLevel="1">
      <c r="A102" s="412">
        <f>ROW()</f>
        <v>102</v>
      </c>
      <c r="B102" s="124" t="s">
        <v>1393</v>
      </c>
      <c r="C102" s="125">
        <v>2030</v>
      </c>
      <c r="D102" s="133">
        <v>60000</v>
      </c>
      <c r="E102" s="1127"/>
      <c r="F102" s="1127"/>
      <c r="G102" s="601">
        <f t="shared" si="21"/>
        <v>0</v>
      </c>
      <c r="H102" s="601">
        <f t="shared" si="21"/>
        <v>0</v>
      </c>
      <c r="I102" s="601">
        <f t="shared" si="21"/>
        <v>0</v>
      </c>
      <c r="J102" s="601">
        <f t="shared" si="21"/>
        <v>0</v>
      </c>
      <c r="K102" s="601">
        <f t="shared" si="21"/>
        <v>1</v>
      </c>
      <c r="L102" s="601">
        <f t="shared" si="21"/>
        <v>1</v>
      </c>
      <c r="M102" s="601">
        <f t="shared" si="21"/>
        <v>1</v>
      </c>
      <c r="N102" s="51"/>
      <c r="O102" s="287"/>
      <c r="Q102" s="48"/>
      <c r="R102" s="48"/>
      <c r="S102" s="48"/>
      <c r="T102" s="48"/>
      <c r="U102" s="48"/>
      <c r="V102" s="48"/>
      <c r="W102" s="48"/>
      <c r="X102" s="48"/>
      <c r="Y102" s="48"/>
      <c r="Z102" s="48"/>
      <c r="AA102" s="48"/>
      <c r="AB102" s="48"/>
      <c r="AC102" s="48"/>
      <c r="AD102" s="48"/>
      <c r="AE102" s="48"/>
    </row>
    <row r="103" spans="1:31" outlineLevel="1">
      <c r="A103" s="412">
        <f>ROW()</f>
        <v>103</v>
      </c>
      <c r="B103" s="124"/>
      <c r="C103" s="125" t="s">
        <v>483</v>
      </c>
      <c r="D103" s="133">
        <v>0</v>
      </c>
      <c r="E103" s="1127"/>
      <c r="F103" s="1127"/>
      <c r="G103" s="601">
        <f t="shared" si="21"/>
        <v>0</v>
      </c>
      <c r="H103" s="601">
        <f t="shared" si="21"/>
        <v>0</v>
      </c>
      <c r="I103" s="601">
        <f t="shared" si="21"/>
        <v>0</v>
      </c>
      <c r="J103" s="601">
        <f t="shared" si="21"/>
        <v>0</v>
      </c>
      <c r="K103" s="601">
        <f t="shared" si="21"/>
        <v>0</v>
      </c>
      <c r="L103" s="601">
        <f t="shared" si="21"/>
        <v>0</v>
      </c>
      <c r="M103" s="601">
        <f t="shared" si="21"/>
        <v>0</v>
      </c>
      <c r="N103" s="51"/>
      <c r="O103" s="287"/>
      <c r="Q103" s="48"/>
      <c r="R103" s="48"/>
      <c r="S103" s="48"/>
      <c r="T103" s="48"/>
      <c r="U103" s="48"/>
      <c r="V103" s="48"/>
      <c r="W103" s="48"/>
      <c r="X103" s="48"/>
      <c r="Y103" s="48"/>
      <c r="Z103" s="48"/>
      <c r="AA103" s="48"/>
      <c r="AB103" s="48"/>
      <c r="AC103" s="48"/>
      <c r="AD103" s="48"/>
      <c r="AE103" s="48"/>
    </row>
    <row r="104" spans="1:31" outlineLevel="1">
      <c r="A104" s="412">
        <f>ROW()</f>
        <v>104</v>
      </c>
      <c r="B104" s="124"/>
      <c r="C104" s="125" t="s">
        <v>483</v>
      </c>
      <c r="D104" s="133">
        <v>0</v>
      </c>
      <c r="E104" s="1127"/>
      <c r="F104" s="1127"/>
      <c r="G104" s="601">
        <f t="shared" si="21"/>
        <v>0</v>
      </c>
      <c r="H104" s="601">
        <f t="shared" si="21"/>
        <v>0</v>
      </c>
      <c r="I104" s="601">
        <f t="shared" si="21"/>
        <v>0</v>
      </c>
      <c r="J104" s="601">
        <f t="shared" si="21"/>
        <v>0</v>
      </c>
      <c r="K104" s="601">
        <f t="shared" si="21"/>
        <v>0</v>
      </c>
      <c r="L104" s="601">
        <f t="shared" si="21"/>
        <v>0</v>
      </c>
      <c r="M104" s="601">
        <f t="shared" si="21"/>
        <v>0</v>
      </c>
      <c r="N104" s="51"/>
      <c r="O104" s="287"/>
      <c r="Q104" s="48"/>
      <c r="R104" s="48"/>
      <c r="S104" s="48"/>
      <c r="T104" s="48"/>
      <c r="U104" s="48"/>
      <c r="V104" s="48"/>
      <c r="W104" s="48"/>
      <c r="X104" s="48"/>
      <c r="Y104" s="48"/>
      <c r="Z104" s="48"/>
      <c r="AA104" s="48"/>
      <c r="AB104" s="48"/>
      <c r="AC104" s="48"/>
      <c r="AD104" s="48"/>
      <c r="AE104" s="48"/>
    </row>
    <row r="105" spans="1:31" outlineLevel="1">
      <c r="A105" s="412">
        <f>ROW()</f>
        <v>105</v>
      </c>
      <c r="B105" s="124" t="s">
        <v>1135</v>
      </c>
      <c r="C105" s="125" t="s">
        <v>483</v>
      </c>
      <c r="D105" s="133">
        <v>0</v>
      </c>
      <c r="E105" s="1127"/>
      <c r="F105" s="1127"/>
      <c r="G105" s="601">
        <f t="shared" si="21"/>
        <v>0</v>
      </c>
      <c r="H105" s="601">
        <f t="shared" si="21"/>
        <v>0</v>
      </c>
      <c r="I105" s="601">
        <f t="shared" si="21"/>
        <v>0</v>
      </c>
      <c r="J105" s="601">
        <f t="shared" si="21"/>
        <v>0</v>
      </c>
      <c r="K105" s="601">
        <f t="shared" si="21"/>
        <v>0</v>
      </c>
      <c r="L105" s="601">
        <f t="shared" si="21"/>
        <v>0</v>
      </c>
      <c r="M105" s="601">
        <f t="shared" si="21"/>
        <v>0</v>
      </c>
      <c r="N105" s="51"/>
      <c r="O105" s="287"/>
      <c r="Q105" s="48"/>
      <c r="R105" s="48"/>
      <c r="S105" s="48"/>
      <c r="T105" s="48"/>
      <c r="U105" s="48"/>
      <c r="V105" s="48"/>
      <c r="W105" s="48"/>
      <c r="X105" s="48"/>
      <c r="Y105" s="48"/>
      <c r="Z105" s="48"/>
      <c r="AA105" s="48"/>
      <c r="AB105" s="48"/>
      <c r="AC105" s="48"/>
      <c r="AD105" s="48"/>
      <c r="AE105" s="48"/>
    </row>
    <row r="106" spans="1:31" outlineLevel="1">
      <c r="A106" s="412">
        <f>ROW()</f>
        <v>106</v>
      </c>
      <c r="B106" s="124"/>
      <c r="C106" s="125" t="s">
        <v>483</v>
      </c>
      <c r="D106" s="133">
        <v>0</v>
      </c>
      <c r="E106" s="1127"/>
      <c r="F106" s="1127"/>
      <c r="G106" s="601">
        <f t="shared" si="21"/>
        <v>0</v>
      </c>
      <c r="H106" s="601">
        <f t="shared" si="21"/>
        <v>0</v>
      </c>
      <c r="I106" s="601">
        <f t="shared" si="21"/>
        <v>0</v>
      </c>
      <c r="J106" s="601">
        <f t="shared" si="21"/>
        <v>0</v>
      </c>
      <c r="K106" s="601">
        <f t="shared" si="21"/>
        <v>0</v>
      </c>
      <c r="L106" s="601">
        <f t="shared" si="21"/>
        <v>0</v>
      </c>
      <c r="M106" s="601">
        <f t="shared" si="21"/>
        <v>0</v>
      </c>
      <c r="N106" s="51"/>
      <c r="O106" s="287"/>
      <c r="Q106" s="48"/>
      <c r="R106" s="48"/>
      <c r="S106" s="48"/>
      <c r="T106" s="48"/>
      <c r="U106" s="48"/>
      <c r="V106" s="48"/>
      <c r="W106" s="48"/>
      <c r="X106" s="48"/>
      <c r="Y106" s="48"/>
      <c r="Z106" s="48"/>
      <c r="AA106" s="48"/>
      <c r="AB106" s="48"/>
      <c r="AC106" s="48"/>
      <c r="AD106" s="48"/>
      <c r="AE106" s="48"/>
    </row>
    <row r="107" spans="1:31" outlineLevel="1">
      <c r="A107" s="412">
        <f>ROW()</f>
        <v>107</v>
      </c>
      <c r="B107" s="124"/>
      <c r="C107" s="125" t="s">
        <v>483</v>
      </c>
      <c r="D107" s="133">
        <v>0</v>
      </c>
      <c r="E107" s="1127"/>
      <c r="F107" s="1127"/>
      <c r="G107" s="601">
        <f t="shared" si="21"/>
        <v>0</v>
      </c>
      <c r="H107" s="601">
        <f t="shared" si="21"/>
        <v>0</v>
      </c>
      <c r="I107" s="601">
        <f t="shared" si="21"/>
        <v>0</v>
      </c>
      <c r="J107" s="601">
        <f t="shared" si="21"/>
        <v>0</v>
      </c>
      <c r="K107" s="601">
        <f t="shared" si="21"/>
        <v>0</v>
      </c>
      <c r="L107" s="601">
        <f t="shared" si="21"/>
        <v>0</v>
      </c>
      <c r="M107" s="601">
        <f t="shared" si="21"/>
        <v>0</v>
      </c>
      <c r="N107" s="51"/>
      <c r="O107" s="287"/>
      <c r="Q107" s="48"/>
      <c r="R107" s="48"/>
      <c r="S107" s="48"/>
      <c r="T107" s="48"/>
      <c r="U107" s="48"/>
      <c r="V107" s="48"/>
      <c r="W107" s="48"/>
      <c r="X107" s="48"/>
      <c r="Y107" s="48"/>
      <c r="Z107" s="48"/>
      <c r="AA107" s="48"/>
      <c r="AB107" s="48"/>
      <c r="AC107" s="48"/>
      <c r="AD107" s="48"/>
      <c r="AE107" s="48"/>
    </row>
    <row r="108" spans="1:31" outlineLevel="1">
      <c r="A108" s="412">
        <f>ROW()</f>
        <v>108</v>
      </c>
      <c r="B108" s="124"/>
      <c r="C108" s="125" t="s">
        <v>483</v>
      </c>
      <c r="D108" s="133">
        <v>0</v>
      </c>
      <c r="E108" s="1127"/>
      <c r="F108" s="1127"/>
      <c r="G108" s="603">
        <f t="shared" si="21"/>
        <v>0</v>
      </c>
      <c r="H108" s="603">
        <f t="shared" si="21"/>
        <v>0</v>
      </c>
      <c r="I108" s="603">
        <f t="shared" si="21"/>
        <v>0</v>
      </c>
      <c r="J108" s="603">
        <f t="shared" si="21"/>
        <v>0</v>
      </c>
      <c r="K108" s="603">
        <f t="shared" si="21"/>
        <v>0</v>
      </c>
      <c r="L108" s="603">
        <f t="shared" si="21"/>
        <v>0</v>
      </c>
      <c r="M108" s="603">
        <f t="shared" si="21"/>
        <v>0</v>
      </c>
      <c r="N108" s="51"/>
      <c r="O108" s="287"/>
      <c r="Q108" s="48"/>
      <c r="R108" s="48"/>
      <c r="S108" s="48"/>
      <c r="T108" s="48"/>
      <c r="U108" s="48"/>
      <c r="V108" s="48"/>
      <c r="W108" s="48"/>
      <c r="X108" s="48"/>
      <c r="Y108" s="48"/>
      <c r="Z108" s="48"/>
      <c r="AA108" s="48"/>
      <c r="AB108" s="48"/>
      <c r="AC108" s="48"/>
      <c r="AD108" s="48"/>
      <c r="AE108" s="48"/>
    </row>
    <row r="109" spans="1:31" outlineLevel="1">
      <c r="A109" s="412">
        <f>ROW()</f>
        <v>109</v>
      </c>
      <c r="B109" s="1132" t="s">
        <v>1366</v>
      </c>
      <c r="C109" s="1132"/>
      <c r="D109" s="1132"/>
      <c r="E109" s="1132"/>
      <c r="F109" s="1132"/>
      <c r="G109" s="1142">
        <f t="shared" ref="G109:M109" si="22">SUM(G100:G108)</f>
        <v>0</v>
      </c>
      <c r="H109" s="1143">
        <f t="shared" si="22"/>
        <v>1</v>
      </c>
      <c r="I109" s="1144">
        <f t="shared" si="22"/>
        <v>2</v>
      </c>
      <c r="J109" s="1144">
        <f t="shared" si="22"/>
        <v>2</v>
      </c>
      <c r="K109" s="1144">
        <f t="shared" si="22"/>
        <v>3</v>
      </c>
      <c r="L109" s="1144">
        <f t="shared" si="22"/>
        <v>3</v>
      </c>
      <c r="M109" s="1144">
        <f t="shared" si="22"/>
        <v>3</v>
      </c>
      <c r="N109" s="51"/>
      <c r="O109" s="287"/>
      <c r="Q109" s="48"/>
      <c r="R109" s="48"/>
      <c r="S109" s="48"/>
      <c r="T109" s="48"/>
      <c r="U109" s="48"/>
      <c r="V109" s="48"/>
      <c r="W109" s="48"/>
      <c r="X109" s="48"/>
      <c r="Y109" s="48"/>
      <c r="Z109" s="48"/>
      <c r="AA109" s="48"/>
      <c r="AB109" s="48"/>
      <c r="AC109" s="48"/>
      <c r="AD109" s="48"/>
      <c r="AE109" s="48"/>
    </row>
    <row r="110" spans="1:31" outlineLevel="1">
      <c r="A110" s="412"/>
      <c r="C110" s="1032"/>
      <c r="E110" s="257" t="s">
        <v>488</v>
      </c>
      <c r="F110" s="1032"/>
      <c r="G110" s="1271">
        <f>+' Enrol &amp; Rev'!F51</f>
        <v>0</v>
      </c>
      <c r="H110" s="1271">
        <f>+' Enrol &amp; Rev'!G51</f>
        <v>27.599999999999998</v>
      </c>
      <c r="I110" s="1271">
        <f>+' Enrol &amp; Rev'!H51</f>
        <v>37.199999999999996</v>
      </c>
      <c r="J110" s="1271">
        <f>+' Enrol &amp; Rev'!I51</f>
        <v>46.8</v>
      </c>
      <c r="K110" s="1271">
        <f>+' Enrol &amp; Rev'!J51</f>
        <v>56.4</v>
      </c>
      <c r="L110" s="1271">
        <f>+' Enrol &amp; Rev'!K51</f>
        <v>66</v>
      </c>
      <c r="M110" s="1271">
        <f>+' Enrol &amp; Rev'!L51</f>
        <v>67.2</v>
      </c>
      <c r="N110" s="51"/>
      <c r="O110" s="287"/>
      <c r="Q110" s="48"/>
      <c r="R110" s="48"/>
      <c r="S110" s="48"/>
      <c r="T110" s="48"/>
      <c r="U110" s="48"/>
      <c r="V110" s="48"/>
      <c r="W110" s="48"/>
      <c r="X110" s="48"/>
      <c r="Y110" s="48"/>
      <c r="Z110" s="48"/>
      <c r="AA110" s="48"/>
      <c r="AB110" s="48"/>
      <c r="AC110" s="48"/>
      <c r="AD110" s="48"/>
      <c r="AE110" s="48"/>
    </row>
    <row r="111" spans="1:31" outlineLevel="1">
      <c r="A111" s="412"/>
      <c r="C111" s="1032"/>
      <c r="E111" s="257" t="s">
        <v>489</v>
      </c>
      <c r="F111" s="1032"/>
      <c r="G111" s="1032"/>
      <c r="H111" s="1271">
        <f>IFERROR(H110/H109,0)</f>
        <v>27.599999999999998</v>
      </c>
      <c r="I111" s="1271">
        <f t="shared" ref="I111:M111" si="23">IFERROR(I110/I109,0)</f>
        <v>18.599999999999998</v>
      </c>
      <c r="J111" s="1271">
        <f t="shared" si="23"/>
        <v>23.4</v>
      </c>
      <c r="K111" s="1271">
        <f t="shared" si="23"/>
        <v>18.8</v>
      </c>
      <c r="L111" s="1271">
        <f t="shared" si="23"/>
        <v>22</v>
      </c>
      <c r="M111" s="1271">
        <f t="shared" si="23"/>
        <v>22.400000000000002</v>
      </c>
      <c r="N111" s="51"/>
      <c r="O111" s="287"/>
      <c r="Q111" s="48"/>
      <c r="R111" s="48"/>
      <c r="S111" s="48"/>
      <c r="T111" s="48"/>
      <c r="U111" s="48"/>
      <c r="V111" s="48"/>
      <c r="W111" s="48"/>
      <c r="X111" s="48"/>
      <c r="Y111" s="48"/>
      <c r="Z111" s="48"/>
      <c r="AA111" s="48"/>
      <c r="AB111" s="48"/>
      <c r="AC111" s="48"/>
      <c r="AD111" s="48"/>
      <c r="AE111" s="48"/>
    </row>
    <row r="112" spans="1:31" outlineLevel="1">
      <c r="A112" s="412">
        <f>ROW()</f>
        <v>112</v>
      </c>
      <c r="B112" s="1032"/>
      <c r="C112" s="1032"/>
      <c r="D112" s="1032"/>
      <c r="E112" s="1032"/>
      <c r="F112" s="1032"/>
      <c r="G112" s="1646"/>
      <c r="H112" s="1646"/>
      <c r="I112" s="1652"/>
      <c r="J112" s="1652"/>
      <c r="K112" s="1652"/>
      <c r="L112" s="1652"/>
      <c r="M112" s="1652"/>
      <c r="N112" s="51"/>
      <c r="O112" s="287"/>
      <c r="Q112" s="48"/>
      <c r="R112" s="48"/>
      <c r="S112" s="48"/>
      <c r="T112" s="48"/>
      <c r="U112" s="48"/>
      <c r="V112" s="48"/>
      <c r="W112" s="48"/>
      <c r="X112" s="48"/>
      <c r="Y112" s="48"/>
      <c r="Z112" s="48"/>
      <c r="AA112" s="48"/>
      <c r="AB112" s="48"/>
      <c r="AC112" s="48"/>
      <c r="AD112" s="48"/>
      <c r="AE112" s="48"/>
    </row>
    <row r="113" spans="1:31" ht="15.6" outlineLevel="1">
      <c r="A113" s="412">
        <f>ROW()</f>
        <v>113</v>
      </c>
      <c r="B113" s="1145" t="s">
        <v>490</v>
      </c>
      <c r="C113" s="1136"/>
      <c r="D113" s="1137"/>
      <c r="E113" s="1137"/>
      <c r="F113" s="1137"/>
      <c r="G113" s="1136"/>
      <c r="H113" s="1136"/>
      <c r="I113" s="1136"/>
      <c r="J113" s="1139"/>
      <c r="K113" s="1139"/>
      <c r="L113" s="1139"/>
      <c r="M113" s="1139"/>
      <c r="N113" s="51"/>
      <c r="O113" s="287"/>
      <c r="Q113" s="48"/>
      <c r="R113" s="48"/>
      <c r="S113" s="48"/>
      <c r="T113" s="48"/>
      <c r="U113" s="48"/>
      <c r="V113" s="48"/>
      <c r="W113" s="48"/>
      <c r="X113" s="48"/>
      <c r="Y113" s="48"/>
      <c r="Z113" s="48"/>
      <c r="AA113" s="48"/>
      <c r="AB113" s="48"/>
      <c r="AC113" s="48"/>
      <c r="AD113" s="48"/>
      <c r="AE113" s="48"/>
    </row>
    <row r="114" spans="1:31" outlineLevel="1">
      <c r="A114" s="412">
        <f>ROW()</f>
        <v>114</v>
      </c>
      <c r="B114" s="158" t="s">
        <v>1394</v>
      </c>
      <c r="C114" s="159">
        <v>2027</v>
      </c>
      <c r="D114" s="160">
        <v>60000</v>
      </c>
      <c r="E114" s="1128"/>
      <c r="F114" s="1128"/>
      <c r="G114" s="602">
        <f t="shared" ref="G114:M122" si="24">IF($C114&lt;=G$10,1,0)</f>
        <v>0</v>
      </c>
      <c r="H114" s="602">
        <v>0.5</v>
      </c>
      <c r="I114" s="602">
        <v>0.5</v>
      </c>
      <c r="J114" s="602">
        <f t="shared" si="24"/>
        <v>1</v>
      </c>
      <c r="K114" s="602">
        <f t="shared" si="24"/>
        <v>1</v>
      </c>
      <c r="L114" s="602">
        <f t="shared" si="24"/>
        <v>1</v>
      </c>
      <c r="M114" s="602">
        <f t="shared" si="24"/>
        <v>1</v>
      </c>
      <c r="N114" s="51"/>
      <c r="O114" s="287"/>
      <c r="Q114" s="48"/>
      <c r="R114" s="48"/>
      <c r="S114" s="48"/>
      <c r="T114" s="48"/>
      <c r="U114" s="48"/>
      <c r="V114" s="48"/>
      <c r="W114" s="48"/>
      <c r="X114" s="48"/>
      <c r="Y114" s="48"/>
      <c r="Z114" s="48"/>
      <c r="AA114" s="48"/>
      <c r="AB114" s="48"/>
      <c r="AC114" s="48"/>
      <c r="AD114" s="48"/>
      <c r="AE114" s="48"/>
    </row>
    <row r="115" spans="1:31" outlineLevel="1">
      <c r="A115" s="412">
        <f>ROW()</f>
        <v>115</v>
      </c>
      <c r="B115" s="158"/>
      <c r="C115" s="125" t="s">
        <v>483</v>
      </c>
      <c r="D115" s="133">
        <v>0</v>
      </c>
      <c r="E115" s="1127"/>
      <c r="F115" s="1127"/>
      <c r="G115" s="601">
        <f t="shared" si="24"/>
        <v>0</v>
      </c>
      <c r="H115" s="601">
        <f t="shared" si="24"/>
        <v>0</v>
      </c>
      <c r="I115" s="601">
        <f t="shared" si="24"/>
        <v>0</v>
      </c>
      <c r="J115" s="601">
        <f t="shared" si="24"/>
        <v>0</v>
      </c>
      <c r="K115" s="601">
        <f t="shared" si="24"/>
        <v>0</v>
      </c>
      <c r="L115" s="601">
        <f t="shared" si="24"/>
        <v>0</v>
      </c>
      <c r="M115" s="601">
        <f t="shared" si="24"/>
        <v>0</v>
      </c>
      <c r="N115" s="51"/>
      <c r="O115" s="287"/>
      <c r="Q115" s="48"/>
      <c r="R115" s="48"/>
      <c r="S115" s="48"/>
      <c r="T115" s="48"/>
      <c r="U115" s="48"/>
      <c r="V115" s="48"/>
      <c r="W115" s="48"/>
      <c r="X115" s="48"/>
      <c r="Y115" s="48"/>
      <c r="Z115" s="48"/>
      <c r="AA115" s="48"/>
      <c r="AB115" s="48"/>
      <c r="AC115" s="48"/>
      <c r="AD115" s="48"/>
      <c r="AE115" s="48"/>
    </row>
    <row r="116" spans="1:31" outlineLevel="1">
      <c r="A116" s="412">
        <f>ROW()</f>
        <v>116</v>
      </c>
      <c r="B116" s="158"/>
      <c r="C116" s="125" t="s">
        <v>483</v>
      </c>
      <c r="D116" s="133">
        <v>0</v>
      </c>
      <c r="E116" s="1127"/>
      <c r="F116" s="1127"/>
      <c r="G116" s="601">
        <f t="shared" si="24"/>
        <v>0</v>
      </c>
      <c r="H116" s="601">
        <f t="shared" si="24"/>
        <v>0</v>
      </c>
      <c r="I116" s="601">
        <f t="shared" si="24"/>
        <v>0</v>
      </c>
      <c r="J116" s="601">
        <f t="shared" si="24"/>
        <v>0</v>
      </c>
      <c r="K116" s="601">
        <f t="shared" si="24"/>
        <v>0</v>
      </c>
      <c r="L116" s="601">
        <f t="shared" si="24"/>
        <v>0</v>
      </c>
      <c r="M116" s="601">
        <f t="shared" si="24"/>
        <v>0</v>
      </c>
      <c r="N116" s="51"/>
      <c r="O116" s="287"/>
      <c r="Q116" s="48"/>
      <c r="R116" s="48"/>
      <c r="S116" s="48"/>
      <c r="T116" s="48"/>
      <c r="U116" s="48"/>
      <c r="V116" s="48"/>
      <c r="W116" s="48"/>
      <c r="X116" s="48"/>
      <c r="Y116" s="48"/>
      <c r="Z116" s="48"/>
      <c r="AA116" s="48"/>
      <c r="AB116" s="48"/>
      <c r="AC116" s="48"/>
      <c r="AD116" s="48"/>
      <c r="AE116" s="48"/>
    </row>
    <row r="117" spans="1:31" outlineLevel="1">
      <c r="A117" s="412">
        <f>ROW()</f>
        <v>117</v>
      </c>
      <c r="B117" s="124"/>
      <c r="C117" s="125" t="s">
        <v>483</v>
      </c>
      <c r="D117" s="133">
        <v>0</v>
      </c>
      <c r="E117" s="1127"/>
      <c r="F117" s="1127"/>
      <c r="G117" s="601">
        <f t="shared" si="24"/>
        <v>0</v>
      </c>
      <c r="H117" s="601">
        <f t="shared" si="24"/>
        <v>0</v>
      </c>
      <c r="I117" s="601">
        <f t="shared" si="24"/>
        <v>0</v>
      </c>
      <c r="J117" s="601">
        <f t="shared" si="24"/>
        <v>0</v>
      </c>
      <c r="K117" s="601">
        <f t="shared" si="24"/>
        <v>0</v>
      </c>
      <c r="L117" s="601">
        <f t="shared" si="24"/>
        <v>0</v>
      </c>
      <c r="M117" s="601">
        <f t="shared" si="24"/>
        <v>0</v>
      </c>
      <c r="N117" s="51"/>
      <c r="O117" s="287"/>
      <c r="Q117" s="48"/>
      <c r="R117" s="48"/>
      <c r="S117" s="48"/>
      <c r="T117" s="48"/>
      <c r="U117" s="48"/>
      <c r="V117" s="48"/>
      <c r="W117" s="48"/>
      <c r="X117" s="48"/>
      <c r="Y117" s="48"/>
      <c r="Z117" s="48"/>
      <c r="AA117" s="48"/>
      <c r="AB117" s="48"/>
      <c r="AC117" s="48"/>
      <c r="AD117" s="48"/>
      <c r="AE117" s="48"/>
    </row>
    <row r="118" spans="1:31" outlineLevel="1">
      <c r="A118" s="412">
        <f>ROW()</f>
        <v>118</v>
      </c>
      <c r="B118" s="124"/>
      <c r="C118" s="125" t="s">
        <v>483</v>
      </c>
      <c r="D118" s="133">
        <v>0</v>
      </c>
      <c r="E118" s="1127"/>
      <c r="F118" s="1127"/>
      <c r="G118" s="601">
        <f t="shared" si="24"/>
        <v>0</v>
      </c>
      <c r="H118" s="601">
        <f t="shared" si="24"/>
        <v>0</v>
      </c>
      <c r="I118" s="601">
        <f t="shared" si="24"/>
        <v>0</v>
      </c>
      <c r="J118" s="601">
        <f t="shared" si="24"/>
        <v>0</v>
      </c>
      <c r="K118" s="601">
        <f t="shared" si="24"/>
        <v>0</v>
      </c>
      <c r="L118" s="601">
        <f t="shared" si="24"/>
        <v>0</v>
      </c>
      <c r="M118" s="601">
        <f t="shared" si="24"/>
        <v>0</v>
      </c>
      <c r="N118" s="51"/>
      <c r="O118" s="287"/>
      <c r="Q118" s="48"/>
      <c r="R118" s="48"/>
      <c r="S118" s="48"/>
      <c r="T118" s="48"/>
      <c r="U118" s="48"/>
      <c r="V118" s="48"/>
      <c r="W118" s="48"/>
      <c r="X118" s="48"/>
      <c r="Y118" s="48"/>
      <c r="Z118" s="48"/>
      <c r="AA118" s="48"/>
      <c r="AB118" s="48"/>
      <c r="AC118" s="48"/>
      <c r="AD118" s="48"/>
      <c r="AE118" s="48"/>
    </row>
    <row r="119" spans="1:31" outlineLevel="1">
      <c r="A119" s="412">
        <f>ROW()</f>
        <v>119</v>
      </c>
      <c r="B119" s="124"/>
      <c r="C119" s="125" t="s">
        <v>483</v>
      </c>
      <c r="D119" s="133">
        <v>0</v>
      </c>
      <c r="E119" s="1127"/>
      <c r="F119" s="1127"/>
      <c r="G119" s="601">
        <f t="shared" si="24"/>
        <v>0</v>
      </c>
      <c r="H119" s="601">
        <f t="shared" si="24"/>
        <v>0</v>
      </c>
      <c r="I119" s="601">
        <f t="shared" si="24"/>
        <v>0</v>
      </c>
      <c r="J119" s="601">
        <f t="shared" si="24"/>
        <v>0</v>
      </c>
      <c r="K119" s="601">
        <f t="shared" si="24"/>
        <v>0</v>
      </c>
      <c r="L119" s="601">
        <f t="shared" si="24"/>
        <v>0</v>
      </c>
      <c r="M119" s="601">
        <f t="shared" si="24"/>
        <v>0</v>
      </c>
      <c r="N119" s="51"/>
      <c r="O119" s="287"/>
      <c r="Q119" s="48"/>
      <c r="R119" s="48"/>
      <c r="S119" s="48"/>
      <c r="T119" s="48"/>
      <c r="U119" s="48"/>
      <c r="V119" s="48"/>
      <c r="W119" s="48"/>
      <c r="X119" s="48"/>
      <c r="Y119" s="48"/>
      <c r="Z119" s="48"/>
      <c r="AA119" s="48"/>
      <c r="AB119" s="48"/>
      <c r="AC119" s="48"/>
      <c r="AD119" s="48"/>
      <c r="AE119" s="48"/>
    </row>
    <row r="120" spans="1:31" outlineLevel="1">
      <c r="A120" s="412">
        <f>ROW()</f>
        <v>120</v>
      </c>
      <c r="B120" s="124"/>
      <c r="C120" s="125" t="s">
        <v>483</v>
      </c>
      <c r="D120" s="133">
        <v>0</v>
      </c>
      <c r="E120" s="1127"/>
      <c r="F120" s="1127"/>
      <c r="G120" s="601">
        <f t="shared" si="24"/>
        <v>0</v>
      </c>
      <c r="H120" s="601">
        <f t="shared" si="24"/>
        <v>0</v>
      </c>
      <c r="I120" s="601">
        <f t="shared" si="24"/>
        <v>0</v>
      </c>
      <c r="J120" s="601">
        <f t="shared" si="24"/>
        <v>0</v>
      </c>
      <c r="K120" s="601">
        <f t="shared" si="24"/>
        <v>0</v>
      </c>
      <c r="L120" s="601">
        <f t="shared" si="24"/>
        <v>0</v>
      </c>
      <c r="M120" s="601">
        <f t="shared" si="24"/>
        <v>0</v>
      </c>
      <c r="N120" s="51"/>
      <c r="O120" s="287"/>
      <c r="Q120" s="48"/>
      <c r="R120" s="48"/>
      <c r="S120" s="48"/>
      <c r="T120" s="48"/>
      <c r="U120" s="48"/>
      <c r="V120" s="48"/>
      <c r="W120" s="48"/>
      <c r="X120" s="48"/>
      <c r="Y120" s="48"/>
      <c r="Z120" s="48"/>
      <c r="AA120" s="48"/>
      <c r="AB120" s="48"/>
      <c r="AC120" s="48"/>
      <c r="AD120" s="48"/>
      <c r="AE120" s="48"/>
    </row>
    <row r="121" spans="1:31" outlineLevel="1">
      <c r="A121" s="412">
        <f>ROW()</f>
        <v>121</v>
      </c>
      <c r="B121" s="124"/>
      <c r="C121" s="125" t="s">
        <v>483</v>
      </c>
      <c r="D121" s="133">
        <v>0</v>
      </c>
      <c r="E121" s="1127"/>
      <c r="F121" s="1127"/>
      <c r="G121" s="601">
        <f t="shared" si="24"/>
        <v>0</v>
      </c>
      <c r="H121" s="601">
        <f t="shared" si="24"/>
        <v>0</v>
      </c>
      <c r="I121" s="601">
        <f t="shared" si="24"/>
        <v>0</v>
      </c>
      <c r="J121" s="601">
        <f t="shared" si="24"/>
        <v>0</v>
      </c>
      <c r="K121" s="601">
        <f t="shared" si="24"/>
        <v>0</v>
      </c>
      <c r="L121" s="601">
        <f t="shared" si="24"/>
        <v>0</v>
      </c>
      <c r="M121" s="601">
        <f t="shared" si="24"/>
        <v>0</v>
      </c>
      <c r="N121" s="51"/>
      <c r="O121" s="287"/>
      <c r="Q121" s="48"/>
      <c r="R121" s="48"/>
      <c r="S121" s="48"/>
      <c r="T121" s="48"/>
      <c r="U121" s="48"/>
      <c r="V121" s="48"/>
      <c r="W121" s="48"/>
      <c r="X121" s="48"/>
      <c r="Y121" s="48"/>
      <c r="Z121" s="48"/>
      <c r="AA121" s="48"/>
      <c r="AB121" s="48"/>
      <c r="AC121" s="48"/>
      <c r="AD121" s="48"/>
      <c r="AE121" s="48"/>
    </row>
    <row r="122" spans="1:31" outlineLevel="1">
      <c r="A122" s="412">
        <f>ROW()</f>
        <v>122</v>
      </c>
      <c r="B122" s="124"/>
      <c r="C122" s="125" t="s">
        <v>483</v>
      </c>
      <c r="D122" s="133"/>
      <c r="E122" s="1127"/>
      <c r="F122" s="1127"/>
      <c r="G122" s="603">
        <f t="shared" si="24"/>
        <v>0</v>
      </c>
      <c r="H122" s="603">
        <f t="shared" si="24"/>
        <v>0</v>
      </c>
      <c r="I122" s="603">
        <f t="shared" si="24"/>
        <v>0</v>
      </c>
      <c r="J122" s="603">
        <f t="shared" si="24"/>
        <v>0</v>
      </c>
      <c r="K122" s="603">
        <f t="shared" si="24"/>
        <v>0</v>
      </c>
      <c r="L122" s="603">
        <f t="shared" si="24"/>
        <v>0</v>
      </c>
      <c r="M122" s="603">
        <f t="shared" si="24"/>
        <v>0</v>
      </c>
      <c r="N122" s="51"/>
      <c r="O122" s="287"/>
      <c r="Q122" s="48"/>
      <c r="R122" s="48"/>
      <c r="S122" s="48"/>
      <c r="T122" s="48"/>
      <c r="U122" s="48"/>
      <c r="V122" s="48"/>
      <c r="W122" s="48"/>
      <c r="X122" s="48"/>
      <c r="Y122" s="48"/>
      <c r="Z122" s="48"/>
      <c r="AA122" s="48"/>
      <c r="AB122" s="48"/>
      <c r="AC122" s="48"/>
      <c r="AD122" s="48"/>
      <c r="AE122" s="48"/>
    </row>
    <row r="123" spans="1:31" outlineLevel="1">
      <c r="A123" s="412">
        <f>ROW()</f>
        <v>123</v>
      </c>
      <c r="B123" s="1132" t="s">
        <v>491</v>
      </c>
      <c r="C123" s="1132"/>
      <c r="D123" s="1132"/>
      <c r="E123" s="1132"/>
      <c r="F123" s="1132"/>
      <c r="G123" s="1142">
        <f t="shared" ref="G123:M123" si="25">SUM(G114:G122)</f>
        <v>0</v>
      </c>
      <c r="H123" s="1142">
        <f t="shared" si="25"/>
        <v>0.5</v>
      </c>
      <c r="I123" s="1135">
        <f t="shared" si="25"/>
        <v>0.5</v>
      </c>
      <c r="J123" s="1135">
        <f t="shared" si="25"/>
        <v>1</v>
      </c>
      <c r="K123" s="1135">
        <f t="shared" si="25"/>
        <v>1</v>
      </c>
      <c r="L123" s="1135">
        <f t="shared" si="25"/>
        <v>1</v>
      </c>
      <c r="M123" s="1135">
        <f t="shared" si="25"/>
        <v>1</v>
      </c>
      <c r="N123" s="51"/>
      <c r="O123" s="287"/>
      <c r="Q123" s="48"/>
      <c r="R123" s="48"/>
      <c r="S123" s="48"/>
      <c r="T123" s="48"/>
      <c r="U123" s="48"/>
      <c r="V123" s="48"/>
      <c r="W123" s="48"/>
      <c r="X123" s="48"/>
      <c r="Y123" s="48"/>
      <c r="Z123" s="48"/>
      <c r="AA123" s="48"/>
      <c r="AB123" s="48"/>
      <c r="AC123" s="48"/>
      <c r="AD123" s="48"/>
      <c r="AE123" s="48"/>
    </row>
    <row r="124" spans="1:31" outlineLevel="1">
      <c r="A124" s="412">
        <f>ROW()</f>
        <v>124</v>
      </c>
      <c r="B124" s="1032"/>
      <c r="C124" s="1032"/>
      <c r="D124" s="1032"/>
      <c r="E124" s="1032"/>
      <c r="F124" s="1032"/>
      <c r="G124" s="1646"/>
      <c r="H124" s="1646"/>
      <c r="I124" s="1646"/>
      <c r="J124" s="1646"/>
      <c r="K124" s="1646"/>
      <c r="L124" s="1646"/>
      <c r="M124" s="1646"/>
      <c r="N124" s="51"/>
      <c r="O124" s="287"/>
      <c r="Q124" s="48"/>
      <c r="R124" s="48"/>
      <c r="S124" s="48"/>
      <c r="T124" s="48"/>
      <c r="U124" s="48"/>
      <c r="V124" s="48"/>
      <c r="W124" s="48"/>
      <c r="X124" s="48"/>
      <c r="Y124" s="48"/>
      <c r="Z124" s="48"/>
      <c r="AA124" s="48"/>
      <c r="AB124" s="48"/>
      <c r="AC124" s="48"/>
      <c r="AD124" s="48"/>
      <c r="AE124" s="48"/>
    </row>
    <row r="125" spans="1:31" ht="15.6" outlineLevel="1">
      <c r="A125" s="412">
        <f>ROW()</f>
        <v>125</v>
      </c>
      <c r="B125" s="1145" t="s">
        <v>1268</v>
      </c>
      <c r="C125" s="1136"/>
      <c r="D125" s="1137"/>
      <c r="E125" s="1137"/>
      <c r="F125" s="1137"/>
      <c r="G125" s="1138"/>
      <c r="H125" s="1138"/>
      <c r="I125" s="1138"/>
      <c r="J125" s="1138"/>
      <c r="K125" s="1138"/>
      <c r="L125" s="1138"/>
      <c r="M125" s="1138"/>
      <c r="N125" s="51"/>
      <c r="O125" s="287"/>
      <c r="Q125" s="48"/>
      <c r="R125" s="48"/>
      <c r="S125" s="48"/>
      <c r="T125" s="48"/>
      <c r="U125" s="48"/>
      <c r="V125" s="48"/>
      <c r="W125" s="48"/>
      <c r="X125" s="48"/>
      <c r="Y125" s="48"/>
      <c r="Z125" s="48"/>
      <c r="AA125" s="48"/>
      <c r="AB125" s="48"/>
      <c r="AC125" s="48"/>
      <c r="AD125" s="48"/>
      <c r="AE125" s="48"/>
    </row>
    <row r="126" spans="1:31" outlineLevel="1">
      <c r="A126" s="412">
        <f>ROW()</f>
        <v>126</v>
      </c>
      <c r="B126" s="124" t="s">
        <v>1395</v>
      </c>
      <c r="C126" s="159">
        <v>2027</v>
      </c>
      <c r="D126" s="160">
        <v>60000</v>
      </c>
      <c r="E126" s="1127"/>
      <c r="F126" s="1127"/>
      <c r="G126" s="602">
        <f t="shared" ref="G126:M136" si="26">IF($C126&lt;=G$10,1,0)</f>
        <v>0</v>
      </c>
      <c r="H126" s="602">
        <f t="shared" si="26"/>
        <v>1</v>
      </c>
      <c r="I126" s="602">
        <f t="shared" si="26"/>
        <v>1</v>
      </c>
      <c r="J126" s="602">
        <f t="shared" si="26"/>
        <v>1</v>
      </c>
      <c r="K126" s="602">
        <f t="shared" si="26"/>
        <v>1</v>
      </c>
      <c r="L126" s="602">
        <f t="shared" si="26"/>
        <v>1</v>
      </c>
      <c r="M126" s="602">
        <f t="shared" si="26"/>
        <v>1</v>
      </c>
      <c r="N126" s="51"/>
      <c r="O126" s="287"/>
      <c r="Q126" s="48"/>
      <c r="R126" s="48"/>
      <c r="S126" s="48"/>
      <c r="T126" s="48"/>
      <c r="U126" s="48"/>
      <c r="V126" s="48"/>
      <c r="W126" s="48"/>
      <c r="X126" s="48"/>
      <c r="Y126" s="48"/>
      <c r="Z126" s="48"/>
      <c r="AA126" s="48"/>
      <c r="AB126" s="48"/>
      <c r="AC126" s="48"/>
      <c r="AD126" s="48"/>
      <c r="AE126" s="48"/>
    </row>
    <row r="127" spans="1:31" outlineLevel="1">
      <c r="A127" s="412">
        <f>ROW()</f>
        <v>127</v>
      </c>
      <c r="B127" s="124" t="s">
        <v>1396</v>
      </c>
      <c r="C127" s="125">
        <v>2029</v>
      </c>
      <c r="D127" s="133">
        <v>60000</v>
      </c>
      <c r="E127" s="1127"/>
      <c r="F127" s="1127"/>
      <c r="G127" s="601">
        <f t="shared" si="26"/>
        <v>0</v>
      </c>
      <c r="H127" s="601">
        <f t="shared" si="26"/>
        <v>0</v>
      </c>
      <c r="I127" s="601">
        <f t="shared" si="26"/>
        <v>0</v>
      </c>
      <c r="J127" s="601">
        <f t="shared" si="26"/>
        <v>1</v>
      </c>
      <c r="K127" s="601">
        <f t="shared" si="26"/>
        <v>1</v>
      </c>
      <c r="L127" s="601">
        <f t="shared" si="26"/>
        <v>1</v>
      </c>
      <c r="M127" s="601">
        <f t="shared" si="26"/>
        <v>1</v>
      </c>
      <c r="N127" s="51"/>
      <c r="O127" s="287"/>
      <c r="Q127" s="48"/>
      <c r="R127" s="48"/>
      <c r="S127" s="48"/>
      <c r="T127" s="48"/>
      <c r="U127" s="48"/>
      <c r="V127" s="48"/>
      <c r="W127" s="48"/>
      <c r="X127" s="48"/>
      <c r="Y127" s="48"/>
      <c r="Z127" s="48"/>
      <c r="AA127" s="48"/>
      <c r="AB127" s="48"/>
      <c r="AC127" s="48"/>
      <c r="AD127" s="48"/>
      <c r="AE127" s="48"/>
    </row>
    <row r="128" spans="1:31" outlineLevel="1">
      <c r="A128" s="412">
        <f>ROW()</f>
        <v>128</v>
      </c>
      <c r="B128" s="124" t="s">
        <v>1397</v>
      </c>
      <c r="C128" s="125">
        <v>2031</v>
      </c>
      <c r="D128" s="133">
        <v>60000</v>
      </c>
      <c r="E128" s="1127"/>
      <c r="F128" s="1127"/>
      <c r="G128" s="601">
        <f t="shared" si="26"/>
        <v>0</v>
      </c>
      <c r="H128" s="601">
        <f t="shared" si="26"/>
        <v>0</v>
      </c>
      <c r="I128" s="601">
        <f t="shared" si="26"/>
        <v>0</v>
      </c>
      <c r="J128" s="601">
        <f t="shared" si="26"/>
        <v>0</v>
      </c>
      <c r="K128" s="601">
        <f t="shared" si="26"/>
        <v>0</v>
      </c>
      <c r="L128" s="601">
        <f t="shared" si="26"/>
        <v>1</v>
      </c>
      <c r="M128" s="601">
        <f t="shared" si="26"/>
        <v>1</v>
      </c>
      <c r="N128" s="51"/>
      <c r="O128" s="287"/>
      <c r="Q128" s="48"/>
      <c r="R128" s="48"/>
      <c r="S128" s="48"/>
      <c r="T128" s="48"/>
      <c r="U128" s="48"/>
      <c r="V128" s="48"/>
      <c r="W128" s="48"/>
      <c r="X128" s="48"/>
      <c r="Y128" s="48"/>
      <c r="Z128" s="48"/>
      <c r="AA128" s="48"/>
      <c r="AB128" s="48"/>
      <c r="AC128" s="48"/>
      <c r="AD128" s="48"/>
      <c r="AE128" s="48"/>
    </row>
    <row r="129" spans="1:31" outlineLevel="1">
      <c r="A129" s="412">
        <f>ROW()</f>
        <v>129</v>
      </c>
      <c r="B129" s="124"/>
      <c r="C129" s="125" t="s">
        <v>483</v>
      </c>
      <c r="D129" s="133">
        <v>0</v>
      </c>
      <c r="E129" s="1127"/>
      <c r="F129" s="1127"/>
      <c r="G129" s="601">
        <f t="shared" si="26"/>
        <v>0</v>
      </c>
      <c r="H129" s="601">
        <f t="shared" si="26"/>
        <v>0</v>
      </c>
      <c r="I129" s="601">
        <f t="shared" si="26"/>
        <v>0</v>
      </c>
      <c r="J129" s="601">
        <f t="shared" si="26"/>
        <v>0</v>
      </c>
      <c r="K129" s="601">
        <f t="shared" si="26"/>
        <v>0</v>
      </c>
      <c r="L129" s="601">
        <f t="shared" si="26"/>
        <v>0</v>
      </c>
      <c r="M129" s="601">
        <f t="shared" si="26"/>
        <v>0</v>
      </c>
      <c r="N129" s="51"/>
      <c r="O129" s="287"/>
      <c r="Q129" s="48"/>
      <c r="R129" s="48"/>
      <c r="S129" s="48"/>
      <c r="T129" s="48"/>
      <c r="U129" s="48"/>
      <c r="V129" s="48"/>
      <c r="W129" s="48"/>
      <c r="X129" s="48"/>
      <c r="Y129" s="48"/>
      <c r="Z129" s="48"/>
      <c r="AA129" s="48"/>
      <c r="AB129" s="48"/>
      <c r="AC129" s="48"/>
      <c r="AD129" s="48"/>
      <c r="AE129" s="48"/>
    </row>
    <row r="130" spans="1:31" outlineLevel="1">
      <c r="A130" s="412">
        <f>ROW()</f>
        <v>130</v>
      </c>
      <c r="B130" s="124"/>
      <c r="C130" s="125" t="s">
        <v>483</v>
      </c>
      <c r="D130" s="133">
        <v>0</v>
      </c>
      <c r="E130" s="1127"/>
      <c r="F130" s="1127"/>
      <c r="G130" s="601">
        <f t="shared" si="26"/>
        <v>0</v>
      </c>
      <c r="H130" s="601">
        <f t="shared" si="26"/>
        <v>0</v>
      </c>
      <c r="I130" s="601">
        <f t="shared" si="26"/>
        <v>0</v>
      </c>
      <c r="J130" s="601">
        <f t="shared" si="26"/>
        <v>0</v>
      </c>
      <c r="K130" s="601">
        <f t="shared" si="26"/>
        <v>0</v>
      </c>
      <c r="L130" s="601">
        <f t="shared" si="26"/>
        <v>0</v>
      </c>
      <c r="M130" s="601">
        <f t="shared" si="26"/>
        <v>0</v>
      </c>
      <c r="N130" s="51"/>
      <c r="O130" s="287"/>
      <c r="Q130" s="48"/>
      <c r="R130" s="48"/>
      <c r="S130" s="48"/>
      <c r="T130" s="48"/>
      <c r="U130" s="48"/>
      <c r="V130" s="48"/>
      <c r="W130" s="48"/>
      <c r="X130" s="48"/>
      <c r="Y130" s="48"/>
      <c r="Z130" s="48"/>
      <c r="AA130" s="48"/>
      <c r="AB130" s="48"/>
      <c r="AC130" s="48"/>
      <c r="AD130" s="48"/>
      <c r="AE130" s="48"/>
    </row>
    <row r="131" spans="1:31" outlineLevel="1">
      <c r="A131" s="412">
        <f>ROW()</f>
        <v>131</v>
      </c>
      <c r="B131" s="124"/>
      <c r="C131" s="125" t="s">
        <v>483</v>
      </c>
      <c r="D131" s="133">
        <v>0</v>
      </c>
      <c r="E131" s="1127"/>
      <c r="F131" s="1127"/>
      <c r="G131" s="601">
        <f t="shared" si="26"/>
        <v>0</v>
      </c>
      <c r="H131" s="601">
        <f t="shared" si="26"/>
        <v>0</v>
      </c>
      <c r="I131" s="601">
        <f t="shared" si="26"/>
        <v>0</v>
      </c>
      <c r="J131" s="601">
        <f t="shared" si="26"/>
        <v>0</v>
      </c>
      <c r="K131" s="601">
        <f t="shared" si="26"/>
        <v>0</v>
      </c>
      <c r="L131" s="601">
        <f t="shared" si="26"/>
        <v>0</v>
      </c>
      <c r="M131" s="601">
        <f t="shared" si="26"/>
        <v>0</v>
      </c>
      <c r="N131" s="51"/>
      <c r="O131" s="287"/>
      <c r="Q131" s="48"/>
      <c r="R131" s="48"/>
      <c r="S131" s="48"/>
      <c r="T131" s="48"/>
      <c r="U131" s="48"/>
      <c r="V131" s="48"/>
      <c r="W131" s="48"/>
      <c r="X131" s="48"/>
      <c r="Y131" s="48"/>
      <c r="Z131" s="48"/>
      <c r="AA131" s="48"/>
      <c r="AB131" s="48"/>
      <c r="AC131" s="48"/>
      <c r="AD131" s="48"/>
      <c r="AE131" s="48"/>
    </row>
    <row r="132" spans="1:31" outlineLevel="1">
      <c r="A132" s="412">
        <f>ROW()</f>
        <v>132</v>
      </c>
      <c r="B132" s="124"/>
      <c r="C132" s="125" t="s">
        <v>483</v>
      </c>
      <c r="D132" s="133">
        <v>0</v>
      </c>
      <c r="E132" s="1127"/>
      <c r="F132" s="1127"/>
      <c r="G132" s="601">
        <f t="shared" si="26"/>
        <v>0</v>
      </c>
      <c r="H132" s="601">
        <f t="shared" si="26"/>
        <v>0</v>
      </c>
      <c r="I132" s="601">
        <f t="shared" si="26"/>
        <v>0</v>
      </c>
      <c r="J132" s="601">
        <f t="shared" si="26"/>
        <v>0</v>
      </c>
      <c r="K132" s="601">
        <f t="shared" si="26"/>
        <v>0</v>
      </c>
      <c r="L132" s="601">
        <f t="shared" si="26"/>
        <v>0</v>
      </c>
      <c r="M132" s="601">
        <f t="shared" si="26"/>
        <v>0</v>
      </c>
      <c r="N132" s="51"/>
      <c r="O132" s="287"/>
      <c r="Q132" s="48"/>
      <c r="R132" s="48"/>
      <c r="S132" s="48"/>
      <c r="T132" s="48"/>
      <c r="U132" s="48"/>
      <c r="V132" s="48"/>
      <c r="W132" s="48"/>
      <c r="X132" s="48"/>
      <c r="Y132" s="48"/>
      <c r="Z132" s="48"/>
      <c r="AA132" s="48"/>
      <c r="AB132" s="48"/>
      <c r="AC132" s="48"/>
      <c r="AD132" s="48"/>
      <c r="AE132" s="48"/>
    </row>
    <row r="133" spans="1:31" outlineLevel="1">
      <c r="A133" s="412">
        <f>ROW()</f>
        <v>133</v>
      </c>
      <c r="B133" s="124"/>
      <c r="C133" s="125" t="s">
        <v>483</v>
      </c>
      <c r="D133" s="133">
        <v>0</v>
      </c>
      <c r="E133" s="1127"/>
      <c r="F133" s="1127"/>
      <c r="G133" s="601">
        <f t="shared" si="26"/>
        <v>0</v>
      </c>
      <c r="H133" s="601">
        <f t="shared" si="26"/>
        <v>0</v>
      </c>
      <c r="I133" s="601">
        <f t="shared" si="26"/>
        <v>0</v>
      </c>
      <c r="J133" s="601">
        <f t="shared" si="26"/>
        <v>0</v>
      </c>
      <c r="K133" s="601">
        <f t="shared" si="26"/>
        <v>0</v>
      </c>
      <c r="L133" s="601">
        <f t="shared" si="26"/>
        <v>0</v>
      </c>
      <c r="M133" s="601">
        <f t="shared" si="26"/>
        <v>0</v>
      </c>
      <c r="N133" s="51"/>
      <c r="O133" s="287"/>
      <c r="Q133" s="48"/>
      <c r="R133" s="48"/>
      <c r="S133" s="48"/>
      <c r="T133" s="48"/>
      <c r="U133" s="48"/>
      <c r="V133" s="48"/>
      <c r="W133" s="48"/>
      <c r="X133" s="48"/>
      <c r="Y133" s="48"/>
      <c r="Z133" s="48"/>
      <c r="AA133" s="48"/>
      <c r="AB133" s="48"/>
      <c r="AC133" s="48"/>
      <c r="AD133" s="48"/>
      <c r="AE133" s="48"/>
    </row>
    <row r="134" spans="1:31" outlineLevel="1">
      <c r="A134" s="412">
        <f>ROW()</f>
        <v>134</v>
      </c>
      <c r="B134" s="124"/>
      <c r="C134" s="125" t="s">
        <v>483</v>
      </c>
      <c r="D134" s="133">
        <v>0</v>
      </c>
      <c r="E134" s="1127"/>
      <c r="F134" s="1127"/>
      <c r="G134" s="601">
        <f t="shared" si="26"/>
        <v>0</v>
      </c>
      <c r="H134" s="601">
        <f t="shared" si="26"/>
        <v>0</v>
      </c>
      <c r="I134" s="601">
        <f t="shared" si="26"/>
        <v>0</v>
      </c>
      <c r="J134" s="601">
        <f t="shared" si="26"/>
        <v>0</v>
      </c>
      <c r="K134" s="601">
        <f t="shared" si="26"/>
        <v>0</v>
      </c>
      <c r="L134" s="601">
        <f t="shared" si="26"/>
        <v>0</v>
      </c>
      <c r="M134" s="601">
        <f t="shared" si="26"/>
        <v>0</v>
      </c>
      <c r="N134" s="51"/>
      <c r="O134" s="287"/>
      <c r="Q134" s="48"/>
      <c r="R134" s="48"/>
      <c r="S134" s="48"/>
      <c r="T134" s="48"/>
      <c r="U134" s="48"/>
      <c r="V134" s="48"/>
      <c r="W134" s="48"/>
      <c r="X134" s="48"/>
      <c r="Y134" s="48"/>
      <c r="Z134" s="48"/>
      <c r="AA134" s="48"/>
      <c r="AB134" s="48"/>
      <c r="AC134" s="48"/>
      <c r="AD134" s="48"/>
      <c r="AE134" s="48"/>
    </row>
    <row r="135" spans="1:31" outlineLevel="1">
      <c r="A135" s="412">
        <f>ROW()</f>
        <v>135</v>
      </c>
      <c r="B135" s="124"/>
      <c r="C135" s="125" t="s">
        <v>483</v>
      </c>
      <c r="D135" s="133">
        <v>0</v>
      </c>
      <c r="E135" s="1127"/>
      <c r="F135" s="1127"/>
      <c r="G135" s="601">
        <f t="shared" si="26"/>
        <v>0</v>
      </c>
      <c r="H135" s="601">
        <f t="shared" si="26"/>
        <v>0</v>
      </c>
      <c r="I135" s="601">
        <f t="shared" si="26"/>
        <v>0</v>
      </c>
      <c r="J135" s="601">
        <f t="shared" si="26"/>
        <v>0</v>
      </c>
      <c r="K135" s="601">
        <f t="shared" si="26"/>
        <v>0</v>
      </c>
      <c r="L135" s="601">
        <f t="shared" si="26"/>
        <v>0</v>
      </c>
      <c r="M135" s="601">
        <f t="shared" si="26"/>
        <v>0</v>
      </c>
      <c r="N135" s="51"/>
      <c r="O135" s="287"/>
      <c r="Q135" s="48"/>
      <c r="R135" s="48"/>
      <c r="S135" s="48"/>
      <c r="T135" s="48"/>
      <c r="U135" s="48"/>
      <c r="V135" s="48"/>
      <c r="W135" s="48"/>
      <c r="X135" s="48"/>
      <c r="Y135" s="48"/>
      <c r="Z135" s="48"/>
      <c r="AA135" s="48"/>
      <c r="AB135" s="48"/>
      <c r="AC135" s="48"/>
      <c r="AD135" s="48"/>
      <c r="AE135" s="48"/>
    </row>
    <row r="136" spans="1:31" outlineLevel="1">
      <c r="A136" s="412">
        <f>ROW()</f>
        <v>136</v>
      </c>
      <c r="B136" s="124"/>
      <c r="C136" s="125" t="s">
        <v>483</v>
      </c>
      <c r="D136" s="133"/>
      <c r="E136" s="1127"/>
      <c r="F136" s="1127"/>
      <c r="G136" s="603">
        <f t="shared" si="26"/>
        <v>0</v>
      </c>
      <c r="H136" s="603">
        <f t="shared" si="26"/>
        <v>0</v>
      </c>
      <c r="I136" s="603">
        <f t="shared" si="26"/>
        <v>0</v>
      </c>
      <c r="J136" s="603">
        <f t="shared" si="26"/>
        <v>0</v>
      </c>
      <c r="K136" s="603">
        <f t="shared" si="26"/>
        <v>0</v>
      </c>
      <c r="L136" s="603">
        <f t="shared" si="26"/>
        <v>0</v>
      </c>
      <c r="M136" s="603">
        <f t="shared" si="26"/>
        <v>0</v>
      </c>
      <c r="N136" s="51"/>
      <c r="O136" s="287"/>
      <c r="Q136" s="48"/>
      <c r="R136" s="48"/>
      <c r="S136" s="48"/>
      <c r="T136" s="48"/>
      <c r="U136" s="48"/>
      <c r="V136" s="48"/>
      <c r="W136" s="48"/>
      <c r="X136" s="48"/>
      <c r="Y136" s="48"/>
      <c r="Z136" s="48"/>
      <c r="AA136" s="48"/>
      <c r="AB136" s="48"/>
      <c r="AC136" s="48"/>
      <c r="AD136" s="48"/>
      <c r="AE136" s="48"/>
    </row>
    <row r="137" spans="1:31" outlineLevel="1">
      <c r="A137" s="412">
        <f>ROW()</f>
        <v>137</v>
      </c>
      <c r="B137" s="106" t="s">
        <v>1269</v>
      </c>
      <c r="C137" s="106"/>
      <c r="D137" s="106"/>
      <c r="E137" s="106"/>
      <c r="F137" s="106"/>
      <c r="G137" s="967">
        <f t="shared" ref="G137:M137" si="27">SUM(G126:G136)</f>
        <v>0</v>
      </c>
      <c r="H137" s="967">
        <f t="shared" si="27"/>
        <v>1</v>
      </c>
      <c r="I137" s="288">
        <f t="shared" si="27"/>
        <v>1</v>
      </c>
      <c r="J137" s="288">
        <f t="shared" si="27"/>
        <v>2</v>
      </c>
      <c r="K137" s="288">
        <f t="shared" si="27"/>
        <v>2</v>
      </c>
      <c r="L137" s="288">
        <f t="shared" si="27"/>
        <v>3</v>
      </c>
      <c r="M137" s="288">
        <f t="shared" si="27"/>
        <v>3</v>
      </c>
      <c r="N137" s="51"/>
      <c r="O137" s="287"/>
      <c r="Q137" s="48"/>
      <c r="R137" s="48"/>
      <c r="S137" s="48"/>
      <c r="T137" s="48"/>
      <c r="U137" s="48"/>
      <c r="V137" s="48"/>
      <c r="W137" s="48"/>
      <c r="X137" s="48"/>
      <c r="Y137" s="48"/>
      <c r="Z137" s="48"/>
      <c r="AA137" s="48"/>
      <c r="AB137" s="48"/>
      <c r="AC137" s="48"/>
      <c r="AD137" s="48"/>
      <c r="AE137" s="48"/>
    </row>
    <row r="138" spans="1:31" outlineLevel="1">
      <c r="A138" s="412">
        <f>ROW()</f>
        <v>138</v>
      </c>
      <c r="G138" s="51"/>
      <c r="H138" s="51"/>
      <c r="I138" s="51"/>
      <c r="J138" s="51"/>
      <c r="K138" s="51"/>
      <c r="L138" s="51"/>
      <c r="M138" s="51"/>
      <c r="N138" s="51"/>
      <c r="O138" s="287"/>
      <c r="Q138" s="48"/>
      <c r="R138" s="48"/>
      <c r="S138" s="48"/>
      <c r="T138" s="48"/>
      <c r="U138" s="48"/>
      <c r="V138" s="48"/>
      <c r="W138" s="48"/>
      <c r="X138" s="48"/>
      <c r="Y138" s="48"/>
      <c r="Z138" s="48"/>
      <c r="AA138" s="48"/>
      <c r="AB138" s="48"/>
      <c r="AC138" s="48"/>
      <c r="AD138" s="48"/>
      <c r="AE138" s="48"/>
    </row>
    <row r="139" spans="1:31" outlineLevel="1">
      <c r="A139" s="412">
        <f>ROW()</f>
        <v>139</v>
      </c>
      <c r="B139" s="106" t="s">
        <v>492</v>
      </c>
      <c r="C139" s="106"/>
      <c r="D139" s="106"/>
      <c r="E139" s="106"/>
      <c r="F139" s="106"/>
      <c r="G139" s="967">
        <f t="shared" ref="G139:M139" si="28">+G109+G123+G137</f>
        <v>0</v>
      </c>
      <c r="H139" s="967">
        <f t="shared" si="28"/>
        <v>2.5</v>
      </c>
      <c r="I139" s="288">
        <f t="shared" si="28"/>
        <v>3.5</v>
      </c>
      <c r="J139" s="288">
        <f t="shared" si="28"/>
        <v>5</v>
      </c>
      <c r="K139" s="288">
        <f t="shared" si="28"/>
        <v>6</v>
      </c>
      <c r="L139" s="288">
        <f t="shared" si="28"/>
        <v>7</v>
      </c>
      <c r="M139" s="288">
        <f t="shared" si="28"/>
        <v>7</v>
      </c>
      <c r="N139" s="51"/>
      <c r="O139" s="287"/>
      <c r="Q139" s="48"/>
      <c r="R139" s="48"/>
      <c r="S139" s="48"/>
      <c r="T139" s="48"/>
      <c r="U139" s="48"/>
      <c r="V139" s="48"/>
      <c r="W139" s="48"/>
      <c r="X139" s="48"/>
      <c r="Y139" s="48"/>
      <c r="Z139" s="48"/>
      <c r="AA139" s="48"/>
      <c r="AB139" s="48"/>
      <c r="AC139" s="48"/>
      <c r="AD139" s="48"/>
      <c r="AE139" s="48"/>
    </row>
    <row r="140" spans="1:31" outlineLevel="1">
      <c r="A140" s="412">
        <f>ROW()</f>
        <v>140</v>
      </c>
      <c r="B140" s="106" t="s">
        <v>493</v>
      </c>
      <c r="C140" s="106"/>
      <c r="D140" s="106"/>
      <c r="E140" s="106"/>
      <c r="F140" s="106"/>
      <c r="G140" s="288">
        <f t="shared" ref="G140:M140" si="29">+G139+G97</f>
        <v>0</v>
      </c>
      <c r="H140" s="288">
        <f t="shared" si="29"/>
        <v>5.5</v>
      </c>
      <c r="I140" s="288">
        <f t="shared" si="29"/>
        <v>7.5</v>
      </c>
      <c r="J140" s="288">
        <f t="shared" si="29"/>
        <v>9</v>
      </c>
      <c r="K140" s="288">
        <f t="shared" si="29"/>
        <v>10</v>
      </c>
      <c r="L140" s="288">
        <f t="shared" si="29"/>
        <v>11</v>
      </c>
      <c r="M140" s="288">
        <f t="shared" si="29"/>
        <v>11</v>
      </c>
      <c r="N140" s="51"/>
      <c r="O140" s="287"/>
      <c r="Q140" s="48"/>
      <c r="R140" s="48"/>
      <c r="S140" s="48"/>
      <c r="T140" s="48"/>
      <c r="U140" s="48"/>
      <c r="V140" s="48"/>
      <c r="W140" s="48"/>
      <c r="X140" s="48"/>
      <c r="Y140" s="48"/>
      <c r="Z140" s="48"/>
      <c r="AA140" s="48"/>
      <c r="AB140" s="48"/>
      <c r="AC140" s="48"/>
      <c r="AD140" s="48"/>
      <c r="AE140" s="48"/>
    </row>
    <row r="141" spans="1:31" outlineLevel="1">
      <c r="A141" s="412">
        <f>ROW()</f>
        <v>141</v>
      </c>
      <c r="G141" s="30"/>
      <c r="M141" s="51"/>
      <c r="N141" s="51"/>
      <c r="O141" s="287"/>
      <c r="Q141" s="48"/>
      <c r="R141" s="48"/>
      <c r="S141" s="48"/>
      <c r="T141" s="48"/>
      <c r="U141" s="48"/>
      <c r="V141" s="48"/>
      <c r="W141" s="48"/>
      <c r="X141" s="48"/>
      <c r="Y141" s="48"/>
      <c r="Z141" s="48"/>
      <c r="AA141" s="48"/>
      <c r="AB141" s="48"/>
      <c r="AC141" s="48"/>
      <c r="AD141" s="48"/>
      <c r="AE141" s="48"/>
    </row>
    <row r="142" spans="1:31" ht="15.6" outlineLevel="1">
      <c r="A142" s="412">
        <f>ROW()</f>
        <v>142</v>
      </c>
      <c r="B142" s="145" t="s">
        <v>1270</v>
      </c>
      <c r="C142" s="58"/>
      <c r="D142" s="58"/>
      <c r="E142" s="58"/>
      <c r="F142" s="58"/>
      <c r="G142" s="1307"/>
      <c r="H142" s="58"/>
      <c r="I142" s="58"/>
      <c r="J142" s="58"/>
      <c r="K142" s="58"/>
      <c r="L142" s="58"/>
      <c r="M142" s="146"/>
      <c r="N142" s="51"/>
      <c r="O142" s="287"/>
      <c r="Q142" s="48"/>
      <c r="R142" s="48"/>
      <c r="S142" s="48"/>
      <c r="T142" s="48"/>
      <c r="U142" s="48"/>
      <c r="V142" s="48"/>
      <c r="W142" s="48"/>
      <c r="X142" s="48"/>
      <c r="Y142" s="48"/>
      <c r="Z142" s="48"/>
      <c r="AA142" s="48"/>
      <c r="AB142" s="48"/>
      <c r="AC142" s="48"/>
      <c r="AD142" s="48"/>
      <c r="AE142" s="48"/>
    </row>
    <row r="143" spans="1:31" outlineLevel="1">
      <c r="A143" s="412">
        <f>ROW()</f>
        <v>143</v>
      </c>
      <c r="B143" s="81" t="s">
        <v>494</v>
      </c>
      <c r="C143" s="31"/>
      <c r="D143" s="31" t="s">
        <v>495</v>
      </c>
      <c r="E143" s="31" t="s">
        <v>479</v>
      </c>
      <c r="F143" s="81" t="s">
        <v>1271</v>
      </c>
      <c r="G143" s="81" t="s">
        <v>496</v>
      </c>
      <c r="H143" s="99"/>
      <c r="I143" s="81"/>
      <c r="J143" s="81"/>
      <c r="L143" s="51"/>
      <c r="N143" s="51"/>
      <c r="O143" s="287"/>
      <c r="Q143" s="48"/>
      <c r="R143" s="48"/>
      <c r="S143" s="48"/>
      <c r="T143" s="48"/>
      <c r="U143" s="48"/>
      <c r="V143" s="48"/>
      <c r="W143" s="48"/>
      <c r="X143" s="48"/>
      <c r="Y143" s="48"/>
      <c r="Z143" s="48"/>
      <c r="AA143" s="48"/>
      <c r="AB143" s="48"/>
      <c r="AC143" s="48"/>
      <c r="AD143" s="48"/>
      <c r="AE143" s="48"/>
    </row>
    <row r="144" spans="1:31" outlineLevel="1">
      <c r="A144" s="412">
        <f>ROW()</f>
        <v>144</v>
      </c>
      <c r="B144" s="69" t="s">
        <v>480</v>
      </c>
      <c r="C144" s="53"/>
      <c r="D144" s="53">
        <f>' Enrol &amp; Rev'!$G$10</f>
        <v>2026</v>
      </c>
      <c r="E144" s="1307"/>
      <c r="F144" s="1307"/>
      <c r="G144" s="58"/>
      <c r="H144" s="58"/>
      <c r="I144" s="131"/>
      <c r="J144" s="131"/>
      <c r="K144" s="131"/>
      <c r="L144" s="146"/>
      <c r="M144" s="58"/>
      <c r="N144" s="51"/>
      <c r="O144" s="287"/>
      <c r="Q144" s="48"/>
      <c r="R144" s="48"/>
      <c r="S144" s="48"/>
      <c r="T144" s="48"/>
      <c r="U144" s="48"/>
      <c r="V144" s="48"/>
      <c r="W144" s="48"/>
      <c r="X144" s="48"/>
      <c r="Y144" s="48"/>
      <c r="Z144" s="48"/>
      <c r="AA144" s="48"/>
      <c r="AB144" s="48"/>
      <c r="AC144" s="48"/>
      <c r="AD144" s="48"/>
      <c r="AE144" s="48"/>
    </row>
    <row r="145" spans="1:31" outlineLevel="1">
      <c r="A145" s="412">
        <f>ROW()</f>
        <v>145</v>
      </c>
      <c r="C145" s="40"/>
      <c r="D145" s="40"/>
      <c r="E145" s="30"/>
      <c r="F145" s="30"/>
      <c r="L145" s="51"/>
      <c r="N145" s="51"/>
      <c r="O145" s="287"/>
      <c r="Q145" s="48"/>
      <c r="R145" s="48"/>
      <c r="S145" s="48"/>
      <c r="T145" s="48"/>
      <c r="U145" s="48"/>
      <c r="V145" s="48"/>
      <c r="W145" s="48"/>
      <c r="X145" s="48"/>
      <c r="Y145" s="48"/>
      <c r="Z145" s="48"/>
      <c r="AA145" s="48"/>
      <c r="AB145" s="48"/>
      <c r="AC145" s="48"/>
      <c r="AD145" s="48"/>
      <c r="AE145" s="48"/>
    </row>
    <row r="146" spans="1:31" outlineLevel="1">
      <c r="A146" s="412">
        <f>ROW()</f>
        <v>146</v>
      </c>
      <c r="B146" s="161" t="s">
        <v>1398</v>
      </c>
      <c r="C146" s="130">
        <v>2027</v>
      </c>
      <c r="D146" s="130" t="s">
        <v>497</v>
      </c>
      <c r="E146" s="269">
        <v>60000</v>
      </c>
      <c r="F146" s="162"/>
      <c r="G146" s="601">
        <f>IF($D146&lt;=G$10,1,0)</f>
        <v>0</v>
      </c>
      <c r="H146" s="601">
        <v>2</v>
      </c>
      <c r="I146" s="601">
        <v>2</v>
      </c>
      <c r="J146" s="601">
        <v>2</v>
      </c>
      <c r="K146" s="601">
        <v>2</v>
      </c>
      <c r="L146" s="601">
        <v>2</v>
      </c>
      <c r="M146" s="601">
        <v>2</v>
      </c>
      <c r="O146" s="287"/>
      <c r="Q146" s="48"/>
      <c r="R146" s="48"/>
      <c r="S146" s="48"/>
      <c r="T146" s="48"/>
      <c r="U146" s="48"/>
      <c r="V146" s="48"/>
      <c r="W146" s="48"/>
      <c r="X146" s="48"/>
      <c r="Y146" s="48"/>
      <c r="Z146" s="48"/>
      <c r="AA146" s="48"/>
      <c r="AB146" s="48"/>
      <c r="AC146" s="48"/>
      <c r="AD146" s="48"/>
      <c r="AE146" s="48"/>
    </row>
    <row r="147" spans="1:31" outlineLevel="1">
      <c r="A147" s="412">
        <f>ROW()</f>
        <v>147</v>
      </c>
      <c r="B147" s="161" t="s">
        <v>1401</v>
      </c>
      <c r="C147" s="130">
        <v>2027</v>
      </c>
      <c r="D147" s="130" t="s">
        <v>497</v>
      </c>
      <c r="E147" s="269">
        <v>60000</v>
      </c>
      <c r="F147" s="162"/>
      <c r="G147" s="601">
        <f>IF($D147&lt;=G$10,1,0)</f>
        <v>0</v>
      </c>
      <c r="H147" s="601">
        <v>2</v>
      </c>
      <c r="I147" s="601">
        <v>2</v>
      </c>
      <c r="J147" s="601">
        <v>2</v>
      </c>
      <c r="K147" s="601">
        <v>2</v>
      </c>
      <c r="L147" s="601">
        <v>2</v>
      </c>
      <c r="M147" s="601">
        <v>2</v>
      </c>
      <c r="O147" s="287"/>
      <c r="Q147" s="48"/>
      <c r="R147" s="48"/>
      <c r="S147" s="48"/>
      <c r="T147" s="48"/>
      <c r="U147" s="48"/>
      <c r="V147" s="48"/>
      <c r="W147" s="48"/>
      <c r="X147" s="48"/>
      <c r="Y147" s="48"/>
      <c r="Z147" s="48"/>
      <c r="AA147" s="48"/>
      <c r="AB147" s="48"/>
      <c r="AC147" s="48"/>
      <c r="AD147" s="48"/>
      <c r="AE147" s="48"/>
    </row>
    <row r="148" spans="1:31" outlineLevel="1">
      <c r="A148" s="412">
        <f>ROW()</f>
        <v>148</v>
      </c>
      <c r="B148" s="161" t="s">
        <v>1399</v>
      </c>
      <c r="C148" s="130">
        <v>2027</v>
      </c>
      <c r="D148" s="130" t="s">
        <v>497</v>
      </c>
      <c r="E148" s="269">
        <v>60000</v>
      </c>
      <c r="F148" s="162"/>
      <c r="G148" s="601">
        <f>IF($D148&lt;=G$10,1,0)</f>
        <v>0</v>
      </c>
      <c r="H148" s="601">
        <v>1</v>
      </c>
      <c r="I148" s="601">
        <v>1</v>
      </c>
      <c r="J148" s="601">
        <v>1</v>
      </c>
      <c r="K148" s="601">
        <v>1</v>
      </c>
      <c r="L148" s="601">
        <v>1</v>
      </c>
      <c r="M148" s="601">
        <v>1</v>
      </c>
      <c r="O148" s="287"/>
      <c r="Q148" s="48"/>
      <c r="R148" s="48"/>
      <c r="S148" s="48"/>
      <c r="T148" s="48"/>
      <c r="U148" s="48"/>
      <c r="V148" s="48"/>
      <c r="W148" s="48"/>
      <c r="X148" s="48"/>
      <c r="Y148" s="48"/>
      <c r="Z148" s="48"/>
      <c r="AA148" s="48"/>
      <c r="AB148" s="48"/>
      <c r="AC148" s="48"/>
      <c r="AD148" s="48"/>
      <c r="AE148" s="48"/>
    </row>
    <row r="149" spans="1:31" outlineLevel="1">
      <c r="A149" s="412">
        <f>ROW()</f>
        <v>149</v>
      </c>
      <c r="B149" s="1118"/>
      <c r="C149" s="1119"/>
      <c r="D149" s="1119"/>
      <c r="E149" s="1120"/>
      <c r="F149" s="1121"/>
      <c r="G149" s="119"/>
      <c r="H149" s="119"/>
      <c r="I149" s="119"/>
      <c r="J149" s="119"/>
      <c r="K149" s="119"/>
      <c r="L149" s="119"/>
      <c r="M149" s="119"/>
      <c r="O149" s="287"/>
      <c r="Q149" s="48"/>
      <c r="R149" s="48"/>
      <c r="S149" s="48"/>
      <c r="T149" s="48"/>
      <c r="U149" s="48"/>
      <c r="V149" s="48"/>
      <c r="W149" s="48"/>
      <c r="X149" s="48"/>
      <c r="Y149" s="48"/>
      <c r="Z149" s="48"/>
      <c r="AA149" s="48"/>
      <c r="AB149" s="48"/>
      <c r="AC149" s="48"/>
      <c r="AD149" s="48"/>
      <c r="AE149" s="48"/>
    </row>
    <row r="150" spans="1:31" outlineLevel="1">
      <c r="A150" s="412">
        <f>ROW()</f>
        <v>150</v>
      </c>
      <c r="B150" s="161" t="s">
        <v>1400</v>
      </c>
      <c r="C150" s="130">
        <v>2027</v>
      </c>
      <c r="D150" s="130" t="s">
        <v>497</v>
      </c>
      <c r="E150" s="269">
        <v>60000</v>
      </c>
      <c r="F150" s="162"/>
      <c r="G150" s="601">
        <f t="shared" ref="G150:H154" si="30">IF($D150&lt;=G$10,1,0)</f>
        <v>0</v>
      </c>
      <c r="H150" s="601">
        <v>1</v>
      </c>
      <c r="I150" s="601">
        <v>1</v>
      </c>
      <c r="J150" s="601">
        <v>1</v>
      </c>
      <c r="K150" s="601">
        <v>1</v>
      </c>
      <c r="L150" s="601">
        <v>1</v>
      </c>
      <c r="M150" s="601">
        <v>1</v>
      </c>
      <c r="O150" s="287"/>
      <c r="Q150" s="48"/>
      <c r="R150" s="48"/>
      <c r="S150" s="48"/>
      <c r="T150" s="48"/>
      <c r="U150" s="48"/>
      <c r="V150" s="48"/>
      <c r="W150" s="48"/>
      <c r="X150" s="48"/>
      <c r="Y150" s="48"/>
      <c r="Z150" s="48"/>
      <c r="AA150" s="48"/>
      <c r="AB150" s="48"/>
      <c r="AC150" s="48"/>
      <c r="AD150" s="48"/>
      <c r="AE150" s="48"/>
    </row>
    <row r="151" spans="1:31" outlineLevel="1">
      <c r="A151" s="412">
        <f>ROW()</f>
        <v>151</v>
      </c>
      <c r="B151" s="161" t="s">
        <v>1406</v>
      </c>
      <c r="C151" s="130">
        <v>2027</v>
      </c>
      <c r="D151" s="130" t="s">
        <v>497</v>
      </c>
      <c r="E151" s="269">
        <v>60000</v>
      </c>
      <c r="F151" s="162"/>
      <c r="G151" s="601">
        <f t="shared" si="30"/>
        <v>0</v>
      </c>
      <c r="H151" s="601">
        <v>3</v>
      </c>
      <c r="I151" s="601">
        <v>3</v>
      </c>
      <c r="J151" s="601">
        <v>4</v>
      </c>
      <c r="K151" s="601">
        <v>5</v>
      </c>
      <c r="L151" s="601">
        <v>5</v>
      </c>
      <c r="M151" s="601">
        <v>5</v>
      </c>
      <c r="O151" s="287"/>
      <c r="Q151" s="48"/>
      <c r="R151" s="48"/>
      <c r="S151" s="48"/>
      <c r="T151" s="48"/>
      <c r="U151" s="48"/>
      <c r="V151" s="48"/>
      <c r="W151" s="48"/>
      <c r="X151" s="48"/>
      <c r="Y151" s="48"/>
      <c r="Z151" s="48"/>
      <c r="AA151" s="48"/>
      <c r="AB151" s="48"/>
      <c r="AC151" s="48"/>
      <c r="AD151" s="48"/>
      <c r="AE151" s="48"/>
    </row>
    <row r="152" spans="1:31" outlineLevel="1">
      <c r="A152" s="412">
        <f>ROW()</f>
        <v>152</v>
      </c>
      <c r="B152" s="161" t="s">
        <v>1402</v>
      </c>
      <c r="C152" s="130">
        <v>2028</v>
      </c>
      <c r="D152" s="130" t="s">
        <v>497</v>
      </c>
      <c r="E152" s="269">
        <v>60000</v>
      </c>
      <c r="F152" s="162"/>
      <c r="G152" s="601">
        <f t="shared" si="30"/>
        <v>0</v>
      </c>
      <c r="H152" s="601">
        <f t="shared" si="30"/>
        <v>0</v>
      </c>
      <c r="I152" s="601">
        <v>1</v>
      </c>
      <c r="J152" s="601">
        <v>1</v>
      </c>
      <c r="K152" s="601">
        <v>2</v>
      </c>
      <c r="L152" s="601">
        <v>2</v>
      </c>
      <c r="M152" s="601">
        <v>2</v>
      </c>
      <c r="O152" s="287"/>
      <c r="Q152" s="48"/>
      <c r="R152" s="48"/>
      <c r="S152" s="48"/>
      <c r="T152" s="48"/>
      <c r="U152" s="48"/>
      <c r="V152" s="48"/>
      <c r="W152" s="48"/>
      <c r="X152" s="48"/>
      <c r="Y152" s="48"/>
      <c r="Z152" s="48"/>
      <c r="AA152" s="48"/>
      <c r="AB152" s="48"/>
      <c r="AC152" s="48"/>
      <c r="AD152" s="48"/>
      <c r="AE152" s="48"/>
    </row>
    <row r="153" spans="1:31" outlineLevel="1">
      <c r="A153" s="412">
        <f>ROW()</f>
        <v>153</v>
      </c>
      <c r="B153" s="161" t="s">
        <v>1403</v>
      </c>
      <c r="C153" s="130">
        <v>2028</v>
      </c>
      <c r="D153" s="130" t="s">
        <v>497</v>
      </c>
      <c r="E153" s="269">
        <v>60000</v>
      </c>
      <c r="F153" s="162"/>
      <c r="G153" s="601">
        <f t="shared" si="30"/>
        <v>0</v>
      </c>
      <c r="H153" s="601">
        <f t="shared" si="30"/>
        <v>0</v>
      </c>
      <c r="I153" s="601">
        <v>1</v>
      </c>
      <c r="J153" s="601">
        <v>1</v>
      </c>
      <c r="K153" s="601">
        <v>2</v>
      </c>
      <c r="L153" s="601">
        <v>2</v>
      </c>
      <c r="M153" s="601">
        <v>2</v>
      </c>
      <c r="O153" s="287"/>
      <c r="Q153" s="48"/>
      <c r="R153" s="48"/>
      <c r="S153" s="48"/>
      <c r="T153" s="48"/>
      <c r="U153" s="48"/>
      <c r="V153" s="48"/>
      <c r="W153" s="48"/>
      <c r="X153" s="48"/>
      <c r="Y153" s="48"/>
      <c r="Z153" s="48"/>
      <c r="AA153" s="48"/>
      <c r="AB153" s="48"/>
      <c r="AC153" s="48"/>
      <c r="AD153" s="48"/>
      <c r="AE153" s="48"/>
    </row>
    <row r="154" spans="1:31" outlineLevel="1">
      <c r="A154" s="412">
        <f>ROW()</f>
        <v>154</v>
      </c>
      <c r="B154" s="161" t="s">
        <v>1404</v>
      </c>
      <c r="C154" s="130">
        <v>2028</v>
      </c>
      <c r="D154" s="130" t="s">
        <v>497</v>
      </c>
      <c r="E154" s="269">
        <v>60000</v>
      </c>
      <c r="F154" s="162"/>
      <c r="G154" s="601">
        <f t="shared" si="30"/>
        <v>0</v>
      </c>
      <c r="H154" s="601">
        <f t="shared" si="30"/>
        <v>0</v>
      </c>
      <c r="I154" s="601">
        <v>1</v>
      </c>
      <c r="J154" s="601">
        <v>1</v>
      </c>
      <c r="K154" s="601">
        <v>2</v>
      </c>
      <c r="L154" s="601">
        <v>2</v>
      </c>
      <c r="M154" s="601">
        <v>2</v>
      </c>
      <c r="O154" s="287"/>
      <c r="Q154" s="48"/>
      <c r="R154" s="48"/>
      <c r="S154" s="48"/>
      <c r="T154" s="48"/>
      <c r="U154" s="48"/>
      <c r="V154" s="48"/>
      <c r="W154" s="48"/>
      <c r="X154" s="48"/>
      <c r="Y154" s="48"/>
      <c r="Z154" s="48"/>
      <c r="AA154" s="48"/>
      <c r="AB154" s="48"/>
      <c r="AC154" s="48"/>
      <c r="AD154" s="48"/>
      <c r="AE154" s="48"/>
    </row>
    <row r="155" spans="1:31" outlineLevel="1">
      <c r="A155" s="412">
        <f>ROW()</f>
        <v>155</v>
      </c>
      <c r="B155" s="1118"/>
      <c r="C155" s="1119"/>
      <c r="D155" s="1119"/>
      <c r="E155" s="1122"/>
      <c r="F155" s="1122"/>
      <c r="G155" s="119"/>
      <c r="H155" s="119"/>
      <c r="I155" s="119"/>
      <c r="J155" s="119"/>
      <c r="K155" s="119"/>
      <c r="L155" s="119"/>
      <c r="M155" s="119"/>
      <c r="O155" s="287"/>
      <c r="Q155" s="48"/>
      <c r="R155" s="48"/>
      <c r="S155" s="48"/>
      <c r="T155" s="48"/>
      <c r="U155" s="48"/>
      <c r="V155" s="48"/>
      <c r="W155" s="48"/>
      <c r="X155" s="48"/>
      <c r="Y155" s="48"/>
      <c r="Z155" s="48"/>
      <c r="AA155" s="48"/>
      <c r="AB155" s="48"/>
      <c r="AC155" s="48"/>
      <c r="AD155" s="48"/>
      <c r="AE155" s="48"/>
    </row>
    <row r="156" spans="1:31" outlineLevel="1">
      <c r="A156" s="412">
        <f>ROW()</f>
        <v>156</v>
      </c>
      <c r="B156" s="161" t="s">
        <v>1405</v>
      </c>
      <c r="C156" s="130">
        <v>2029</v>
      </c>
      <c r="D156" s="130" t="s">
        <v>497</v>
      </c>
      <c r="E156" s="269">
        <v>60000</v>
      </c>
      <c r="F156" s="162"/>
      <c r="G156" s="601">
        <f t="shared" ref="G156:M160" si="31">IF($D156&lt;=G$10,1,0)</f>
        <v>0</v>
      </c>
      <c r="H156" s="601">
        <f t="shared" si="31"/>
        <v>0</v>
      </c>
      <c r="I156" s="601">
        <f t="shared" si="31"/>
        <v>0</v>
      </c>
      <c r="J156" s="601">
        <v>1</v>
      </c>
      <c r="K156" s="601">
        <v>1</v>
      </c>
      <c r="L156" s="601">
        <v>1</v>
      </c>
      <c r="M156" s="601">
        <v>1</v>
      </c>
      <c r="O156" s="287"/>
      <c r="Q156" s="48"/>
      <c r="R156" s="48"/>
      <c r="S156" s="48"/>
      <c r="T156" s="48"/>
      <c r="U156" s="48"/>
      <c r="V156" s="48"/>
      <c r="W156" s="48"/>
      <c r="X156" s="48"/>
      <c r="Y156" s="48"/>
      <c r="Z156" s="48"/>
      <c r="AA156" s="48"/>
      <c r="AB156" s="48"/>
      <c r="AC156" s="48"/>
      <c r="AD156" s="48"/>
      <c r="AE156" s="48"/>
    </row>
    <row r="157" spans="1:31" outlineLevel="1">
      <c r="A157" s="412">
        <f>ROW()</f>
        <v>157</v>
      </c>
      <c r="B157" s="161" t="s">
        <v>1407</v>
      </c>
      <c r="C157" s="130">
        <v>2028</v>
      </c>
      <c r="D157" s="130" t="s">
        <v>497</v>
      </c>
      <c r="E157" s="269">
        <v>60000</v>
      </c>
      <c r="F157" s="162"/>
      <c r="G157" s="601">
        <f t="shared" si="31"/>
        <v>0</v>
      </c>
      <c r="H157" s="601">
        <f t="shared" si="31"/>
        <v>0</v>
      </c>
      <c r="I157" s="601">
        <v>1</v>
      </c>
      <c r="J157" s="601">
        <v>1</v>
      </c>
      <c r="K157" s="601">
        <v>1</v>
      </c>
      <c r="L157" s="601">
        <v>1</v>
      </c>
      <c r="M157" s="601">
        <v>1</v>
      </c>
      <c r="O157" s="287"/>
      <c r="Q157" s="48"/>
      <c r="R157" s="48"/>
      <c r="S157" s="48"/>
      <c r="T157" s="48"/>
      <c r="U157" s="48"/>
      <c r="V157" s="48"/>
      <c r="W157" s="48"/>
      <c r="X157" s="48"/>
      <c r="Y157" s="48"/>
      <c r="Z157" s="48"/>
      <c r="AA157" s="48"/>
      <c r="AB157" s="48"/>
      <c r="AC157" s="48"/>
      <c r="AD157" s="48"/>
      <c r="AE157" s="48"/>
    </row>
    <row r="158" spans="1:31" outlineLevel="1">
      <c r="A158" s="412">
        <f>ROW()</f>
        <v>158</v>
      </c>
      <c r="B158" s="161" t="s">
        <v>1408</v>
      </c>
      <c r="C158" s="130">
        <v>2028</v>
      </c>
      <c r="D158" s="130" t="s">
        <v>497</v>
      </c>
      <c r="E158" s="269">
        <v>60000</v>
      </c>
      <c r="F158" s="162"/>
      <c r="G158" s="601">
        <f t="shared" si="31"/>
        <v>0</v>
      </c>
      <c r="H158" s="601">
        <f t="shared" si="31"/>
        <v>0</v>
      </c>
      <c r="I158" s="601">
        <v>1</v>
      </c>
      <c r="J158" s="601">
        <v>1</v>
      </c>
      <c r="K158" s="601">
        <v>1</v>
      </c>
      <c r="L158" s="601">
        <v>1</v>
      </c>
      <c r="M158" s="601">
        <v>1</v>
      </c>
      <c r="O158" s="287"/>
      <c r="Q158" s="48"/>
      <c r="R158" s="48"/>
      <c r="S158" s="48"/>
      <c r="T158" s="48"/>
      <c r="U158" s="48"/>
      <c r="V158" s="48"/>
      <c r="W158" s="48"/>
      <c r="X158" s="48"/>
      <c r="Y158" s="48"/>
      <c r="Z158" s="48"/>
      <c r="AA158" s="48"/>
      <c r="AB158" s="48"/>
      <c r="AC158" s="48"/>
      <c r="AD158" s="48"/>
      <c r="AE158" s="48"/>
    </row>
    <row r="159" spans="1:31" outlineLevel="1">
      <c r="A159" s="412">
        <f>ROW()</f>
        <v>159</v>
      </c>
      <c r="B159" s="161"/>
      <c r="C159" s="130" t="s">
        <v>483</v>
      </c>
      <c r="D159" s="130" t="s">
        <v>497</v>
      </c>
      <c r="E159" s="132">
        <v>0</v>
      </c>
      <c r="F159" s="162"/>
      <c r="G159" s="601">
        <f t="shared" si="31"/>
        <v>0</v>
      </c>
      <c r="H159" s="601">
        <f t="shared" si="31"/>
        <v>0</v>
      </c>
      <c r="I159" s="601">
        <f t="shared" si="31"/>
        <v>0</v>
      </c>
      <c r="J159" s="601">
        <f t="shared" si="31"/>
        <v>0</v>
      </c>
      <c r="K159" s="601">
        <f t="shared" si="31"/>
        <v>0</v>
      </c>
      <c r="L159" s="601">
        <f t="shared" si="31"/>
        <v>0</v>
      </c>
      <c r="M159" s="601">
        <f t="shared" si="31"/>
        <v>0</v>
      </c>
      <c r="O159" s="287"/>
      <c r="Q159" s="48"/>
      <c r="R159" s="48"/>
      <c r="S159" s="48"/>
      <c r="T159" s="48"/>
      <c r="U159" s="48"/>
      <c r="V159" s="48"/>
      <c r="W159" s="48"/>
      <c r="X159" s="48"/>
      <c r="Y159" s="48"/>
      <c r="Z159" s="48"/>
      <c r="AA159" s="48"/>
      <c r="AB159" s="48"/>
      <c r="AC159" s="48"/>
      <c r="AD159" s="48"/>
      <c r="AE159" s="48"/>
    </row>
    <row r="160" spans="1:31" outlineLevel="1">
      <c r="A160" s="412">
        <f>ROW()</f>
        <v>160</v>
      </c>
      <c r="B160" s="161"/>
      <c r="C160" s="130" t="s">
        <v>483</v>
      </c>
      <c r="D160" s="130" t="s">
        <v>497</v>
      </c>
      <c r="E160" s="132">
        <v>0</v>
      </c>
      <c r="F160" s="162"/>
      <c r="G160" s="601">
        <f t="shared" si="31"/>
        <v>0</v>
      </c>
      <c r="H160" s="601">
        <f t="shared" si="31"/>
        <v>0</v>
      </c>
      <c r="I160" s="601">
        <f t="shared" si="31"/>
        <v>0</v>
      </c>
      <c r="J160" s="601">
        <f t="shared" si="31"/>
        <v>0</v>
      </c>
      <c r="K160" s="601">
        <f t="shared" si="31"/>
        <v>0</v>
      </c>
      <c r="L160" s="601">
        <f t="shared" si="31"/>
        <v>0</v>
      </c>
      <c r="M160" s="601">
        <f t="shared" si="31"/>
        <v>0</v>
      </c>
      <c r="O160" s="287"/>
      <c r="Q160" s="48"/>
      <c r="R160" s="48"/>
      <c r="S160" s="48"/>
      <c r="T160" s="48"/>
      <c r="U160" s="48"/>
      <c r="V160" s="48"/>
      <c r="W160" s="48"/>
      <c r="X160" s="48"/>
      <c r="Y160" s="48"/>
      <c r="Z160" s="48"/>
      <c r="AA160" s="48"/>
      <c r="AB160" s="48"/>
      <c r="AC160" s="48"/>
      <c r="AD160" s="48"/>
      <c r="AE160" s="48"/>
    </row>
    <row r="161" spans="1:31" outlineLevel="1">
      <c r="A161" s="412">
        <f>ROW()</f>
        <v>161</v>
      </c>
      <c r="B161" s="1118"/>
      <c r="C161" s="1119"/>
      <c r="D161" s="1121"/>
      <c r="E161" s="1122"/>
      <c r="F161" s="1122"/>
      <c r="G161" s="119"/>
      <c r="H161" s="119"/>
      <c r="I161" s="119"/>
      <c r="J161" s="119"/>
      <c r="K161" s="119"/>
      <c r="L161" s="119"/>
      <c r="M161" s="119"/>
      <c r="O161" s="287"/>
      <c r="Q161" s="48"/>
      <c r="R161" s="48"/>
      <c r="S161" s="48"/>
      <c r="T161" s="48"/>
      <c r="U161" s="48"/>
      <c r="V161" s="48"/>
      <c r="W161" s="48"/>
      <c r="X161" s="48"/>
      <c r="Y161" s="48"/>
      <c r="Z161" s="48"/>
      <c r="AA161" s="48"/>
      <c r="AB161" s="48"/>
      <c r="AC161" s="48"/>
      <c r="AD161" s="48"/>
      <c r="AE161" s="48"/>
    </row>
    <row r="162" spans="1:31" outlineLevel="1">
      <c r="A162" s="412">
        <f>ROW()</f>
        <v>162</v>
      </c>
      <c r="B162" s="161"/>
      <c r="C162" s="130" t="s">
        <v>483</v>
      </c>
      <c r="D162" s="130" t="s">
        <v>497</v>
      </c>
      <c r="E162" s="269">
        <v>0</v>
      </c>
      <c r="F162" s="162"/>
      <c r="G162" s="601">
        <f t="shared" ref="G162:M166" si="32">IF($D162&lt;=G$10,1,0)</f>
        <v>0</v>
      </c>
      <c r="H162" s="601">
        <f t="shared" si="32"/>
        <v>0</v>
      </c>
      <c r="I162" s="601">
        <f t="shared" si="32"/>
        <v>0</v>
      </c>
      <c r="J162" s="601">
        <f t="shared" si="32"/>
        <v>0</v>
      </c>
      <c r="K162" s="601">
        <f t="shared" si="32"/>
        <v>0</v>
      </c>
      <c r="L162" s="601">
        <f t="shared" si="32"/>
        <v>0</v>
      </c>
      <c r="M162" s="601">
        <f t="shared" si="32"/>
        <v>0</v>
      </c>
      <c r="O162" s="287"/>
      <c r="Q162" s="48"/>
      <c r="R162" s="48"/>
      <c r="S162" s="48"/>
      <c r="T162" s="48"/>
      <c r="U162" s="48"/>
      <c r="V162" s="48"/>
      <c r="W162" s="48"/>
      <c r="X162" s="48"/>
      <c r="Y162" s="48"/>
      <c r="Z162" s="48"/>
      <c r="AA162" s="48"/>
      <c r="AB162" s="48"/>
      <c r="AC162" s="48"/>
      <c r="AD162" s="48"/>
      <c r="AE162" s="48"/>
    </row>
    <row r="163" spans="1:31" outlineLevel="1">
      <c r="A163" s="412">
        <f>ROW()</f>
        <v>163</v>
      </c>
      <c r="B163" s="161"/>
      <c r="C163" s="130" t="s">
        <v>483</v>
      </c>
      <c r="D163" s="130" t="s">
        <v>497</v>
      </c>
      <c r="E163" s="132">
        <v>0</v>
      </c>
      <c r="F163" s="162"/>
      <c r="G163" s="601">
        <f t="shared" si="32"/>
        <v>0</v>
      </c>
      <c r="H163" s="601">
        <f t="shared" si="32"/>
        <v>0</v>
      </c>
      <c r="I163" s="601">
        <f t="shared" si="32"/>
        <v>0</v>
      </c>
      <c r="J163" s="601">
        <f t="shared" si="32"/>
        <v>0</v>
      </c>
      <c r="K163" s="601">
        <f t="shared" si="32"/>
        <v>0</v>
      </c>
      <c r="L163" s="601">
        <f t="shared" si="32"/>
        <v>0</v>
      </c>
      <c r="M163" s="601">
        <f t="shared" si="32"/>
        <v>0</v>
      </c>
      <c r="O163" s="287"/>
      <c r="Q163" s="48"/>
      <c r="R163" s="48"/>
      <c r="S163" s="48"/>
      <c r="T163" s="48"/>
      <c r="U163" s="48"/>
      <c r="V163" s="48"/>
      <c r="W163" s="48"/>
      <c r="X163" s="48"/>
      <c r="Y163" s="48"/>
      <c r="Z163" s="48"/>
      <c r="AA163" s="48"/>
      <c r="AB163" s="48"/>
      <c r="AC163" s="48"/>
      <c r="AD163" s="48"/>
      <c r="AE163" s="48"/>
    </row>
    <row r="164" spans="1:31" outlineLevel="1">
      <c r="A164" s="412">
        <f>ROW()</f>
        <v>164</v>
      </c>
      <c r="B164" s="161"/>
      <c r="C164" s="130" t="s">
        <v>483</v>
      </c>
      <c r="D164" s="130" t="s">
        <v>497</v>
      </c>
      <c r="E164" s="132">
        <v>0</v>
      </c>
      <c r="F164" s="162"/>
      <c r="G164" s="601">
        <f t="shared" si="32"/>
        <v>0</v>
      </c>
      <c r="H164" s="601">
        <f t="shared" si="32"/>
        <v>0</v>
      </c>
      <c r="I164" s="601">
        <f t="shared" si="32"/>
        <v>0</v>
      </c>
      <c r="J164" s="601">
        <f t="shared" si="32"/>
        <v>0</v>
      </c>
      <c r="K164" s="601">
        <f t="shared" si="32"/>
        <v>0</v>
      </c>
      <c r="L164" s="601">
        <f t="shared" si="32"/>
        <v>0</v>
      </c>
      <c r="M164" s="601">
        <f t="shared" si="32"/>
        <v>0</v>
      </c>
      <c r="O164" s="287"/>
      <c r="Q164" s="48"/>
      <c r="R164" s="48"/>
      <c r="S164" s="48"/>
      <c r="T164" s="48"/>
      <c r="U164" s="48"/>
      <c r="V164" s="48"/>
      <c r="W164" s="48"/>
      <c r="X164" s="48"/>
      <c r="Y164" s="48"/>
      <c r="Z164" s="48"/>
      <c r="AA164" s="48"/>
      <c r="AB164" s="48"/>
      <c r="AC164" s="48"/>
      <c r="AD164" s="48"/>
      <c r="AE164" s="48"/>
    </row>
    <row r="165" spans="1:31" outlineLevel="1">
      <c r="A165" s="412">
        <f>ROW()</f>
        <v>165</v>
      </c>
      <c r="B165" s="161"/>
      <c r="C165" s="130" t="s">
        <v>483</v>
      </c>
      <c r="D165" s="130" t="s">
        <v>497</v>
      </c>
      <c r="E165" s="132">
        <v>0</v>
      </c>
      <c r="F165" s="162"/>
      <c r="G165" s="601">
        <f t="shared" si="32"/>
        <v>0</v>
      </c>
      <c r="H165" s="601">
        <f t="shared" si="32"/>
        <v>0</v>
      </c>
      <c r="I165" s="601">
        <f t="shared" si="32"/>
        <v>0</v>
      </c>
      <c r="J165" s="601">
        <f t="shared" si="32"/>
        <v>0</v>
      </c>
      <c r="K165" s="601">
        <f t="shared" si="32"/>
        <v>0</v>
      </c>
      <c r="L165" s="601">
        <f t="shared" si="32"/>
        <v>0</v>
      </c>
      <c r="M165" s="601">
        <f t="shared" si="32"/>
        <v>0</v>
      </c>
      <c r="O165" s="287"/>
      <c r="Q165" s="48"/>
      <c r="R165" s="48"/>
      <c r="S165" s="48"/>
      <c r="T165" s="48"/>
      <c r="U165" s="48"/>
      <c r="V165" s="48"/>
      <c r="W165" s="48"/>
      <c r="X165" s="48"/>
      <c r="Y165" s="48"/>
      <c r="Z165" s="48"/>
      <c r="AA165" s="48"/>
      <c r="AB165" s="48"/>
      <c r="AC165" s="48"/>
      <c r="AD165" s="48"/>
      <c r="AE165" s="48"/>
    </row>
    <row r="166" spans="1:31" outlineLevel="1">
      <c r="A166" s="412">
        <f>ROW()</f>
        <v>166</v>
      </c>
      <c r="B166" s="161"/>
      <c r="C166" s="130" t="s">
        <v>483</v>
      </c>
      <c r="D166" s="130" t="s">
        <v>497</v>
      </c>
      <c r="E166" s="132">
        <v>0</v>
      </c>
      <c r="F166" s="162"/>
      <c r="G166" s="601">
        <f t="shared" si="32"/>
        <v>0</v>
      </c>
      <c r="H166" s="601">
        <f t="shared" si="32"/>
        <v>0</v>
      </c>
      <c r="I166" s="601">
        <f t="shared" si="32"/>
        <v>0</v>
      </c>
      <c r="J166" s="601">
        <f t="shared" si="32"/>
        <v>0</v>
      </c>
      <c r="K166" s="601">
        <f t="shared" si="32"/>
        <v>0</v>
      </c>
      <c r="L166" s="601">
        <f t="shared" si="32"/>
        <v>0</v>
      </c>
      <c r="M166" s="601">
        <f t="shared" si="32"/>
        <v>0</v>
      </c>
      <c r="O166" s="287"/>
      <c r="Q166" s="48"/>
      <c r="R166" s="48"/>
      <c r="S166" s="48"/>
      <c r="T166" s="48"/>
      <c r="U166" s="48"/>
      <c r="V166" s="48"/>
      <c r="W166" s="48"/>
      <c r="X166" s="48"/>
      <c r="Y166" s="48"/>
      <c r="Z166" s="48"/>
      <c r="AA166" s="48"/>
      <c r="AB166" s="48"/>
      <c r="AC166" s="48"/>
      <c r="AD166" s="48"/>
      <c r="AE166" s="48"/>
    </row>
    <row r="167" spans="1:31" outlineLevel="1">
      <c r="A167" s="412">
        <f>ROW()</f>
        <v>167</v>
      </c>
      <c r="B167" s="1118"/>
      <c r="C167" s="1119"/>
      <c r="D167" s="1119"/>
      <c r="E167" s="1123"/>
      <c r="F167" s="1123"/>
      <c r="G167" s="119"/>
      <c r="H167" s="119"/>
      <c r="I167" s="119"/>
      <c r="J167" s="119"/>
      <c r="K167" s="119"/>
      <c r="L167" s="119"/>
      <c r="M167" s="119"/>
      <c r="O167" s="287"/>
      <c r="Q167" s="48"/>
      <c r="R167" s="48"/>
      <c r="S167" s="48"/>
      <c r="T167" s="48"/>
      <c r="U167" s="48"/>
      <c r="V167" s="48"/>
      <c r="W167" s="48"/>
      <c r="X167" s="48"/>
      <c r="Y167" s="48"/>
      <c r="Z167" s="48"/>
      <c r="AA167" s="48"/>
      <c r="AB167" s="48"/>
      <c r="AC167" s="48"/>
      <c r="AD167" s="48"/>
      <c r="AE167" s="48"/>
    </row>
    <row r="168" spans="1:31" outlineLevel="1">
      <c r="A168" s="412">
        <f>ROW()</f>
        <v>168</v>
      </c>
      <c r="B168" s="161"/>
      <c r="C168" s="130" t="s">
        <v>483</v>
      </c>
      <c r="D168" s="130" t="s">
        <v>497</v>
      </c>
      <c r="E168" s="269">
        <v>0</v>
      </c>
      <c r="F168" s="162"/>
      <c r="G168" s="601">
        <f t="shared" ref="G168:M172" si="33">IF($D168&lt;=G$10,1,0)</f>
        <v>0</v>
      </c>
      <c r="H168" s="601">
        <f t="shared" si="33"/>
        <v>0</v>
      </c>
      <c r="I168" s="601">
        <f t="shared" si="33"/>
        <v>0</v>
      </c>
      <c r="J168" s="601">
        <f t="shared" si="33"/>
        <v>0</v>
      </c>
      <c r="K168" s="601">
        <f t="shared" si="33"/>
        <v>0</v>
      </c>
      <c r="L168" s="601">
        <f t="shared" si="33"/>
        <v>0</v>
      </c>
      <c r="M168" s="601">
        <f t="shared" si="33"/>
        <v>0</v>
      </c>
      <c r="O168" s="287"/>
      <c r="Q168" s="48"/>
      <c r="R168" s="48"/>
      <c r="S168" s="48"/>
      <c r="T168" s="48"/>
      <c r="U168" s="48"/>
      <c r="V168" s="48"/>
      <c r="W168" s="48"/>
      <c r="X168" s="48"/>
      <c r="Y168" s="48"/>
      <c r="Z168" s="48"/>
      <c r="AA168" s="48"/>
      <c r="AB168" s="48"/>
      <c r="AC168" s="48"/>
      <c r="AD168" s="48"/>
      <c r="AE168" s="48"/>
    </row>
    <row r="169" spans="1:31" outlineLevel="1">
      <c r="A169" s="412">
        <f>ROW()</f>
        <v>169</v>
      </c>
      <c r="B169" s="161"/>
      <c r="C169" s="130" t="s">
        <v>483</v>
      </c>
      <c r="D169" s="130" t="s">
        <v>497</v>
      </c>
      <c r="E169" s="132">
        <v>0</v>
      </c>
      <c r="F169" s="162"/>
      <c r="G169" s="601">
        <f t="shared" si="33"/>
        <v>0</v>
      </c>
      <c r="H169" s="601">
        <f t="shared" si="33"/>
        <v>0</v>
      </c>
      <c r="I169" s="601">
        <f t="shared" si="33"/>
        <v>0</v>
      </c>
      <c r="J169" s="601">
        <f t="shared" si="33"/>
        <v>0</v>
      </c>
      <c r="K169" s="601">
        <f t="shared" si="33"/>
        <v>0</v>
      </c>
      <c r="L169" s="601">
        <f t="shared" si="33"/>
        <v>0</v>
      </c>
      <c r="M169" s="601">
        <f t="shared" si="33"/>
        <v>0</v>
      </c>
      <c r="O169" s="287"/>
      <c r="Q169" s="48"/>
      <c r="R169" s="48"/>
      <c r="S169" s="48"/>
      <c r="T169" s="48"/>
      <c r="U169" s="48"/>
      <c r="V169" s="48"/>
      <c r="W169" s="48"/>
      <c r="X169" s="48"/>
      <c r="Y169" s="48"/>
      <c r="Z169" s="48"/>
      <c r="AA169" s="48"/>
      <c r="AB169" s="48"/>
      <c r="AC169" s="48"/>
      <c r="AD169" s="48"/>
      <c r="AE169" s="48"/>
    </row>
    <row r="170" spans="1:31" outlineLevel="1">
      <c r="A170" s="412">
        <f>ROW()</f>
        <v>170</v>
      </c>
      <c r="B170" s="161"/>
      <c r="C170" s="130" t="s">
        <v>483</v>
      </c>
      <c r="D170" s="130" t="s">
        <v>497</v>
      </c>
      <c r="E170" s="132">
        <v>0</v>
      </c>
      <c r="F170" s="162"/>
      <c r="G170" s="601">
        <f t="shared" si="33"/>
        <v>0</v>
      </c>
      <c r="H170" s="601">
        <f t="shared" si="33"/>
        <v>0</v>
      </c>
      <c r="I170" s="601">
        <f t="shared" si="33"/>
        <v>0</v>
      </c>
      <c r="J170" s="601">
        <f t="shared" si="33"/>
        <v>0</v>
      </c>
      <c r="K170" s="601">
        <f t="shared" si="33"/>
        <v>0</v>
      </c>
      <c r="L170" s="601">
        <f t="shared" si="33"/>
        <v>0</v>
      </c>
      <c r="M170" s="601">
        <f t="shared" si="33"/>
        <v>0</v>
      </c>
      <c r="O170" s="287"/>
      <c r="Q170" s="48"/>
      <c r="R170" s="48"/>
      <c r="S170" s="48"/>
      <c r="T170" s="48"/>
      <c r="U170" s="48"/>
      <c r="V170" s="48"/>
      <c r="W170" s="48"/>
      <c r="X170" s="48"/>
      <c r="Y170" s="48"/>
      <c r="Z170" s="48"/>
      <c r="AA170" s="48"/>
      <c r="AB170" s="48"/>
      <c r="AC170" s="48"/>
      <c r="AD170" s="48"/>
      <c r="AE170" s="48"/>
    </row>
    <row r="171" spans="1:31" outlineLevel="1">
      <c r="A171" s="412">
        <f>ROW()</f>
        <v>171</v>
      </c>
      <c r="B171" s="161"/>
      <c r="C171" s="130" t="s">
        <v>483</v>
      </c>
      <c r="D171" s="130" t="s">
        <v>497</v>
      </c>
      <c r="E171" s="132">
        <v>0</v>
      </c>
      <c r="F171" s="162"/>
      <c r="G171" s="601">
        <f t="shared" si="33"/>
        <v>0</v>
      </c>
      <c r="H171" s="601">
        <f t="shared" si="33"/>
        <v>0</v>
      </c>
      <c r="I171" s="601">
        <f t="shared" si="33"/>
        <v>0</v>
      </c>
      <c r="J171" s="601">
        <f t="shared" si="33"/>
        <v>0</v>
      </c>
      <c r="K171" s="601">
        <f t="shared" si="33"/>
        <v>0</v>
      </c>
      <c r="L171" s="601">
        <f t="shared" si="33"/>
        <v>0</v>
      </c>
      <c r="M171" s="601">
        <f t="shared" si="33"/>
        <v>0</v>
      </c>
      <c r="O171" s="287"/>
      <c r="Q171" s="48"/>
      <c r="R171" s="48"/>
      <c r="S171" s="48"/>
      <c r="T171" s="48"/>
      <c r="U171" s="48"/>
      <c r="V171" s="48"/>
      <c r="W171" s="48"/>
      <c r="X171" s="48"/>
      <c r="Y171" s="48"/>
      <c r="Z171" s="48"/>
      <c r="AA171" s="48"/>
      <c r="AB171" s="48"/>
      <c r="AC171" s="48"/>
      <c r="AD171" s="48"/>
      <c r="AE171" s="48"/>
    </row>
    <row r="172" spans="1:31" outlineLevel="1">
      <c r="A172" s="412">
        <f>ROW()</f>
        <v>172</v>
      </c>
      <c r="B172" s="161"/>
      <c r="C172" s="130" t="s">
        <v>483</v>
      </c>
      <c r="D172" s="130" t="s">
        <v>497</v>
      </c>
      <c r="E172" s="132">
        <v>0</v>
      </c>
      <c r="F172" s="162"/>
      <c r="G172" s="601">
        <f t="shared" si="33"/>
        <v>0</v>
      </c>
      <c r="H172" s="601">
        <f t="shared" si="33"/>
        <v>0</v>
      </c>
      <c r="I172" s="601">
        <f t="shared" si="33"/>
        <v>0</v>
      </c>
      <c r="J172" s="601">
        <f t="shared" si="33"/>
        <v>0</v>
      </c>
      <c r="K172" s="601">
        <f t="shared" si="33"/>
        <v>0</v>
      </c>
      <c r="L172" s="601">
        <f t="shared" si="33"/>
        <v>0</v>
      </c>
      <c r="M172" s="601">
        <f t="shared" si="33"/>
        <v>0</v>
      </c>
      <c r="O172" s="287"/>
      <c r="Q172" s="48"/>
      <c r="R172" s="48"/>
      <c r="S172" s="48"/>
      <c r="T172" s="48"/>
      <c r="U172" s="48"/>
      <c r="V172" s="48"/>
      <c r="W172" s="48"/>
      <c r="X172" s="48"/>
      <c r="Y172" s="48"/>
      <c r="Z172" s="48"/>
      <c r="AA172" s="48"/>
      <c r="AB172" s="48"/>
      <c r="AC172" s="48"/>
      <c r="AD172" s="48"/>
      <c r="AE172" s="48"/>
    </row>
    <row r="173" spans="1:31" outlineLevel="1">
      <c r="A173" s="412">
        <f>ROW()</f>
        <v>173</v>
      </c>
      <c r="B173" s="1118"/>
      <c r="C173" s="1119"/>
      <c r="D173" s="1121"/>
      <c r="E173" s="1122"/>
      <c r="F173" s="1123"/>
      <c r="G173" s="119"/>
      <c r="H173" s="119"/>
      <c r="I173" s="119"/>
      <c r="J173" s="119"/>
      <c r="K173" s="119"/>
      <c r="L173" s="119"/>
      <c r="M173" s="119"/>
      <c r="O173" s="287"/>
      <c r="Q173" s="48"/>
      <c r="R173" s="48"/>
      <c r="S173" s="48"/>
      <c r="T173" s="48"/>
      <c r="U173" s="48"/>
      <c r="V173" s="48"/>
      <c r="W173" s="48"/>
      <c r="X173" s="48"/>
      <c r="Y173" s="48"/>
      <c r="Z173" s="48"/>
      <c r="AA173" s="48"/>
      <c r="AB173" s="48"/>
      <c r="AC173" s="48"/>
      <c r="AD173" s="48"/>
      <c r="AE173" s="48"/>
    </row>
    <row r="174" spans="1:31" outlineLevel="1">
      <c r="A174" s="412">
        <f>ROW()</f>
        <v>174</v>
      </c>
      <c r="B174" s="161"/>
      <c r="C174" s="130" t="s">
        <v>483</v>
      </c>
      <c r="D174" s="130" t="s">
        <v>497</v>
      </c>
      <c r="E174" s="269">
        <v>0</v>
      </c>
      <c r="F174" s="162"/>
      <c r="G174" s="601">
        <f t="shared" ref="G174:M178" si="34">IF($D174&lt;=G$10,1,0)</f>
        <v>0</v>
      </c>
      <c r="H174" s="601">
        <f t="shared" si="34"/>
        <v>0</v>
      </c>
      <c r="I174" s="601">
        <f t="shared" si="34"/>
        <v>0</v>
      </c>
      <c r="J174" s="601">
        <f t="shared" si="34"/>
        <v>0</v>
      </c>
      <c r="K174" s="601">
        <f t="shared" si="34"/>
        <v>0</v>
      </c>
      <c r="L174" s="601">
        <f t="shared" si="34"/>
        <v>0</v>
      </c>
      <c r="M174" s="601">
        <f t="shared" si="34"/>
        <v>0</v>
      </c>
      <c r="O174" s="287"/>
      <c r="Q174" s="48"/>
      <c r="R174" s="48"/>
      <c r="S174" s="48"/>
      <c r="T174" s="48"/>
      <c r="U174" s="48"/>
      <c r="V174" s="48"/>
      <c r="W174" s="48"/>
      <c r="X174" s="48"/>
      <c r="Y174" s="48"/>
      <c r="Z174" s="48"/>
      <c r="AA174" s="48"/>
      <c r="AB174" s="48"/>
      <c r="AC174" s="48"/>
      <c r="AD174" s="48"/>
      <c r="AE174" s="48"/>
    </row>
    <row r="175" spans="1:31" outlineLevel="1">
      <c r="A175" s="412">
        <f>ROW()</f>
        <v>175</v>
      </c>
      <c r="B175" s="161"/>
      <c r="C175" s="130" t="s">
        <v>483</v>
      </c>
      <c r="D175" s="130" t="s">
        <v>497</v>
      </c>
      <c r="E175" s="132">
        <v>0</v>
      </c>
      <c r="F175" s="162"/>
      <c r="G175" s="601">
        <f t="shared" si="34"/>
        <v>0</v>
      </c>
      <c r="H175" s="601">
        <f t="shared" si="34"/>
        <v>0</v>
      </c>
      <c r="I175" s="601">
        <f t="shared" si="34"/>
        <v>0</v>
      </c>
      <c r="J175" s="601">
        <f t="shared" si="34"/>
        <v>0</v>
      </c>
      <c r="K175" s="601">
        <f t="shared" si="34"/>
        <v>0</v>
      </c>
      <c r="L175" s="601">
        <f t="shared" si="34"/>
        <v>0</v>
      </c>
      <c r="M175" s="601">
        <f t="shared" si="34"/>
        <v>0</v>
      </c>
      <c r="O175" s="287"/>
      <c r="Q175" s="48"/>
      <c r="R175" s="48"/>
      <c r="S175" s="48"/>
      <c r="T175" s="48"/>
      <c r="U175" s="48"/>
      <c r="V175" s="48"/>
      <c r="W175" s="48"/>
      <c r="X175" s="48"/>
      <c r="Y175" s="48"/>
      <c r="Z175" s="48"/>
      <c r="AA175" s="48"/>
      <c r="AB175" s="48"/>
      <c r="AC175" s="48"/>
      <c r="AD175" s="48"/>
      <c r="AE175" s="48"/>
    </row>
    <row r="176" spans="1:31" outlineLevel="1">
      <c r="A176" s="412">
        <f>ROW()</f>
        <v>176</v>
      </c>
      <c r="B176" s="161"/>
      <c r="C176" s="130" t="s">
        <v>483</v>
      </c>
      <c r="D176" s="130" t="s">
        <v>497</v>
      </c>
      <c r="E176" s="132">
        <v>0</v>
      </c>
      <c r="F176" s="162"/>
      <c r="G176" s="601">
        <f t="shared" si="34"/>
        <v>0</v>
      </c>
      <c r="H176" s="601">
        <f t="shared" si="34"/>
        <v>0</v>
      </c>
      <c r="I176" s="601">
        <f t="shared" si="34"/>
        <v>0</v>
      </c>
      <c r="J176" s="601">
        <f t="shared" si="34"/>
        <v>0</v>
      </c>
      <c r="K176" s="601">
        <f t="shared" si="34"/>
        <v>0</v>
      </c>
      <c r="L176" s="601">
        <f t="shared" si="34"/>
        <v>0</v>
      </c>
      <c r="M176" s="601">
        <f t="shared" si="34"/>
        <v>0</v>
      </c>
      <c r="O176" s="287"/>
      <c r="Q176" s="48"/>
      <c r="R176" s="48"/>
      <c r="S176" s="48"/>
      <c r="T176" s="48"/>
      <c r="U176" s="48"/>
      <c r="V176" s="48"/>
      <c r="W176" s="48"/>
      <c r="X176" s="48"/>
      <c r="Y176" s="48"/>
      <c r="Z176" s="48"/>
      <c r="AA176" s="48"/>
      <c r="AB176" s="48"/>
      <c r="AC176" s="48"/>
      <c r="AD176" s="48"/>
      <c r="AE176" s="48"/>
    </row>
    <row r="177" spans="1:31" outlineLevel="1">
      <c r="A177" s="412">
        <f>ROW()</f>
        <v>177</v>
      </c>
      <c r="B177" s="161"/>
      <c r="C177" s="130" t="s">
        <v>483</v>
      </c>
      <c r="D177" s="130" t="s">
        <v>497</v>
      </c>
      <c r="E177" s="132">
        <v>0</v>
      </c>
      <c r="F177" s="162"/>
      <c r="G177" s="601">
        <f t="shared" si="34"/>
        <v>0</v>
      </c>
      <c r="H177" s="601">
        <f t="shared" si="34"/>
        <v>0</v>
      </c>
      <c r="I177" s="601">
        <f t="shared" si="34"/>
        <v>0</v>
      </c>
      <c r="J177" s="601">
        <f t="shared" si="34"/>
        <v>0</v>
      </c>
      <c r="K177" s="601">
        <f t="shared" si="34"/>
        <v>0</v>
      </c>
      <c r="L177" s="601">
        <f t="shared" si="34"/>
        <v>0</v>
      </c>
      <c r="M177" s="601">
        <f t="shared" si="34"/>
        <v>0</v>
      </c>
      <c r="O177" s="287"/>
      <c r="Q177" s="48"/>
      <c r="R177" s="48"/>
      <c r="S177" s="48"/>
      <c r="T177" s="48"/>
      <c r="U177" s="48"/>
      <c r="V177" s="48"/>
      <c r="W177" s="48"/>
      <c r="X177" s="48"/>
      <c r="Y177" s="48"/>
      <c r="Z177" s="48"/>
      <c r="AA177" s="48"/>
      <c r="AB177" s="48"/>
      <c r="AC177" s="48"/>
      <c r="AD177" s="48"/>
      <c r="AE177" s="48"/>
    </row>
    <row r="178" spans="1:31" outlineLevel="1">
      <c r="A178" s="412">
        <f>ROW()</f>
        <v>178</v>
      </c>
      <c r="B178" s="161"/>
      <c r="C178" s="130" t="s">
        <v>483</v>
      </c>
      <c r="D178" s="130" t="s">
        <v>497</v>
      </c>
      <c r="E178" s="132">
        <v>0</v>
      </c>
      <c r="F178" s="162"/>
      <c r="G178" s="601">
        <f t="shared" si="34"/>
        <v>0</v>
      </c>
      <c r="H178" s="601">
        <f t="shared" si="34"/>
        <v>0</v>
      </c>
      <c r="I178" s="601">
        <f t="shared" si="34"/>
        <v>0</v>
      </c>
      <c r="J178" s="601">
        <f t="shared" si="34"/>
        <v>0</v>
      </c>
      <c r="K178" s="601">
        <f t="shared" si="34"/>
        <v>0</v>
      </c>
      <c r="L178" s="601">
        <f t="shared" si="34"/>
        <v>0</v>
      </c>
      <c r="M178" s="601">
        <f t="shared" si="34"/>
        <v>0</v>
      </c>
      <c r="O178" s="287"/>
      <c r="Q178" s="48"/>
      <c r="R178" s="48"/>
      <c r="S178" s="48"/>
      <c r="T178" s="48"/>
      <c r="U178" s="48"/>
      <c r="V178" s="48"/>
      <c r="W178" s="48"/>
      <c r="X178" s="48"/>
      <c r="Y178" s="48"/>
      <c r="Z178" s="48"/>
      <c r="AA178" s="48"/>
      <c r="AB178" s="48"/>
      <c r="AC178" s="48"/>
      <c r="AD178" s="48"/>
      <c r="AE178" s="48"/>
    </row>
    <row r="179" spans="1:31" outlineLevel="1">
      <c r="A179" s="412">
        <f>ROW()</f>
        <v>179</v>
      </c>
      <c r="B179" s="1118"/>
      <c r="C179" s="1119"/>
      <c r="D179" s="1119"/>
      <c r="E179" s="1122"/>
      <c r="F179" s="1123"/>
      <c r="G179" s="119"/>
      <c r="H179" s="119"/>
      <c r="I179" s="119"/>
      <c r="J179" s="119"/>
      <c r="K179" s="119"/>
      <c r="L179" s="119"/>
      <c r="M179" s="119"/>
      <c r="O179" s="287"/>
      <c r="Q179" s="48"/>
      <c r="R179" s="48"/>
      <c r="S179" s="48"/>
      <c r="T179" s="48"/>
      <c r="U179" s="48"/>
      <c r="V179" s="48"/>
      <c r="W179" s="48"/>
      <c r="X179" s="48"/>
      <c r="Y179" s="48"/>
      <c r="Z179" s="48"/>
      <c r="AA179" s="48"/>
      <c r="AB179" s="48"/>
      <c r="AC179" s="48"/>
      <c r="AD179" s="48"/>
      <c r="AE179" s="48"/>
    </row>
    <row r="180" spans="1:31" outlineLevel="1">
      <c r="A180" s="412">
        <f>ROW()</f>
        <v>180</v>
      </c>
      <c r="B180" s="161"/>
      <c r="C180" s="130" t="s">
        <v>483</v>
      </c>
      <c r="D180" s="130" t="s">
        <v>497</v>
      </c>
      <c r="E180" s="269">
        <v>0</v>
      </c>
      <c r="F180" s="162"/>
      <c r="G180" s="601">
        <f t="shared" ref="G180:M184" si="35">IF($D180&lt;=G$10,1,0)</f>
        <v>0</v>
      </c>
      <c r="H180" s="601">
        <f t="shared" si="35"/>
        <v>0</v>
      </c>
      <c r="I180" s="601">
        <f t="shared" si="35"/>
        <v>0</v>
      </c>
      <c r="J180" s="601">
        <f t="shared" si="35"/>
        <v>0</v>
      </c>
      <c r="K180" s="601">
        <f t="shared" si="35"/>
        <v>0</v>
      </c>
      <c r="L180" s="601">
        <f t="shared" si="35"/>
        <v>0</v>
      </c>
      <c r="M180" s="601">
        <f t="shared" si="35"/>
        <v>0</v>
      </c>
      <c r="O180" s="287"/>
      <c r="Q180" s="48"/>
      <c r="R180" s="48"/>
      <c r="S180" s="48"/>
      <c r="T180" s="48"/>
      <c r="U180" s="48"/>
      <c r="V180" s="48"/>
      <c r="W180" s="48"/>
      <c r="X180" s="48"/>
      <c r="Y180" s="48"/>
      <c r="Z180" s="48"/>
      <c r="AA180" s="48"/>
      <c r="AB180" s="48"/>
      <c r="AC180" s="48"/>
      <c r="AD180" s="48"/>
      <c r="AE180" s="48"/>
    </row>
    <row r="181" spans="1:31" outlineLevel="1">
      <c r="A181" s="412">
        <f>ROW()</f>
        <v>181</v>
      </c>
      <c r="B181" s="161"/>
      <c r="C181" s="130" t="s">
        <v>483</v>
      </c>
      <c r="D181" s="130" t="s">
        <v>497</v>
      </c>
      <c r="E181" s="132">
        <v>0</v>
      </c>
      <c r="F181" s="162"/>
      <c r="G181" s="601">
        <f t="shared" si="35"/>
        <v>0</v>
      </c>
      <c r="H181" s="601">
        <f t="shared" si="35"/>
        <v>0</v>
      </c>
      <c r="I181" s="601">
        <f t="shared" si="35"/>
        <v>0</v>
      </c>
      <c r="J181" s="601">
        <f t="shared" si="35"/>
        <v>0</v>
      </c>
      <c r="K181" s="601">
        <f t="shared" si="35"/>
        <v>0</v>
      </c>
      <c r="L181" s="601">
        <f t="shared" si="35"/>
        <v>0</v>
      </c>
      <c r="M181" s="601">
        <f t="shared" si="35"/>
        <v>0</v>
      </c>
      <c r="O181" s="287"/>
      <c r="Q181" s="48"/>
      <c r="R181" s="48"/>
      <c r="S181" s="48"/>
      <c r="T181" s="48"/>
      <c r="U181" s="48"/>
      <c r="V181" s="48"/>
      <c r="W181" s="48"/>
      <c r="X181" s="48"/>
      <c r="Y181" s="48"/>
      <c r="Z181" s="48"/>
      <c r="AA181" s="48"/>
      <c r="AB181" s="48"/>
      <c r="AC181" s="48"/>
      <c r="AD181" s="48"/>
      <c r="AE181" s="48"/>
    </row>
    <row r="182" spans="1:31" outlineLevel="1">
      <c r="A182" s="412">
        <f>ROW()</f>
        <v>182</v>
      </c>
      <c r="B182" s="161"/>
      <c r="C182" s="130" t="s">
        <v>483</v>
      </c>
      <c r="D182" s="130" t="s">
        <v>497</v>
      </c>
      <c r="E182" s="132">
        <v>0</v>
      </c>
      <c r="F182" s="162"/>
      <c r="G182" s="601">
        <f t="shared" si="35"/>
        <v>0</v>
      </c>
      <c r="H182" s="601">
        <f t="shared" si="35"/>
        <v>0</v>
      </c>
      <c r="I182" s="601">
        <f t="shared" si="35"/>
        <v>0</v>
      </c>
      <c r="J182" s="601">
        <f t="shared" si="35"/>
        <v>0</v>
      </c>
      <c r="K182" s="601">
        <f t="shared" si="35"/>
        <v>0</v>
      </c>
      <c r="L182" s="601">
        <f t="shared" si="35"/>
        <v>0</v>
      </c>
      <c r="M182" s="601">
        <f t="shared" si="35"/>
        <v>0</v>
      </c>
      <c r="O182" s="287"/>
      <c r="Q182" s="48"/>
      <c r="R182" s="48"/>
      <c r="S182" s="48"/>
      <c r="T182" s="48"/>
      <c r="U182" s="48"/>
      <c r="V182" s="48"/>
      <c r="W182" s="48"/>
      <c r="X182" s="48"/>
      <c r="Y182" s="48"/>
      <c r="Z182" s="48"/>
      <c r="AA182" s="48"/>
      <c r="AB182" s="48"/>
      <c r="AC182" s="48"/>
      <c r="AD182" s="48"/>
      <c r="AE182" s="48"/>
    </row>
    <row r="183" spans="1:31" outlineLevel="1">
      <c r="A183" s="412">
        <f>ROW()</f>
        <v>183</v>
      </c>
      <c r="B183" s="161"/>
      <c r="C183" s="130" t="s">
        <v>483</v>
      </c>
      <c r="D183" s="130" t="s">
        <v>497</v>
      </c>
      <c r="E183" s="132">
        <v>0</v>
      </c>
      <c r="F183" s="162"/>
      <c r="G183" s="601">
        <f t="shared" si="35"/>
        <v>0</v>
      </c>
      <c r="H183" s="601">
        <f t="shared" si="35"/>
        <v>0</v>
      </c>
      <c r="I183" s="601">
        <f t="shared" si="35"/>
        <v>0</v>
      </c>
      <c r="J183" s="601">
        <f t="shared" si="35"/>
        <v>0</v>
      </c>
      <c r="K183" s="601">
        <f t="shared" si="35"/>
        <v>0</v>
      </c>
      <c r="L183" s="601">
        <f t="shared" si="35"/>
        <v>0</v>
      </c>
      <c r="M183" s="601">
        <f t="shared" si="35"/>
        <v>0</v>
      </c>
      <c r="O183" s="287"/>
      <c r="Q183" s="48"/>
      <c r="R183" s="48"/>
      <c r="S183" s="48"/>
      <c r="T183" s="48"/>
      <c r="U183" s="48"/>
      <c r="V183" s="48"/>
      <c r="W183" s="48"/>
      <c r="X183" s="48"/>
      <c r="Y183" s="48"/>
      <c r="Z183" s="48"/>
      <c r="AA183" s="48"/>
      <c r="AB183" s="48"/>
      <c r="AC183" s="48"/>
      <c r="AD183" s="48"/>
      <c r="AE183" s="48"/>
    </row>
    <row r="184" spans="1:31" outlineLevel="1">
      <c r="A184" s="412">
        <f>ROW()</f>
        <v>184</v>
      </c>
      <c r="B184" s="161"/>
      <c r="C184" s="130" t="s">
        <v>483</v>
      </c>
      <c r="D184" s="130" t="s">
        <v>497</v>
      </c>
      <c r="E184" s="132">
        <v>0</v>
      </c>
      <c r="F184" s="162"/>
      <c r="G184" s="601">
        <f t="shared" si="35"/>
        <v>0</v>
      </c>
      <c r="H184" s="601">
        <f t="shared" si="35"/>
        <v>0</v>
      </c>
      <c r="I184" s="601">
        <f t="shared" si="35"/>
        <v>0</v>
      </c>
      <c r="J184" s="601">
        <f t="shared" si="35"/>
        <v>0</v>
      </c>
      <c r="K184" s="601">
        <f t="shared" si="35"/>
        <v>0</v>
      </c>
      <c r="L184" s="601">
        <f t="shared" si="35"/>
        <v>0</v>
      </c>
      <c r="M184" s="601">
        <f t="shared" si="35"/>
        <v>0</v>
      </c>
      <c r="O184" s="287"/>
      <c r="Q184" s="48"/>
      <c r="R184" s="48"/>
      <c r="S184" s="48"/>
      <c r="T184" s="48"/>
      <c r="U184" s="48"/>
      <c r="V184" s="48"/>
      <c r="W184" s="48"/>
      <c r="X184" s="48"/>
      <c r="Y184" s="48"/>
      <c r="Z184" s="48"/>
      <c r="AA184" s="48"/>
      <c r="AB184" s="48"/>
      <c r="AC184" s="48"/>
      <c r="AD184" s="48"/>
      <c r="AE184" s="48"/>
    </row>
    <row r="185" spans="1:31" outlineLevel="1">
      <c r="A185" s="412">
        <f>ROW()</f>
        <v>185</v>
      </c>
      <c r="B185" s="1118"/>
      <c r="C185" s="1123"/>
      <c r="D185" s="1121"/>
      <c r="E185" s="1122"/>
      <c r="F185" s="1123"/>
      <c r="G185" s="119"/>
      <c r="H185" s="119"/>
      <c r="I185" s="119"/>
      <c r="J185" s="119"/>
      <c r="K185" s="119"/>
      <c r="L185" s="119"/>
      <c r="M185" s="119"/>
      <c r="O185" s="287"/>
      <c r="Q185" s="48"/>
      <c r="R185" s="48"/>
      <c r="S185" s="48"/>
      <c r="T185" s="48"/>
      <c r="U185" s="48"/>
      <c r="V185" s="48"/>
      <c r="W185" s="48"/>
      <c r="X185" s="48"/>
      <c r="Y185" s="48"/>
      <c r="Z185" s="48"/>
      <c r="AA185" s="48"/>
      <c r="AB185" s="48"/>
      <c r="AC185" s="48"/>
      <c r="AD185" s="48"/>
      <c r="AE185" s="48"/>
    </row>
    <row r="186" spans="1:31" outlineLevel="1">
      <c r="A186" s="412">
        <f>ROW()</f>
        <v>186</v>
      </c>
      <c r="B186" s="161"/>
      <c r="C186" s="130" t="s">
        <v>483</v>
      </c>
      <c r="D186" s="130" t="s">
        <v>497</v>
      </c>
      <c r="E186" s="269">
        <v>0</v>
      </c>
      <c r="F186" s="162"/>
      <c r="G186" s="601">
        <f t="shared" ref="G186:M190" si="36">IF($D186&lt;=G$10,1,0)</f>
        <v>0</v>
      </c>
      <c r="H186" s="601">
        <f t="shared" si="36"/>
        <v>0</v>
      </c>
      <c r="I186" s="601">
        <f t="shared" si="36"/>
        <v>0</v>
      </c>
      <c r="J186" s="601">
        <f t="shared" si="36"/>
        <v>0</v>
      </c>
      <c r="K186" s="601">
        <f t="shared" si="36"/>
        <v>0</v>
      </c>
      <c r="L186" s="601">
        <f t="shared" si="36"/>
        <v>0</v>
      </c>
      <c r="M186" s="601">
        <f t="shared" si="36"/>
        <v>0</v>
      </c>
      <c r="O186" s="287"/>
      <c r="Q186" s="48"/>
      <c r="R186" s="48"/>
      <c r="S186" s="48"/>
      <c r="T186" s="48"/>
      <c r="U186" s="48"/>
      <c r="V186" s="48"/>
      <c r="W186" s="48"/>
      <c r="X186" s="48"/>
      <c r="Y186" s="48"/>
      <c r="Z186" s="48"/>
      <c r="AA186" s="48"/>
      <c r="AB186" s="48"/>
      <c r="AC186" s="48"/>
      <c r="AD186" s="48"/>
      <c r="AE186" s="48"/>
    </row>
    <row r="187" spans="1:31" outlineLevel="1">
      <c r="A187" s="412">
        <f>ROW()</f>
        <v>187</v>
      </c>
      <c r="B187" s="161"/>
      <c r="C187" s="130" t="s">
        <v>483</v>
      </c>
      <c r="D187" s="130" t="s">
        <v>497</v>
      </c>
      <c r="E187" s="132">
        <v>0</v>
      </c>
      <c r="F187" s="162"/>
      <c r="G187" s="601">
        <f t="shared" si="36"/>
        <v>0</v>
      </c>
      <c r="H187" s="601">
        <f t="shared" si="36"/>
        <v>0</v>
      </c>
      <c r="I187" s="601">
        <f t="shared" si="36"/>
        <v>0</v>
      </c>
      <c r="J187" s="601">
        <f t="shared" si="36"/>
        <v>0</v>
      </c>
      <c r="K187" s="601">
        <f t="shared" si="36"/>
        <v>0</v>
      </c>
      <c r="L187" s="601">
        <f t="shared" si="36"/>
        <v>0</v>
      </c>
      <c r="M187" s="601">
        <f t="shared" si="36"/>
        <v>0</v>
      </c>
      <c r="O187" s="287"/>
      <c r="Q187" s="48"/>
      <c r="R187" s="48"/>
      <c r="S187" s="48"/>
      <c r="T187" s="48"/>
      <c r="U187" s="48"/>
      <c r="V187" s="48"/>
      <c r="W187" s="48"/>
      <c r="X187" s="48"/>
      <c r="Y187" s="48"/>
      <c r="Z187" s="48"/>
      <c r="AA187" s="48"/>
      <c r="AB187" s="48"/>
      <c r="AC187" s="48"/>
      <c r="AD187" s="48"/>
      <c r="AE187" s="48"/>
    </row>
    <row r="188" spans="1:31" outlineLevel="1">
      <c r="A188" s="412">
        <f>ROW()</f>
        <v>188</v>
      </c>
      <c r="B188" s="161"/>
      <c r="C188" s="130" t="s">
        <v>483</v>
      </c>
      <c r="D188" s="130" t="s">
        <v>497</v>
      </c>
      <c r="E188" s="132">
        <v>0</v>
      </c>
      <c r="F188" s="162"/>
      <c r="G188" s="601">
        <f t="shared" si="36"/>
        <v>0</v>
      </c>
      <c r="H188" s="601">
        <f t="shared" si="36"/>
        <v>0</v>
      </c>
      <c r="I188" s="601">
        <f t="shared" si="36"/>
        <v>0</v>
      </c>
      <c r="J188" s="601">
        <f t="shared" si="36"/>
        <v>0</v>
      </c>
      <c r="K188" s="601">
        <f t="shared" si="36"/>
        <v>0</v>
      </c>
      <c r="L188" s="601">
        <f t="shared" si="36"/>
        <v>0</v>
      </c>
      <c r="M188" s="601">
        <f t="shared" si="36"/>
        <v>0</v>
      </c>
      <c r="O188" s="287"/>
      <c r="Q188" s="48"/>
      <c r="R188" s="48"/>
      <c r="S188" s="48"/>
      <c r="T188" s="48"/>
      <c r="U188" s="48"/>
      <c r="V188" s="48"/>
      <c r="W188" s="48"/>
      <c r="X188" s="48"/>
      <c r="Y188" s="48"/>
      <c r="Z188" s="48"/>
      <c r="AA188" s="48"/>
      <c r="AB188" s="48"/>
      <c r="AC188" s="48"/>
      <c r="AD188" s="48"/>
      <c r="AE188" s="48"/>
    </row>
    <row r="189" spans="1:31" outlineLevel="1">
      <c r="A189" s="412">
        <f>ROW()</f>
        <v>189</v>
      </c>
      <c r="B189" s="161"/>
      <c r="C189" s="130" t="s">
        <v>483</v>
      </c>
      <c r="D189" s="130" t="s">
        <v>497</v>
      </c>
      <c r="E189" s="132">
        <v>0</v>
      </c>
      <c r="F189" s="162"/>
      <c r="G189" s="601">
        <f t="shared" si="36"/>
        <v>0</v>
      </c>
      <c r="H189" s="601">
        <f t="shared" si="36"/>
        <v>0</v>
      </c>
      <c r="I189" s="601">
        <f t="shared" si="36"/>
        <v>0</v>
      </c>
      <c r="J189" s="601">
        <f t="shared" si="36"/>
        <v>0</v>
      </c>
      <c r="K189" s="601">
        <f t="shared" si="36"/>
        <v>0</v>
      </c>
      <c r="L189" s="601">
        <f t="shared" si="36"/>
        <v>0</v>
      </c>
      <c r="M189" s="601">
        <f t="shared" si="36"/>
        <v>0</v>
      </c>
      <c r="O189" s="287"/>
      <c r="Q189" s="48"/>
      <c r="R189" s="48"/>
      <c r="S189" s="48"/>
      <c r="T189" s="48"/>
      <c r="U189" s="48"/>
      <c r="V189" s="48"/>
      <c r="W189" s="48"/>
      <c r="X189" s="48"/>
      <c r="Y189" s="48"/>
      <c r="Z189" s="48"/>
      <c r="AA189" s="48"/>
      <c r="AB189" s="48"/>
      <c r="AC189" s="48"/>
      <c r="AD189" s="48"/>
      <c r="AE189" s="48"/>
    </row>
    <row r="190" spans="1:31" outlineLevel="1">
      <c r="A190" s="412">
        <f>ROW()</f>
        <v>190</v>
      </c>
      <c r="B190" s="161"/>
      <c r="C190" s="130" t="s">
        <v>483</v>
      </c>
      <c r="D190" s="130" t="s">
        <v>497</v>
      </c>
      <c r="E190" s="132">
        <v>0</v>
      </c>
      <c r="F190" s="162"/>
      <c r="G190" s="601">
        <f t="shared" si="36"/>
        <v>0</v>
      </c>
      <c r="H190" s="601">
        <f t="shared" si="36"/>
        <v>0</v>
      </c>
      <c r="I190" s="601">
        <f t="shared" si="36"/>
        <v>0</v>
      </c>
      <c r="J190" s="601">
        <f t="shared" si="36"/>
        <v>0</v>
      </c>
      <c r="K190" s="601">
        <f t="shared" si="36"/>
        <v>0</v>
      </c>
      <c r="L190" s="601">
        <f t="shared" si="36"/>
        <v>0</v>
      </c>
      <c r="M190" s="601">
        <f t="shared" si="36"/>
        <v>0</v>
      </c>
      <c r="O190" s="287"/>
      <c r="Q190" s="48"/>
      <c r="R190" s="48"/>
      <c r="S190" s="48"/>
      <c r="T190" s="48"/>
      <c r="U190" s="48"/>
      <c r="V190" s="48"/>
      <c r="W190" s="48"/>
      <c r="X190" s="48"/>
      <c r="Y190" s="48"/>
      <c r="Z190" s="48"/>
      <c r="AA190" s="48"/>
      <c r="AB190" s="48"/>
      <c r="AC190" s="48"/>
      <c r="AD190" s="48"/>
      <c r="AE190" s="48"/>
    </row>
    <row r="191" spans="1:31" outlineLevel="1">
      <c r="A191" s="412">
        <f>ROW()</f>
        <v>191</v>
      </c>
      <c r="B191" s="1118"/>
      <c r="C191" s="1119"/>
      <c r="D191" s="1119"/>
      <c r="E191" s="1122"/>
      <c r="F191" s="1123"/>
      <c r="G191" s="119"/>
      <c r="H191" s="119"/>
      <c r="I191" s="119"/>
      <c r="J191" s="119"/>
      <c r="K191" s="119"/>
      <c r="L191" s="119"/>
      <c r="M191" s="119"/>
      <c r="O191" s="287"/>
      <c r="Q191" s="48"/>
      <c r="R191" s="48"/>
      <c r="S191" s="48"/>
      <c r="T191" s="48"/>
      <c r="U191" s="48"/>
      <c r="V191" s="48"/>
      <c r="W191" s="48"/>
      <c r="X191" s="48"/>
      <c r="Y191" s="48"/>
      <c r="Z191" s="48"/>
      <c r="AA191" s="48"/>
      <c r="AB191" s="48"/>
      <c r="AC191" s="48"/>
      <c r="AD191" s="48"/>
      <c r="AE191" s="48"/>
    </row>
    <row r="192" spans="1:31" outlineLevel="1">
      <c r="A192" s="412">
        <f>ROW()</f>
        <v>192</v>
      </c>
      <c r="B192" s="161"/>
      <c r="C192" s="130" t="s">
        <v>483</v>
      </c>
      <c r="D192" s="130" t="s">
        <v>497</v>
      </c>
      <c r="E192" s="269">
        <v>0</v>
      </c>
      <c r="F192" s="162"/>
      <c r="G192" s="601">
        <f t="shared" ref="G192:M197" si="37">IF($D192&lt;=G$10,1,0)</f>
        <v>0</v>
      </c>
      <c r="H192" s="601">
        <f t="shared" si="37"/>
        <v>0</v>
      </c>
      <c r="I192" s="601">
        <f t="shared" si="37"/>
        <v>0</v>
      </c>
      <c r="J192" s="601">
        <f t="shared" si="37"/>
        <v>0</v>
      </c>
      <c r="K192" s="601">
        <f t="shared" si="37"/>
        <v>0</v>
      </c>
      <c r="L192" s="601">
        <f t="shared" si="37"/>
        <v>0</v>
      </c>
      <c r="M192" s="601">
        <f t="shared" si="37"/>
        <v>0</v>
      </c>
      <c r="O192" s="287"/>
      <c r="Q192" s="48"/>
      <c r="R192" s="48"/>
      <c r="S192" s="48"/>
      <c r="T192" s="48"/>
      <c r="U192" s="48"/>
      <c r="V192" s="48"/>
      <c r="W192" s="48"/>
      <c r="X192" s="48"/>
      <c r="Y192" s="48"/>
      <c r="Z192" s="48"/>
      <c r="AA192" s="48"/>
      <c r="AB192" s="48"/>
      <c r="AC192" s="48"/>
      <c r="AD192" s="48"/>
      <c r="AE192" s="48"/>
    </row>
    <row r="193" spans="1:31" outlineLevel="1">
      <c r="A193" s="412">
        <f>ROW()</f>
        <v>193</v>
      </c>
      <c r="B193" s="161"/>
      <c r="C193" s="130" t="s">
        <v>483</v>
      </c>
      <c r="D193" s="130" t="s">
        <v>497</v>
      </c>
      <c r="E193" s="132">
        <v>0</v>
      </c>
      <c r="F193" s="162"/>
      <c r="G193" s="601">
        <f t="shared" si="37"/>
        <v>0</v>
      </c>
      <c r="H193" s="601">
        <f t="shared" si="37"/>
        <v>0</v>
      </c>
      <c r="I193" s="601">
        <f t="shared" si="37"/>
        <v>0</v>
      </c>
      <c r="J193" s="601">
        <f t="shared" si="37"/>
        <v>0</v>
      </c>
      <c r="K193" s="601">
        <f t="shared" si="37"/>
        <v>0</v>
      </c>
      <c r="L193" s="601">
        <f t="shared" si="37"/>
        <v>0</v>
      </c>
      <c r="M193" s="601">
        <f t="shared" si="37"/>
        <v>0</v>
      </c>
      <c r="O193" s="287"/>
      <c r="Q193" s="48"/>
      <c r="R193" s="48"/>
      <c r="S193" s="48"/>
      <c r="T193" s="48"/>
      <c r="U193" s="48"/>
      <c r="V193" s="48"/>
      <c r="W193" s="48"/>
      <c r="X193" s="48"/>
      <c r="Y193" s="48"/>
      <c r="Z193" s="48"/>
      <c r="AA193" s="48"/>
      <c r="AB193" s="48"/>
      <c r="AC193" s="48"/>
      <c r="AD193" s="48"/>
      <c r="AE193" s="48"/>
    </row>
    <row r="194" spans="1:31" outlineLevel="1">
      <c r="A194" s="412">
        <f>ROW()</f>
        <v>194</v>
      </c>
      <c r="B194" s="161"/>
      <c r="C194" s="130" t="s">
        <v>483</v>
      </c>
      <c r="D194" s="130" t="s">
        <v>497</v>
      </c>
      <c r="E194" s="132">
        <v>0</v>
      </c>
      <c r="F194" s="162"/>
      <c r="G194" s="601">
        <f t="shared" si="37"/>
        <v>0</v>
      </c>
      <c r="H194" s="601">
        <f t="shared" si="37"/>
        <v>0</v>
      </c>
      <c r="I194" s="601">
        <f t="shared" si="37"/>
        <v>0</v>
      </c>
      <c r="J194" s="601">
        <f t="shared" si="37"/>
        <v>0</v>
      </c>
      <c r="K194" s="601">
        <f t="shared" si="37"/>
        <v>0</v>
      </c>
      <c r="L194" s="601">
        <f t="shared" si="37"/>
        <v>0</v>
      </c>
      <c r="M194" s="601">
        <f t="shared" si="37"/>
        <v>0</v>
      </c>
      <c r="O194" s="287"/>
      <c r="Q194" s="48"/>
      <c r="R194" s="48"/>
      <c r="S194" s="48"/>
      <c r="T194" s="48"/>
      <c r="U194" s="48"/>
      <c r="V194" s="48"/>
      <c r="W194" s="48"/>
      <c r="X194" s="48"/>
      <c r="Y194" s="48"/>
      <c r="Z194" s="48"/>
      <c r="AA194" s="48"/>
      <c r="AB194" s="48"/>
      <c r="AC194" s="48"/>
      <c r="AD194" s="48"/>
      <c r="AE194" s="48"/>
    </row>
    <row r="195" spans="1:31" outlineLevel="1">
      <c r="A195" s="412">
        <f>ROW()</f>
        <v>195</v>
      </c>
      <c r="B195" s="161"/>
      <c r="C195" s="130" t="s">
        <v>483</v>
      </c>
      <c r="D195" s="130" t="s">
        <v>497</v>
      </c>
      <c r="E195" s="132">
        <v>0</v>
      </c>
      <c r="F195" s="162"/>
      <c r="G195" s="601">
        <f t="shared" si="37"/>
        <v>0</v>
      </c>
      <c r="H195" s="601">
        <f t="shared" si="37"/>
        <v>0</v>
      </c>
      <c r="I195" s="601">
        <f t="shared" si="37"/>
        <v>0</v>
      </c>
      <c r="J195" s="601">
        <f t="shared" si="37"/>
        <v>0</v>
      </c>
      <c r="K195" s="601">
        <f t="shared" si="37"/>
        <v>0</v>
      </c>
      <c r="L195" s="601">
        <f t="shared" si="37"/>
        <v>0</v>
      </c>
      <c r="M195" s="601">
        <f t="shared" si="37"/>
        <v>0</v>
      </c>
      <c r="O195" s="287"/>
      <c r="Q195" s="48"/>
      <c r="R195" s="48"/>
      <c r="S195" s="48"/>
      <c r="T195" s="48"/>
      <c r="U195" s="48"/>
      <c r="V195" s="48"/>
      <c r="W195" s="48"/>
      <c r="X195" s="48"/>
      <c r="Y195" s="48"/>
      <c r="Z195" s="48"/>
      <c r="AA195" s="48"/>
      <c r="AB195" s="48"/>
      <c r="AC195" s="48"/>
      <c r="AD195" s="48"/>
      <c r="AE195" s="48"/>
    </row>
    <row r="196" spans="1:31" outlineLevel="1">
      <c r="A196" s="412">
        <f>ROW()</f>
        <v>196</v>
      </c>
      <c r="B196" s="161"/>
      <c r="C196" s="130" t="s">
        <v>483</v>
      </c>
      <c r="D196" s="130" t="s">
        <v>497</v>
      </c>
      <c r="E196" s="132">
        <v>0</v>
      </c>
      <c r="F196" s="162"/>
      <c r="G196" s="601">
        <f t="shared" si="37"/>
        <v>0</v>
      </c>
      <c r="H196" s="601">
        <f t="shared" si="37"/>
        <v>0</v>
      </c>
      <c r="I196" s="601">
        <f t="shared" si="37"/>
        <v>0</v>
      </c>
      <c r="J196" s="601">
        <f t="shared" si="37"/>
        <v>0</v>
      </c>
      <c r="K196" s="601">
        <f t="shared" si="37"/>
        <v>0</v>
      </c>
      <c r="L196" s="601">
        <f t="shared" si="37"/>
        <v>0</v>
      </c>
      <c r="M196" s="601">
        <f t="shared" si="37"/>
        <v>0</v>
      </c>
      <c r="O196" s="287"/>
      <c r="Q196" s="48"/>
      <c r="R196" s="48"/>
      <c r="S196" s="48"/>
      <c r="T196" s="48"/>
      <c r="U196" s="48"/>
      <c r="V196" s="48"/>
      <c r="W196" s="48"/>
      <c r="X196" s="48"/>
      <c r="Y196" s="48"/>
      <c r="Z196" s="48"/>
      <c r="AA196" s="48"/>
      <c r="AB196" s="48"/>
      <c r="AC196" s="48"/>
      <c r="AD196" s="48"/>
      <c r="AE196" s="48"/>
    </row>
    <row r="197" spans="1:31" outlineLevel="1">
      <c r="A197" s="412">
        <f>ROW()</f>
        <v>197</v>
      </c>
      <c r="B197" s="161"/>
      <c r="C197" s="130" t="s">
        <v>483</v>
      </c>
      <c r="D197" s="130" t="s">
        <v>497</v>
      </c>
      <c r="E197" s="162"/>
      <c r="F197" s="162"/>
      <c r="G197" s="601">
        <f t="shared" si="37"/>
        <v>0</v>
      </c>
      <c r="H197" s="601">
        <f t="shared" si="37"/>
        <v>0</v>
      </c>
      <c r="I197" s="601">
        <f t="shared" si="37"/>
        <v>0</v>
      </c>
      <c r="J197" s="601">
        <f t="shared" si="37"/>
        <v>0</v>
      </c>
      <c r="K197" s="601">
        <f t="shared" si="37"/>
        <v>0</v>
      </c>
      <c r="L197" s="601">
        <f t="shared" si="37"/>
        <v>0</v>
      </c>
      <c r="M197" s="601">
        <f t="shared" si="37"/>
        <v>0</v>
      </c>
      <c r="O197" s="287"/>
      <c r="Q197" s="48"/>
      <c r="R197" s="48"/>
      <c r="S197" s="48"/>
      <c r="T197" s="48"/>
      <c r="U197" s="48"/>
      <c r="V197" s="48"/>
      <c r="W197" s="48"/>
      <c r="X197" s="48"/>
      <c r="Y197" s="48"/>
      <c r="Z197" s="48"/>
      <c r="AA197" s="48"/>
      <c r="AB197" s="48"/>
      <c r="AC197" s="48"/>
      <c r="AD197" s="48"/>
      <c r="AE197" s="48"/>
    </row>
    <row r="198" spans="1:31" outlineLevel="1">
      <c r="A198" s="412">
        <f>ROW()</f>
        <v>198</v>
      </c>
      <c r="B198" s="1109"/>
      <c r="C198" s="1124"/>
      <c r="D198" s="1124"/>
      <c r="E198" s="1125"/>
      <c r="F198" s="1123"/>
      <c r="G198" s="119"/>
      <c r="H198" s="119"/>
      <c r="I198" s="119"/>
      <c r="J198" s="119"/>
      <c r="K198" s="119"/>
      <c r="L198" s="119"/>
      <c r="M198" s="119"/>
      <c r="O198" s="287"/>
      <c r="Q198" s="48"/>
      <c r="R198" s="48"/>
      <c r="S198" s="48"/>
      <c r="T198" s="48"/>
      <c r="U198" s="48"/>
      <c r="V198" s="48"/>
      <c r="W198" s="48"/>
      <c r="X198" s="48"/>
      <c r="Y198" s="48"/>
      <c r="Z198" s="48"/>
      <c r="AA198" s="48"/>
      <c r="AB198" s="48"/>
      <c r="AC198" s="48"/>
      <c r="AD198" s="48"/>
      <c r="AE198" s="48"/>
    </row>
    <row r="199" spans="1:31" outlineLevel="1">
      <c r="A199" s="412">
        <f>ROW()</f>
        <v>199</v>
      </c>
      <c r="B199" s="161"/>
      <c r="C199" s="130" t="s">
        <v>483</v>
      </c>
      <c r="D199" s="130" t="s">
        <v>497</v>
      </c>
      <c r="E199" s="269">
        <v>0</v>
      </c>
      <c r="F199" s="162"/>
      <c r="G199" s="601">
        <f t="shared" ref="G199:M203" si="38">IF($D199&lt;=G$10,1,0)</f>
        <v>0</v>
      </c>
      <c r="H199" s="601">
        <f t="shared" si="38"/>
        <v>0</v>
      </c>
      <c r="I199" s="601">
        <f t="shared" si="38"/>
        <v>0</v>
      </c>
      <c r="J199" s="601">
        <f t="shared" si="38"/>
        <v>0</v>
      </c>
      <c r="K199" s="601">
        <f t="shared" si="38"/>
        <v>0</v>
      </c>
      <c r="L199" s="601">
        <f t="shared" si="38"/>
        <v>0</v>
      </c>
      <c r="M199" s="601">
        <f t="shared" si="38"/>
        <v>0</v>
      </c>
      <c r="O199" s="287"/>
      <c r="Q199" s="48"/>
      <c r="R199" s="48"/>
      <c r="S199" s="48"/>
      <c r="T199" s="48"/>
      <c r="U199" s="48"/>
      <c r="V199" s="48"/>
      <c r="W199" s="48"/>
      <c r="X199" s="48"/>
      <c r="Y199" s="48"/>
      <c r="Z199" s="48"/>
      <c r="AA199" s="48"/>
      <c r="AB199" s="48"/>
      <c r="AC199" s="48"/>
      <c r="AD199" s="48"/>
      <c r="AE199" s="48"/>
    </row>
    <row r="200" spans="1:31" outlineLevel="1">
      <c r="A200" s="412">
        <f>ROW()</f>
        <v>200</v>
      </c>
      <c r="B200" s="161"/>
      <c r="C200" s="130" t="s">
        <v>483</v>
      </c>
      <c r="D200" s="130" t="s">
        <v>497</v>
      </c>
      <c r="E200" s="132">
        <v>0</v>
      </c>
      <c r="F200" s="162"/>
      <c r="G200" s="601">
        <f t="shared" si="38"/>
        <v>0</v>
      </c>
      <c r="H200" s="601">
        <f t="shared" si="38"/>
        <v>0</v>
      </c>
      <c r="I200" s="601">
        <f t="shared" si="38"/>
        <v>0</v>
      </c>
      <c r="J200" s="601">
        <f t="shared" si="38"/>
        <v>0</v>
      </c>
      <c r="K200" s="601">
        <f t="shared" si="38"/>
        <v>0</v>
      </c>
      <c r="L200" s="601">
        <f t="shared" si="38"/>
        <v>0</v>
      </c>
      <c r="M200" s="601">
        <f t="shared" si="38"/>
        <v>0</v>
      </c>
      <c r="O200" s="287"/>
      <c r="Q200" s="48"/>
      <c r="R200" s="48"/>
      <c r="S200" s="48"/>
      <c r="T200" s="48"/>
      <c r="U200" s="48"/>
      <c r="V200" s="48"/>
      <c r="W200" s="48"/>
      <c r="X200" s="48"/>
      <c r="Y200" s="48"/>
      <c r="Z200" s="48"/>
      <c r="AA200" s="48"/>
      <c r="AB200" s="48"/>
      <c r="AC200" s="48"/>
      <c r="AD200" s="48"/>
      <c r="AE200" s="48"/>
    </row>
    <row r="201" spans="1:31" outlineLevel="1">
      <c r="A201" s="412">
        <f>ROW()</f>
        <v>201</v>
      </c>
      <c r="B201" s="161"/>
      <c r="C201" s="130" t="s">
        <v>483</v>
      </c>
      <c r="D201" s="130" t="s">
        <v>497</v>
      </c>
      <c r="E201" s="132">
        <v>0</v>
      </c>
      <c r="F201" s="162"/>
      <c r="G201" s="601">
        <f t="shared" si="38"/>
        <v>0</v>
      </c>
      <c r="H201" s="601">
        <f t="shared" si="38"/>
        <v>0</v>
      </c>
      <c r="I201" s="601">
        <f t="shared" si="38"/>
        <v>0</v>
      </c>
      <c r="J201" s="601">
        <f t="shared" si="38"/>
        <v>0</v>
      </c>
      <c r="K201" s="601">
        <f t="shared" si="38"/>
        <v>0</v>
      </c>
      <c r="L201" s="601">
        <f t="shared" si="38"/>
        <v>0</v>
      </c>
      <c r="M201" s="601">
        <f t="shared" si="38"/>
        <v>0</v>
      </c>
      <c r="O201" s="287"/>
      <c r="Q201" s="48"/>
      <c r="R201" s="48"/>
      <c r="S201" s="48"/>
      <c r="T201" s="48"/>
      <c r="U201" s="48"/>
      <c r="V201" s="48"/>
      <c r="W201" s="48"/>
      <c r="X201" s="48"/>
      <c r="Y201" s="48"/>
      <c r="Z201" s="48"/>
      <c r="AA201" s="48"/>
      <c r="AB201" s="48"/>
      <c r="AC201" s="48"/>
      <c r="AD201" s="48"/>
      <c r="AE201" s="48"/>
    </row>
    <row r="202" spans="1:31" outlineLevel="1">
      <c r="A202" s="412">
        <f>ROW()</f>
        <v>202</v>
      </c>
      <c r="B202" s="161"/>
      <c r="C202" s="130" t="s">
        <v>483</v>
      </c>
      <c r="D202" s="130" t="s">
        <v>497</v>
      </c>
      <c r="E202" s="132">
        <v>0</v>
      </c>
      <c r="F202" s="162"/>
      <c r="G202" s="601">
        <f t="shared" si="38"/>
        <v>0</v>
      </c>
      <c r="H202" s="601">
        <f t="shared" si="38"/>
        <v>0</v>
      </c>
      <c r="I202" s="601">
        <f t="shared" si="38"/>
        <v>0</v>
      </c>
      <c r="J202" s="601">
        <f t="shared" si="38"/>
        <v>0</v>
      </c>
      <c r="K202" s="601">
        <f t="shared" si="38"/>
        <v>0</v>
      </c>
      <c r="L202" s="601">
        <f t="shared" si="38"/>
        <v>0</v>
      </c>
      <c r="M202" s="601">
        <f t="shared" si="38"/>
        <v>0</v>
      </c>
      <c r="O202" s="287"/>
      <c r="Q202" s="48"/>
      <c r="R202" s="48"/>
      <c r="S202" s="48"/>
      <c r="T202" s="48"/>
      <c r="U202" s="48"/>
      <c r="V202" s="48"/>
      <c r="W202" s="48"/>
      <c r="X202" s="48"/>
      <c r="Y202" s="48"/>
      <c r="Z202" s="48"/>
      <c r="AA202" s="48"/>
      <c r="AB202" s="48"/>
      <c r="AC202" s="48"/>
      <c r="AD202" s="48"/>
      <c r="AE202" s="48"/>
    </row>
    <row r="203" spans="1:31" outlineLevel="1">
      <c r="A203" s="412">
        <f>ROW()</f>
        <v>203</v>
      </c>
      <c r="B203" s="161"/>
      <c r="C203" s="130" t="s">
        <v>483</v>
      </c>
      <c r="D203" s="130" t="s">
        <v>497</v>
      </c>
      <c r="E203" s="132">
        <v>0</v>
      </c>
      <c r="F203" s="162"/>
      <c r="G203" s="601">
        <f t="shared" si="38"/>
        <v>0</v>
      </c>
      <c r="H203" s="601">
        <f t="shared" si="38"/>
        <v>0</v>
      </c>
      <c r="I203" s="601">
        <f t="shared" si="38"/>
        <v>0</v>
      </c>
      <c r="J203" s="601">
        <f t="shared" si="38"/>
        <v>0</v>
      </c>
      <c r="K203" s="601">
        <f t="shared" si="38"/>
        <v>0</v>
      </c>
      <c r="L203" s="601">
        <f t="shared" si="38"/>
        <v>0</v>
      </c>
      <c r="M203" s="601">
        <f t="shared" si="38"/>
        <v>0</v>
      </c>
      <c r="O203" s="287"/>
      <c r="Q203" s="48"/>
      <c r="R203" s="48"/>
      <c r="S203" s="48"/>
      <c r="T203" s="48"/>
      <c r="U203" s="48"/>
      <c r="V203" s="48"/>
      <c r="W203" s="48"/>
      <c r="X203" s="48"/>
      <c r="Y203" s="48"/>
      <c r="Z203" s="48"/>
      <c r="AA203" s="48"/>
      <c r="AB203" s="48"/>
      <c r="AC203" s="48"/>
      <c r="AD203" s="48"/>
      <c r="AE203" s="48"/>
    </row>
    <row r="204" spans="1:31" outlineLevel="1">
      <c r="A204" s="412">
        <f>ROW()</f>
        <v>204</v>
      </c>
      <c r="B204" s="257"/>
      <c r="C204" s="1121"/>
      <c r="D204" s="1121"/>
      <c r="E204" s="1122"/>
      <c r="F204" s="1123"/>
      <c r="G204" s="119"/>
      <c r="H204" s="119"/>
      <c r="I204" s="119"/>
      <c r="J204" s="119"/>
      <c r="K204" s="119"/>
      <c r="L204" s="119"/>
      <c r="M204" s="119"/>
      <c r="O204" s="287"/>
      <c r="Q204" s="48"/>
      <c r="R204" s="48"/>
      <c r="S204" s="48"/>
      <c r="T204" s="48"/>
      <c r="U204" s="48"/>
      <c r="V204" s="48"/>
      <c r="W204" s="48"/>
      <c r="X204" s="48"/>
      <c r="Y204" s="48"/>
      <c r="Z204" s="48"/>
      <c r="AA204" s="48"/>
      <c r="AB204" s="48"/>
      <c r="AC204" s="48"/>
      <c r="AD204" s="48"/>
      <c r="AE204" s="48"/>
    </row>
    <row r="205" spans="1:31" outlineLevel="1">
      <c r="A205" s="412">
        <f>ROW()</f>
        <v>205</v>
      </c>
      <c r="B205" s="161"/>
      <c r="C205" s="130" t="s">
        <v>483</v>
      </c>
      <c r="D205" s="130" t="s">
        <v>497</v>
      </c>
      <c r="E205" s="269">
        <v>0</v>
      </c>
      <c r="F205" s="162"/>
      <c r="G205" s="601">
        <f t="shared" ref="G205:M209" si="39">IF($D205&lt;=G$10,1,0)</f>
        <v>0</v>
      </c>
      <c r="H205" s="601">
        <f t="shared" si="39"/>
        <v>0</v>
      </c>
      <c r="I205" s="601">
        <f t="shared" si="39"/>
        <v>0</v>
      </c>
      <c r="J205" s="601">
        <f t="shared" si="39"/>
        <v>0</v>
      </c>
      <c r="K205" s="601">
        <f t="shared" si="39"/>
        <v>0</v>
      </c>
      <c r="L205" s="601">
        <f t="shared" si="39"/>
        <v>0</v>
      </c>
      <c r="M205" s="601">
        <f t="shared" si="39"/>
        <v>0</v>
      </c>
      <c r="O205" s="287"/>
      <c r="Q205" s="48"/>
      <c r="R205" s="48"/>
      <c r="S205" s="48"/>
      <c r="T205" s="48"/>
      <c r="U205" s="48"/>
      <c r="V205" s="48"/>
      <c r="W205" s="48"/>
      <c r="X205" s="48"/>
      <c r="Y205" s="48"/>
      <c r="Z205" s="48"/>
      <c r="AA205" s="48"/>
      <c r="AB205" s="48"/>
      <c r="AC205" s="48"/>
      <c r="AD205" s="48"/>
      <c r="AE205" s="48"/>
    </row>
    <row r="206" spans="1:31" outlineLevel="1">
      <c r="A206" s="412">
        <f>ROW()</f>
        <v>206</v>
      </c>
      <c r="B206" s="161"/>
      <c r="C206" s="130" t="s">
        <v>483</v>
      </c>
      <c r="D206" s="130" t="s">
        <v>497</v>
      </c>
      <c r="E206" s="132">
        <v>0</v>
      </c>
      <c r="F206" s="162"/>
      <c r="G206" s="601">
        <f t="shared" si="39"/>
        <v>0</v>
      </c>
      <c r="H206" s="601">
        <f t="shared" si="39"/>
        <v>0</v>
      </c>
      <c r="I206" s="601">
        <f t="shared" si="39"/>
        <v>0</v>
      </c>
      <c r="J206" s="601">
        <f t="shared" si="39"/>
        <v>0</v>
      </c>
      <c r="K206" s="601">
        <f t="shared" si="39"/>
        <v>0</v>
      </c>
      <c r="L206" s="601">
        <f t="shared" si="39"/>
        <v>0</v>
      </c>
      <c r="M206" s="601">
        <f t="shared" si="39"/>
        <v>0</v>
      </c>
      <c r="O206" s="287"/>
      <c r="Q206" s="48"/>
      <c r="R206" s="48"/>
      <c r="S206" s="48"/>
      <c r="T206" s="48"/>
      <c r="U206" s="48"/>
      <c r="V206" s="48"/>
      <c r="W206" s="48"/>
      <c r="X206" s="48"/>
      <c r="Y206" s="48"/>
      <c r="Z206" s="48"/>
      <c r="AA206" s="48"/>
      <c r="AB206" s="48"/>
      <c r="AC206" s="48"/>
      <c r="AD206" s="48"/>
      <c r="AE206" s="48"/>
    </row>
    <row r="207" spans="1:31" outlineLevel="1">
      <c r="A207" s="412">
        <f>ROW()</f>
        <v>207</v>
      </c>
      <c r="B207" s="161"/>
      <c r="C207" s="130" t="s">
        <v>483</v>
      </c>
      <c r="D207" s="130" t="s">
        <v>497</v>
      </c>
      <c r="E207" s="132">
        <v>0</v>
      </c>
      <c r="F207" s="162"/>
      <c r="G207" s="601">
        <f t="shared" si="39"/>
        <v>0</v>
      </c>
      <c r="H207" s="601">
        <f t="shared" si="39"/>
        <v>0</v>
      </c>
      <c r="I207" s="601">
        <f t="shared" si="39"/>
        <v>0</v>
      </c>
      <c r="J207" s="601">
        <f t="shared" si="39"/>
        <v>0</v>
      </c>
      <c r="K207" s="601">
        <f t="shared" si="39"/>
        <v>0</v>
      </c>
      <c r="L207" s="601">
        <f t="shared" si="39"/>
        <v>0</v>
      </c>
      <c r="M207" s="601">
        <f t="shared" si="39"/>
        <v>0</v>
      </c>
      <c r="O207" s="287"/>
      <c r="Q207" s="48"/>
      <c r="R207" s="48"/>
      <c r="S207" s="48"/>
      <c r="T207" s="48"/>
      <c r="U207" s="48"/>
      <c r="V207" s="48"/>
      <c r="W207" s="48"/>
      <c r="X207" s="48"/>
      <c r="Y207" s="48"/>
      <c r="Z207" s="48"/>
      <c r="AA207" s="48"/>
      <c r="AB207" s="48"/>
      <c r="AC207" s="48"/>
      <c r="AD207" s="48"/>
      <c r="AE207" s="48"/>
    </row>
    <row r="208" spans="1:31" outlineLevel="1">
      <c r="A208" s="412">
        <f>ROW()</f>
        <v>208</v>
      </c>
      <c r="B208" s="161"/>
      <c r="C208" s="130" t="s">
        <v>483</v>
      </c>
      <c r="D208" s="130" t="s">
        <v>497</v>
      </c>
      <c r="E208" s="132">
        <v>0</v>
      </c>
      <c r="F208" s="162"/>
      <c r="G208" s="601">
        <f t="shared" si="39"/>
        <v>0</v>
      </c>
      <c r="H208" s="601">
        <f t="shared" si="39"/>
        <v>0</v>
      </c>
      <c r="I208" s="601">
        <f t="shared" si="39"/>
        <v>0</v>
      </c>
      <c r="J208" s="601">
        <f t="shared" si="39"/>
        <v>0</v>
      </c>
      <c r="K208" s="601">
        <f t="shared" si="39"/>
        <v>0</v>
      </c>
      <c r="L208" s="601">
        <f t="shared" si="39"/>
        <v>0</v>
      </c>
      <c r="M208" s="601">
        <f t="shared" si="39"/>
        <v>0</v>
      </c>
      <c r="O208" s="287"/>
      <c r="Q208" s="48"/>
      <c r="R208" s="48"/>
      <c r="S208" s="48"/>
      <c r="T208" s="48"/>
      <c r="U208" s="48"/>
      <c r="V208" s="48"/>
      <c r="W208" s="48"/>
      <c r="X208" s="48"/>
      <c r="Y208" s="48"/>
      <c r="Z208" s="48"/>
      <c r="AA208" s="48"/>
      <c r="AB208" s="48"/>
      <c r="AC208" s="48"/>
      <c r="AD208" s="48"/>
      <c r="AE208" s="48"/>
    </row>
    <row r="209" spans="1:31" outlineLevel="1">
      <c r="A209" s="412">
        <f>ROW()</f>
        <v>209</v>
      </c>
      <c r="B209" s="161"/>
      <c r="C209" s="130" t="s">
        <v>483</v>
      </c>
      <c r="D209" s="130" t="s">
        <v>497</v>
      </c>
      <c r="E209" s="132">
        <v>0</v>
      </c>
      <c r="F209" s="162"/>
      <c r="G209" s="601">
        <f t="shared" si="39"/>
        <v>0</v>
      </c>
      <c r="H209" s="601">
        <f t="shared" si="39"/>
        <v>0</v>
      </c>
      <c r="I209" s="601">
        <f t="shared" si="39"/>
        <v>0</v>
      </c>
      <c r="J209" s="601">
        <f t="shared" si="39"/>
        <v>0</v>
      </c>
      <c r="K209" s="601">
        <f t="shared" si="39"/>
        <v>0</v>
      </c>
      <c r="L209" s="601">
        <f t="shared" si="39"/>
        <v>0</v>
      </c>
      <c r="M209" s="601">
        <f t="shared" si="39"/>
        <v>0</v>
      </c>
      <c r="O209" s="287"/>
      <c r="Q209" s="48"/>
      <c r="R209" s="48"/>
      <c r="S209" s="48"/>
      <c r="T209" s="48"/>
      <c r="U209" s="48"/>
      <c r="V209" s="48"/>
      <c r="W209" s="48"/>
      <c r="X209" s="48"/>
      <c r="Y209" s="48"/>
      <c r="Z209" s="48"/>
      <c r="AA209" s="48"/>
      <c r="AB209" s="48"/>
      <c r="AC209" s="48"/>
      <c r="AD209" s="48"/>
      <c r="AE209" s="48"/>
    </row>
    <row r="210" spans="1:31" outlineLevel="1">
      <c r="A210" s="412">
        <f>ROW()</f>
        <v>210</v>
      </c>
      <c r="B210" s="257"/>
      <c r="C210" s="1121"/>
      <c r="D210" s="1121"/>
      <c r="E210" s="1122"/>
      <c r="F210" s="1123"/>
      <c r="G210" s="119"/>
      <c r="H210" s="119"/>
      <c r="I210" s="119"/>
      <c r="J210" s="119"/>
      <c r="K210" s="119"/>
      <c r="L210" s="119"/>
      <c r="M210" s="119"/>
      <c r="O210" s="287"/>
      <c r="Q210" s="48"/>
      <c r="R210" s="48"/>
      <c r="S210" s="48"/>
      <c r="T210" s="48"/>
      <c r="U210" s="48"/>
      <c r="V210" s="48"/>
      <c r="W210" s="48"/>
      <c r="X210" s="48"/>
      <c r="Y210" s="48"/>
      <c r="Z210" s="48"/>
      <c r="AA210" s="48"/>
      <c r="AB210" s="48"/>
      <c r="AC210" s="48"/>
      <c r="AD210" s="48"/>
      <c r="AE210" s="48"/>
    </row>
    <row r="211" spans="1:31" outlineLevel="1">
      <c r="A211" s="412">
        <f>ROW()</f>
        <v>211</v>
      </c>
      <c r="B211" s="161"/>
      <c r="C211" s="130" t="s">
        <v>483</v>
      </c>
      <c r="D211" s="130" t="s">
        <v>497</v>
      </c>
      <c r="E211" s="269">
        <v>0</v>
      </c>
      <c r="F211" s="162"/>
      <c r="G211" s="601">
        <f t="shared" ref="G211:M215" si="40">IF($D211&lt;=G$10,1,0)</f>
        <v>0</v>
      </c>
      <c r="H211" s="601">
        <f t="shared" si="40"/>
        <v>0</v>
      </c>
      <c r="I211" s="601">
        <f t="shared" si="40"/>
        <v>0</v>
      </c>
      <c r="J211" s="601">
        <f t="shared" si="40"/>
        <v>0</v>
      </c>
      <c r="K211" s="601">
        <f t="shared" si="40"/>
        <v>0</v>
      </c>
      <c r="L211" s="601">
        <f t="shared" si="40"/>
        <v>0</v>
      </c>
      <c r="M211" s="601">
        <f t="shared" si="40"/>
        <v>0</v>
      </c>
      <c r="O211" s="287"/>
      <c r="Q211" s="48"/>
      <c r="R211" s="48"/>
      <c r="S211" s="48"/>
      <c r="T211" s="48"/>
      <c r="U211" s="48"/>
      <c r="V211" s="48"/>
      <c r="W211" s="48"/>
      <c r="X211" s="48"/>
      <c r="Y211" s="48"/>
      <c r="Z211" s="48"/>
      <c r="AA211" s="48"/>
      <c r="AB211" s="48"/>
      <c r="AC211" s="48"/>
      <c r="AD211" s="48"/>
      <c r="AE211" s="48"/>
    </row>
    <row r="212" spans="1:31" outlineLevel="1">
      <c r="A212" s="412">
        <f>ROW()</f>
        <v>212</v>
      </c>
      <c r="B212" s="161"/>
      <c r="C212" s="130" t="s">
        <v>483</v>
      </c>
      <c r="D212" s="130" t="s">
        <v>497</v>
      </c>
      <c r="E212" s="132">
        <v>0</v>
      </c>
      <c r="F212" s="162"/>
      <c r="G212" s="601">
        <f t="shared" si="40"/>
        <v>0</v>
      </c>
      <c r="H212" s="601">
        <f t="shared" si="40"/>
        <v>0</v>
      </c>
      <c r="I212" s="601">
        <f t="shared" si="40"/>
        <v>0</v>
      </c>
      <c r="J212" s="601">
        <f t="shared" si="40"/>
        <v>0</v>
      </c>
      <c r="K212" s="601">
        <f t="shared" si="40"/>
        <v>0</v>
      </c>
      <c r="L212" s="601">
        <f t="shared" si="40"/>
        <v>0</v>
      </c>
      <c r="M212" s="601">
        <f t="shared" si="40"/>
        <v>0</v>
      </c>
      <c r="O212" s="287"/>
      <c r="Q212" s="48"/>
      <c r="R212" s="48"/>
      <c r="S212" s="48"/>
      <c r="T212" s="48"/>
      <c r="U212" s="48"/>
      <c r="V212" s="48"/>
      <c r="W212" s="48"/>
      <c r="X212" s="48"/>
      <c r="Y212" s="48"/>
      <c r="Z212" s="48"/>
      <c r="AA212" s="48"/>
      <c r="AB212" s="48"/>
      <c r="AC212" s="48"/>
      <c r="AD212" s="48"/>
      <c r="AE212" s="48"/>
    </row>
    <row r="213" spans="1:31" outlineLevel="1">
      <c r="A213" s="412">
        <f>ROW()</f>
        <v>213</v>
      </c>
      <c r="B213" s="161"/>
      <c r="C213" s="130" t="s">
        <v>483</v>
      </c>
      <c r="D213" s="130" t="s">
        <v>497</v>
      </c>
      <c r="E213" s="132">
        <v>0</v>
      </c>
      <c r="F213" s="162"/>
      <c r="G213" s="601">
        <f t="shared" si="40"/>
        <v>0</v>
      </c>
      <c r="H213" s="601">
        <f t="shared" si="40"/>
        <v>0</v>
      </c>
      <c r="I213" s="601">
        <f t="shared" si="40"/>
        <v>0</v>
      </c>
      <c r="J213" s="601">
        <f t="shared" si="40"/>
        <v>0</v>
      </c>
      <c r="K213" s="601">
        <f t="shared" si="40"/>
        <v>0</v>
      </c>
      <c r="L213" s="601">
        <f t="shared" si="40"/>
        <v>0</v>
      </c>
      <c r="M213" s="601">
        <f t="shared" si="40"/>
        <v>0</v>
      </c>
      <c r="O213" s="287"/>
      <c r="Q213" s="48"/>
      <c r="R213" s="48"/>
      <c r="S213" s="48"/>
      <c r="T213" s="48"/>
      <c r="U213" s="48"/>
      <c r="V213" s="48"/>
      <c r="W213" s="48"/>
      <c r="X213" s="48"/>
      <c r="Y213" s="48"/>
      <c r="Z213" s="48"/>
      <c r="AA213" s="48"/>
      <c r="AB213" s="48"/>
      <c r="AC213" s="48"/>
      <c r="AD213" s="48"/>
      <c r="AE213" s="48"/>
    </row>
    <row r="214" spans="1:31" outlineLevel="1">
      <c r="A214" s="412">
        <f>ROW()</f>
        <v>214</v>
      </c>
      <c r="B214" s="161"/>
      <c r="C214" s="130" t="s">
        <v>483</v>
      </c>
      <c r="D214" s="130" t="s">
        <v>497</v>
      </c>
      <c r="E214" s="132">
        <v>0</v>
      </c>
      <c r="F214" s="162"/>
      <c r="G214" s="601">
        <f t="shared" si="40"/>
        <v>0</v>
      </c>
      <c r="H214" s="601">
        <f t="shared" si="40"/>
        <v>0</v>
      </c>
      <c r="I214" s="601">
        <f t="shared" si="40"/>
        <v>0</v>
      </c>
      <c r="J214" s="601">
        <f t="shared" si="40"/>
        <v>0</v>
      </c>
      <c r="K214" s="601">
        <f t="shared" si="40"/>
        <v>0</v>
      </c>
      <c r="L214" s="601">
        <f t="shared" si="40"/>
        <v>0</v>
      </c>
      <c r="M214" s="601">
        <f t="shared" si="40"/>
        <v>0</v>
      </c>
      <c r="O214" s="287"/>
      <c r="Q214" s="48"/>
      <c r="R214" s="48"/>
      <c r="S214" s="48"/>
      <c r="T214" s="48"/>
      <c r="U214" s="48"/>
      <c r="V214" s="48"/>
      <c r="W214" s="48"/>
      <c r="X214" s="48"/>
      <c r="Y214" s="48"/>
      <c r="Z214" s="48"/>
      <c r="AA214" s="48"/>
      <c r="AB214" s="48"/>
      <c r="AC214" s="48"/>
      <c r="AD214" s="48"/>
      <c r="AE214" s="48"/>
    </row>
    <row r="215" spans="1:31" outlineLevel="1">
      <c r="A215" s="412">
        <f>ROW()</f>
        <v>215</v>
      </c>
      <c r="B215" s="161"/>
      <c r="C215" s="130" t="s">
        <v>483</v>
      </c>
      <c r="D215" s="130" t="s">
        <v>497</v>
      </c>
      <c r="E215" s="132">
        <v>0</v>
      </c>
      <c r="F215" s="162"/>
      <c r="G215" s="601">
        <f t="shared" si="40"/>
        <v>0</v>
      </c>
      <c r="H215" s="601">
        <f t="shared" si="40"/>
        <v>0</v>
      </c>
      <c r="I215" s="601">
        <f t="shared" si="40"/>
        <v>0</v>
      </c>
      <c r="J215" s="601">
        <f t="shared" si="40"/>
        <v>0</v>
      </c>
      <c r="K215" s="601">
        <f t="shared" si="40"/>
        <v>0</v>
      </c>
      <c r="L215" s="601">
        <f t="shared" si="40"/>
        <v>0</v>
      </c>
      <c r="M215" s="601">
        <f t="shared" si="40"/>
        <v>0</v>
      </c>
      <c r="O215" s="287"/>
      <c r="Q215" s="48"/>
      <c r="R215" s="48"/>
      <c r="S215" s="48"/>
      <c r="T215" s="48"/>
      <c r="U215" s="48"/>
      <c r="V215" s="48"/>
      <c r="W215" s="48"/>
      <c r="X215" s="48"/>
      <c r="Y215" s="48"/>
      <c r="Z215" s="48"/>
      <c r="AA215" s="48"/>
      <c r="AB215" s="48"/>
      <c r="AC215" s="48"/>
      <c r="AD215" s="48"/>
      <c r="AE215" s="48"/>
    </row>
    <row r="216" spans="1:31" outlineLevel="1">
      <c r="A216" s="412">
        <f>ROW()</f>
        <v>216</v>
      </c>
      <c r="B216" s="257"/>
      <c r="C216" s="1123"/>
      <c r="D216" s="1123"/>
      <c r="E216" s="1126"/>
      <c r="F216" s="1123"/>
      <c r="G216" s="119"/>
      <c r="H216" s="119"/>
      <c r="I216" s="119"/>
      <c r="J216" s="119"/>
      <c r="K216" s="119"/>
      <c r="L216" s="119"/>
      <c r="M216" s="119"/>
      <c r="O216" s="287"/>
      <c r="Q216" s="48"/>
      <c r="R216" s="48"/>
      <c r="S216" s="48"/>
      <c r="T216" s="48"/>
      <c r="U216" s="48"/>
      <c r="V216" s="48"/>
      <c r="W216" s="48"/>
      <c r="X216" s="48"/>
      <c r="Y216" s="48"/>
      <c r="Z216" s="48"/>
      <c r="AA216" s="48"/>
      <c r="AB216" s="48"/>
      <c r="AC216" s="48"/>
      <c r="AD216" s="48"/>
      <c r="AE216" s="48"/>
    </row>
    <row r="217" spans="1:31" outlineLevel="1">
      <c r="A217" s="412">
        <f>ROW()</f>
        <v>217</v>
      </c>
      <c r="B217" s="161"/>
      <c r="C217" s="130" t="s">
        <v>483</v>
      </c>
      <c r="D217" s="130" t="s">
        <v>497</v>
      </c>
      <c r="E217" s="269">
        <v>0</v>
      </c>
      <c r="F217" s="162"/>
      <c r="G217" s="601">
        <f t="shared" ref="G217:M221" si="41">IF($D217&lt;=G$10,1,0)</f>
        <v>0</v>
      </c>
      <c r="H217" s="601">
        <f t="shared" si="41"/>
        <v>0</v>
      </c>
      <c r="I217" s="601">
        <f t="shared" si="41"/>
        <v>0</v>
      </c>
      <c r="J217" s="601">
        <f t="shared" si="41"/>
        <v>0</v>
      </c>
      <c r="K217" s="601">
        <f t="shared" si="41"/>
        <v>0</v>
      </c>
      <c r="L217" s="601">
        <f t="shared" si="41"/>
        <v>0</v>
      </c>
      <c r="M217" s="601">
        <f t="shared" si="41"/>
        <v>0</v>
      </c>
      <c r="O217" s="287"/>
      <c r="Q217" s="48"/>
      <c r="R217" s="48"/>
      <c r="S217" s="48"/>
      <c r="T217" s="48"/>
      <c r="U217" s="48"/>
      <c r="V217" s="48"/>
      <c r="W217" s="48"/>
      <c r="X217" s="48"/>
      <c r="Y217" s="48"/>
      <c r="Z217" s="48"/>
      <c r="AA217" s="48"/>
      <c r="AB217" s="48"/>
      <c r="AC217" s="48"/>
      <c r="AD217" s="48"/>
      <c r="AE217" s="48"/>
    </row>
    <row r="218" spans="1:31" outlineLevel="1">
      <c r="A218" s="412">
        <f>ROW()</f>
        <v>218</v>
      </c>
      <c r="B218" s="161"/>
      <c r="C218" s="130" t="s">
        <v>483</v>
      </c>
      <c r="D218" s="130" t="s">
        <v>497</v>
      </c>
      <c r="E218" s="132">
        <v>0</v>
      </c>
      <c r="F218" s="162"/>
      <c r="G218" s="601">
        <f t="shared" si="41"/>
        <v>0</v>
      </c>
      <c r="H218" s="601">
        <f t="shared" si="41"/>
        <v>0</v>
      </c>
      <c r="I218" s="601">
        <f t="shared" si="41"/>
        <v>0</v>
      </c>
      <c r="J218" s="601">
        <f t="shared" si="41"/>
        <v>0</v>
      </c>
      <c r="K218" s="601">
        <f t="shared" si="41"/>
        <v>0</v>
      </c>
      <c r="L218" s="601">
        <f t="shared" si="41"/>
        <v>0</v>
      </c>
      <c r="M218" s="601">
        <f t="shared" si="41"/>
        <v>0</v>
      </c>
      <c r="O218" s="287"/>
      <c r="Q218" s="48"/>
      <c r="R218" s="48"/>
      <c r="S218" s="48"/>
      <c r="T218" s="48"/>
      <c r="U218" s="48"/>
      <c r="V218" s="48"/>
      <c r="W218" s="48"/>
      <c r="X218" s="48"/>
      <c r="Y218" s="48"/>
      <c r="Z218" s="48"/>
      <c r="AA218" s="48"/>
      <c r="AB218" s="48"/>
      <c r="AC218" s="48"/>
      <c r="AD218" s="48"/>
      <c r="AE218" s="48"/>
    </row>
    <row r="219" spans="1:31" outlineLevel="1">
      <c r="A219" s="412">
        <f>ROW()</f>
        <v>219</v>
      </c>
      <c r="B219" s="161"/>
      <c r="C219" s="130" t="s">
        <v>483</v>
      </c>
      <c r="D219" s="130" t="s">
        <v>497</v>
      </c>
      <c r="E219" s="132">
        <v>0</v>
      </c>
      <c r="F219" s="162"/>
      <c r="G219" s="601">
        <f t="shared" si="41"/>
        <v>0</v>
      </c>
      <c r="H219" s="601">
        <f t="shared" si="41"/>
        <v>0</v>
      </c>
      <c r="I219" s="601">
        <f t="shared" si="41"/>
        <v>0</v>
      </c>
      <c r="J219" s="601">
        <f t="shared" si="41"/>
        <v>0</v>
      </c>
      <c r="K219" s="601">
        <f t="shared" si="41"/>
        <v>0</v>
      </c>
      <c r="L219" s="601">
        <f t="shared" si="41"/>
        <v>0</v>
      </c>
      <c r="M219" s="601">
        <f t="shared" si="41"/>
        <v>0</v>
      </c>
      <c r="O219" s="287"/>
      <c r="Q219" s="48"/>
      <c r="R219" s="48"/>
      <c r="S219" s="48"/>
      <c r="T219" s="48"/>
      <c r="U219" s="48"/>
      <c r="V219" s="48"/>
      <c r="W219" s="48"/>
      <c r="X219" s="48"/>
      <c r="Y219" s="48"/>
      <c r="Z219" s="48"/>
      <c r="AA219" s="48"/>
      <c r="AB219" s="48"/>
      <c r="AC219" s="48"/>
      <c r="AD219" s="48"/>
      <c r="AE219" s="48"/>
    </row>
    <row r="220" spans="1:31" outlineLevel="1">
      <c r="A220" s="412">
        <f>ROW()</f>
        <v>220</v>
      </c>
      <c r="B220" s="161"/>
      <c r="C220" s="130" t="s">
        <v>483</v>
      </c>
      <c r="D220" s="130" t="s">
        <v>497</v>
      </c>
      <c r="E220" s="132">
        <v>0</v>
      </c>
      <c r="F220" s="162"/>
      <c r="G220" s="601">
        <f t="shared" si="41"/>
        <v>0</v>
      </c>
      <c r="H220" s="601">
        <f t="shared" si="41"/>
        <v>0</v>
      </c>
      <c r="I220" s="601">
        <f t="shared" si="41"/>
        <v>0</v>
      </c>
      <c r="J220" s="601">
        <f t="shared" si="41"/>
        <v>0</v>
      </c>
      <c r="K220" s="601">
        <f t="shared" si="41"/>
        <v>0</v>
      </c>
      <c r="L220" s="601">
        <f t="shared" si="41"/>
        <v>0</v>
      </c>
      <c r="M220" s="601">
        <f t="shared" si="41"/>
        <v>0</v>
      </c>
      <c r="O220" s="287"/>
      <c r="Q220" s="48"/>
      <c r="R220" s="48"/>
      <c r="S220" s="48"/>
      <c r="T220" s="48"/>
      <c r="U220" s="48"/>
      <c r="V220" s="48"/>
      <c r="W220" s="48"/>
      <c r="X220" s="48"/>
      <c r="Y220" s="48"/>
      <c r="Z220" s="48"/>
      <c r="AA220" s="48"/>
      <c r="AB220" s="48"/>
      <c r="AC220" s="48"/>
      <c r="AD220" s="48"/>
      <c r="AE220" s="48"/>
    </row>
    <row r="221" spans="1:31" outlineLevel="1">
      <c r="A221" s="412">
        <f>ROW()</f>
        <v>221</v>
      </c>
      <c r="B221" s="161"/>
      <c r="C221" s="130" t="s">
        <v>483</v>
      </c>
      <c r="D221" s="130" t="s">
        <v>497</v>
      </c>
      <c r="E221" s="132">
        <v>0</v>
      </c>
      <c r="F221" s="162"/>
      <c r="G221" s="601">
        <f t="shared" si="41"/>
        <v>0</v>
      </c>
      <c r="H221" s="601">
        <f t="shared" si="41"/>
        <v>0</v>
      </c>
      <c r="I221" s="601">
        <f t="shared" si="41"/>
        <v>0</v>
      </c>
      <c r="J221" s="601">
        <f t="shared" si="41"/>
        <v>0</v>
      </c>
      <c r="K221" s="601">
        <f t="shared" si="41"/>
        <v>0</v>
      </c>
      <c r="L221" s="601">
        <f t="shared" si="41"/>
        <v>0</v>
      </c>
      <c r="M221" s="601">
        <f t="shared" si="41"/>
        <v>0</v>
      </c>
      <c r="O221" s="287"/>
      <c r="Q221" s="48"/>
      <c r="R221" s="48"/>
      <c r="S221" s="48"/>
      <c r="T221" s="48"/>
      <c r="U221" s="48"/>
      <c r="V221" s="48"/>
      <c r="W221" s="48"/>
      <c r="X221" s="48"/>
      <c r="Y221" s="48"/>
      <c r="Z221" s="48"/>
      <c r="AA221" s="48"/>
      <c r="AB221" s="48"/>
      <c r="AC221" s="48"/>
      <c r="AD221" s="48"/>
      <c r="AE221" s="48"/>
    </row>
    <row r="222" spans="1:31" outlineLevel="1">
      <c r="A222" s="412">
        <f>ROW()</f>
        <v>222</v>
      </c>
      <c r="B222" s="257"/>
      <c r="C222" s="1123"/>
      <c r="D222" s="1123"/>
      <c r="E222" s="1122"/>
      <c r="F222" s="1123"/>
      <c r="G222" s="119"/>
      <c r="H222" s="119"/>
      <c r="I222" s="119"/>
      <c r="J222" s="119"/>
      <c r="K222" s="119"/>
      <c r="L222" s="119"/>
      <c r="M222" s="119"/>
      <c r="O222" s="287"/>
      <c r="Q222" s="48"/>
      <c r="R222" s="48"/>
      <c r="S222" s="48"/>
      <c r="T222" s="48"/>
      <c r="U222" s="48"/>
      <c r="V222" s="48"/>
      <c r="W222" s="48"/>
      <c r="X222" s="48"/>
      <c r="Y222" s="48"/>
      <c r="Z222" s="48"/>
      <c r="AA222" s="48"/>
      <c r="AB222" s="48"/>
      <c r="AC222" s="48"/>
      <c r="AD222" s="48"/>
      <c r="AE222" s="48"/>
    </row>
    <row r="223" spans="1:31" outlineLevel="1">
      <c r="A223" s="412">
        <f>ROW()</f>
        <v>223</v>
      </c>
      <c r="B223" s="161"/>
      <c r="C223" s="130" t="s">
        <v>483</v>
      </c>
      <c r="D223" s="130" t="s">
        <v>497</v>
      </c>
      <c r="E223" s="269">
        <v>0</v>
      </c>
      <c r="F223" s="162"/>
      <c r="G223" s="601">
        <f t="shared" ref="G223:M227" si="42">IF($D223&lt;=G$10,1,0)</f>
        <v>0</v>
      </c>
      <c r="H223" s="601">
        <f t="shared" si="42"/>
        <v>0</v>
      </c>
      <c r="I223" s="601">
        <f t="shared" si="42"/>
        <v>0</v>
      </c>
      <c r="J223" s="601">
        <f t="shared" si="42"/>
        <v>0</v>
      </c>
      <c r="K223" s="601">
        <f t="shared" si="42"/>
        <v>0</v>
      </c>
      <c r="L223" s="601">
        <f t="shared" si="42"/>
        <v>0</v>
      </c>
      <c r="M223" s="601">
        <f t="shared" si="42"/>
        <v>0</v>
      </c>
      <c r="O223" s="287"/>
      <c r="Q223" s="48"/>
      <c r="R223" s="48"/>
      <c r="S223" s="48"/>
      <c r="T223" s="48"/>
      <c r="U223" s="48"/>
      <c r="V223" s="48"/>
      <c r="W223" s="48"/>
      <c r="X223" s="48"/>
      <c r="Y223" s="48"/>
      <c r="Z223" s="48"/>
      <c r="AA223" s="48"/>
      <c r="AB223" s="48"/>
      <c r="AC223" s="48"/>
      <c r="AD223" s="48"/>
      <c r="AE223" s="48"/>
    </row>
    <row r="224" spans="1:31" outlineLevel="1">
      <c r="A224" s="412">
        <f>ROW()</f>
        <v>224</v>
      </c>
      <c r="B224" s="161"/>
      <c r="C224" s="130" t="s">
        <v>483</v>
      </c>
      <c r="D224" s="130" t="s">
        <v>497</v>
      </c>
      <c r="E224" s="132">
        <v>0</v>
      </c>
      <c r="F224" s="162"/>
      <c r="G224" s="601">
        <f t="shared" si="42"/>
        <v>0</v>
      </c>
      <c r="H224" s="601">
        <f t="shared" si="42"/>
        <v>0</v>
      </c>
      <c r="I224" s="601">
        <f t="shared" si="42"/>
        <v>0</v>
      </c>
      <c r="J224" s="601">
        <f t="shared" si="42"/>
        <v>0</v>
      </c>
      <c r="K224" s="601">
        <f t="shared" si="42"/>
        <v>0</v>
      </c>
      <c r="L224" s="601">
        <f t="shared" si="42"/>
        <v>0</v>
      </c>
      <c r="M224" s="601">
        <f t="shared" si="42"/>
        <v>0</v>
      </c>
      <c r="O224" s="287"/>
      <c r="Q224" s="48"/>
      <c r="R224" s="48"/>
      <c r="S224" s="48"/>
      <c r="T224" s="48"/>
      <c r="U224" s="48"/>
      <c r="V224" s="48"/>
      <c r="W224" s="48"/>
      <c r="X224" s="48"/>
      <c r="Y224" s="48"/>
      <c r="Z224" s="48"/>
      <c r="AA224" s="48"/>
      <c r="AB224" s="48"/>
      <c r="AC224" s="48"/>
      <c r="AD224" s="48"/>
      <c r="AE224" s="48"/>
    </row>
    <row r="225" spans="1:31" outlineLevel="1">
      <c r="A225" s="412">
        <f>ROW()</f>
        <v>225</v>
      </c>
      <c r="B225" s="161"/>
      <c r="C225" s="130" t="s">
        <v>483</v>
      </c>
      <c r="D225" s="130" t="s">
        <v>497</v>
      </c>
      <c r="E225" s="132">
        <v>0</v>
      </c>
      <c r="F225" s="162"/>
      <c r="G225" s="601">
        <f t="shared" si="42"/>
        <v>0</v>
      </c>
      <c r="H225" s="601">
        <f t="shared" si="42"/>
        <v>0</v>
      </c>
      <c r="I225" s="601">
        <f t="shared" si="42"/>
        <v>0</v>
      </c>
      <c r="J225" s="601">
        <f t="shared" si="42"/>
        <v>0</v>
      </c>
      <c r="K225" s="601">
        <f t="shared" si="42"/>
        <v>0</v>
      </c>
      <c r="L225" s="601">
        <f t="shared" si="42"/>
        <v>0</v>
      </c>
      <c r="M225" s="601">
        <f t="shared" si="42"/>
        <v>0</v>
      </c>
      <c r="O225" s="287"/>
      <c r="Q225" s="48"/>
      <c r="R225" s="48"/>
      <c r="S225" s="48"/>
      <c r="T225" s="48"/>
      <c r="U225" s="48"/>
      <c r="V225" s="48"/>
      <c r="W225" s="48"/>
      <c r="X225" s="48"/>
      <c r="Y225" s="48"/>
      <c r="Z225" s="48"/>
      <c r="AA225" s="48"/>
      <c r="AB225" s="48"/>
      <c r="AC225" s="48"/>
      <c r="AD225" s="48"/>
      <c r="AE225" s="48"/>
    </row>
    <row r="226" spans="1:31" outlineLevel="1">
      <c r="A226" s="412">
        <f>ROW()</f>
        <v>226</v>
      </c>
      <c r="B226" s="161"/>
      <c r="C226" s="130" t="s">
        <v>483</v>
      </c>
      <c r="D226" s="130" t="s">
        <v>497</v>
      </c>
      <c r="E226" s="132">
        <v>0</v>
      </c>
      <c r="F226" s="162"/>
      <c r="G226" s="601">
        <f t="shared" si="42"/>
        <v>0</v>
      </c>
      <c r="H226" s="601">
        <f t="shared" si="42"/>
        <v>0</v>
      </c>
      <c r="I226" s="601">
        <f t="shared" si="42"/>
        <v>0</v>
      </c>
      <c r="J226" s="601">
        <f t="shared" si="42"/>
        <v>0</v>
      </c>
      <c r="K226" s="601">
        <f t="shared" si="42"/>
        <v>0</v>
      </c>
      <c r="L226" s="601">
        <f t="shared" si="42"/>
        <v>0</v>
      </c>
      <c r="M226" s="601">
        <f t="shared" si="42"/>
        <v>0</v>
      </c>
      <c r="O226" s="287"/>
      <c r="Q226" s="48"/>
      <c r="R226" s="48"/>
      <c r="S226" s="48"/>
      <c r="T226" s="48"/>
      <c r="U226" s="48"/>
      <c r="V226" s="48"/>
      <c r="W226" s="48"/>
      <c r="X226" s="48"/>
      <c r="Y226" s="48"/>
      <c r="Z226" s="48"/>
      <c r="AA226" s="48"/>
      <c r="AB226" s="48"/>
      <c r="AC226" s="48"/>
      <c r="AD226" s="48"/>
      <c r="AE226" s="48"/>
    </row>
    <row r="227" spans="1:31" outlineLevel="1">
      <c r="A227" s="412">
        <f>ROW()</f>
        <v>227</v>
      </c>
      <c r="B227" s="161"/>
      <c r="C227" s="130" t="s">
        <v>483</v>
      </c>
      <c r="D227" s="130" t="s">
        <v>497</v>
      </c>
      <c r="E227" s="132">
        <v>0</v>
      </c>
      <c r="F227" s="162"/>
      <c r="G227" s="601">
        <f t="shared" si="42"/>
        <v>0</v>
      </c>
      <c r="H227" s="601">
        <f t="shared" si="42"/>
        <v>0</v>
      </c>
      <c r="I227" s="601">
        <f t="shared" si="42"/>
        <v>0</v>
      </c>
      <c r="J227" s="601">
        <f t="shared" si="42"/>
        <v>0</v>
      </c>
      <c r="K227" s="601">
        <f t="shared" si="42"/>
        <v>0</v>
      </c>
      <c r="L227" s="601">
        <f t="shared" si="42"/>
        <v>0</v>
      </c>
      <c r="M227" s="601">
        <f t="shared" si="42"/>
        <v>0</v>
      </c>
      <c r="O227" s="287"/>
      <c r="Q227" s="48"/>
      <c r="R227" s="48"/>
      <c r="S227" s="48"/>
      <c r="T227" s="48"/>
      <c r="U227" s="48"/>
      <c r="V227" s="48"/>
      <c r="W227" s="48"/>
      <c r="X227" s="48"/>
      <c r="Y227" s="48"/>
      <c r="Z227" s="48"/>
      <c r="AA227" s="48"/>
      <c r="AB227" s="48"/>
      <c r="AC227" s="48"/>
      <c r="AD227" s="48"/>
      <c r="AE227" s="48"/>
    </row>
    <row r="228" spans="1:31" outlineLevel="1">
      <c r="A228" s="412">
        <f>ROW()</f>
        <v>228</v>
      </c>
      <c r="B228" s="257"/>
      <c r="C228" s="1121"/>
      <c r="D228" s="1121"/>
      <c r="E228" s="1122"/>
      <c r="F228" s="1123"/>
      <c r="G228" s="119"/>
      <c r="H228" s="119"/>
      <c r="I228" s="119"/>
      <c r="J228" s="119"/>
      <c r="K228" s="119"/>
      <c r="L228" s="119"/>
      <c r="M228" s="119"/>
      <c r="O228" s="287"/>
      <c r="Q228" s="48"/>
      <c r="R228" s="48"/>
      <c r="S228" s="48"/>
      <c r="T228" s="48"/>
      <c r="U228" s="48"/>
      <c r="V228" s="48"/>
      <c r="W228" s="48"/>
      <c r="X228" s="48"/>
      <c r="Y228" s="48"/>
      <c r="Z228" s="48"/>
      <c r="AA228" s="48"/>
      <c r="AB228" s="48"/>
      <c r="AC228" s="48"/>
      <c r="AD228" s="48"/>
      <c r="AE228" s="48"/>
    </row>
    <row r="229" spans="1:31" outlineLevel="1">
      <c r="A229" s="412">
        <f>ROW()</f>
        <v>229</v>
      </c>
      <c r="B229" s="161"/>
      <c r="C229" s="130" t="s">
        <v>483</v>
      </c>
      <c r="D229" s="130" t="s">
        <v>497</v>
      </c>
      <c r="E229" s="269">
        <v>0</v>
      </c>
      <c r="F229" s="162"/>
      <c r="G229" s="601">
        <f t="shared" ref="G229:M233" si="43">IF($D229&lt;=G$10,1,0)</f>
        <v>0</v>
      </c>
      <c r="H229" s="601">
        <f t="shared" si="43"/>
        <v>0</v>
      </c>
      <c r="I229" s="601">
        <f t="shared" si="43"/>
        <v>0</v>
      </c>
      <c r="J229" s="601">
        <f t="shared" si="43"/>
        <v>0</v>
      </c>
      <c r="K229" s="601">
        <f t="shared" si="43"/>
        <v>0</v>
      </c>
      <c r="L229" s="601">
        <f t="shared" si="43"/>
        <v>0</v>
      </c>
      <c r="M229" s="601">
        <f t="shared" si="43"/>
        <v>0</v>
      </c>
      <c r="O229" s="287"/>
      <c r="Q229" s="48"/>
      <c r="R229" s="48"/>
      <c r="S229" s="48"/>
      <c r="T229" s="48"/>
      <c r="U229" s="48"/>
      <c r="V229" s="48"/>
      <c r="W229" s="48"/>
      <c r="X229" s="48"/>
      <c r="Y229" s="48"/>
      <c r="Z229" s="48"/>
      <c r="AA229" s="48"/>
      <c r="AB229" s="48"/>
      <c r="AC229" s="48"/>
      <c r="AD229" s="48"/>
      <c r="AE229" s="48"/>
    </row>
    <row r="230" spans="1:31" outlineLevel="1">
      <c r="A230" s="412">
        <f>ROW()</f>
        <v>230</v>
      </c>
      <c r="B230" s="161"/>
      <c r="C230" s="130" t="s">
        <v>483</v>
      </c>
      <c r="D230" s="130" t="s">
        <v>497</v>
      </c>
      <c r="E230" s="132">
        <v>0</v>
      </c>
      <c r="F230" s="162"/>
      <c r="G230" s="601">
        <f t="shared" si="43"/>
        <v>0</v>
      </c>
      <c r="H230" s="601">
        <f t="shared" si="43"/>
        <v>0</v>
      </c>
      <c r="I230" s="601">
        <f t="shared" si="43"/>
        <v>0</v>
      </c>
      <c r="J230" s="601">
        <f t="shared" si="43"/>
        <v>0</v>
      </c>
      <c r="K230" s="601">
        <f t="shared" si="43"/>
        <v>0</v>
      </c>
      <c r="L230" s="601">
        <f t="shared" si="43"/>
        <v>0</v>
      </c>
      <c r="M230" s="601">
        <f t="shared" si="43"/>
        <v>0</v>
      </c>
      <c r="O230" s="287"/>
      <c r="Q230" s="48"/>
      <c r="R230" s="48"/>
      <c r="S230" s="48"/>
      <c r="T230" s="48"/>
      <c r="U230" s="48"/>
      <c r="V230" s="48"/>
      <c r="W230" s="48"/>
      <c r="X230" s="48"/>
      <c r="Y230" s="48"/>
      <c r="Z230" s="48"/>
      <c r="AA230" s="48"/>
      <c r="AB230" s="48"/>
      <c r="AC230" s="48"/>
      <c r="AD230" s="48"/>
      <c r="AE230" s="48"/>
    </row>
    <row r="231" spans="1:31" outlineLevel="1">
      <c r="A231" s="412">
        <f>ROW()</f>
        <v>231</v>
      </c>
      <c r="B231" s="161"/>
      <c r="C231" s="130" t="s">
        <v>483</v>
      </c>
      <c r="D231" s="130" t="s">
        <v>497</v>
      </c>
      <c r="E231" s="132">
        <v>0</v>
      </c>
      <c r="F231" s="162"/>
      <c r="G231" s="601">
        <f t="shared" si="43"/>
        <v>0</v>
      </c>
      <c r="H231" s="601">
        <f t="shared" si="43"/>
        <v>0</v>
      </c>
      <c r="I231" s="601">
        <f t="shared" si="43"/>
        <v>0</v>
      </c>
      <c r="J231" s="601">
        <f t="shared" si="43"/>
        <v>0</v>
      </c>
      <c r="K231" s="601">
        <f t="shared" si="43"/>
        <v>0</v>
      </c>
      <c r="L231" s="601">
        <f t="shared" si="43"/>
        <v>0</v>
      </c>
      <c r="M231" s="601">
        <f t="shared" si="43"/>
        <v>0</v>
      </c>
      <c r="O231" s="287"/>
      <c r="Q231" s="48"/>
      <c r="R231" s="48"/>
      <c r="S231" s="48"/>
      <c r="T231" s="48"/>
      <c r="U231" s="48"/>
      <c r="V231" s="48"/>
      <c r="W231" s="48"/>
      <c r="X231" s="48"/>
      <c r="Y231" s="48"/>
      <c r="Z231" s="48"/>
      <c r="AA231" s="48"/>
      <c r="AB231" s="48"/>
      <c r="AC231" s="48"/>
      <c r="AD231" s="48"/>
      <c r="AE231" s="48"/>
    </row>
    <row r="232" spans="1:31" outlineLevel="1">
      <c r="A232" s="412">
        <f>ROW()</f>
        <v>232</v>
      </c>
      <c r="B232" s="161"/>
      <c r="C232" s="130" t="s">
        <v>483</v>
      </c>
      <c r="D232" s="130" t="s">
        <v>497</v>
      </c>
      <c r="E232" s="132">
        <v>0</v>
      </c>
      <c r="F232" s="162"/>
      <c r="G232" s="601">
        <f t="shared" si="43"/>
        <v>0</v>
      </c>
      <c r="H232" s="601">
        <f t="shared" si="43"/>
        <v>0</v>
      </c>
      <c r="I232" s="601">
        <f t="shared" si="43"/>
        <v>0</v>
      </c>
      <c r="J232" s="601">
        <f t="shared" si="43"/>
        <v>0</v>
      </c>
      <c r="K232" s="601">
        <f t="shared" si="43"/>
        <v>0</v>
      </c>
      <c r="L232" s="601">
        <f t="shared" si="43"/>
        <v>0</v>
      </c>
      <c r="M232" s="601">
        <f t="shared" si="43"/>
        <v>0</v>
      </c>
      <c r="O232" s="287"/>
      <c r="Q232" s="48"/>
      <c r="R232" s="48"/>
      <c r="S232" s="48"/>
      <c r="T232" s="48"/>
      <c r="U232" s="48"/>
      <c r="V232" s="48"/>
      <c r="W232" s="48"/>
      <c r="X232" s="48"/>
      <c r="Y232" s="48"/>
      <c r="Z232" s="48"/>
      <c r="AA232" s="48"/>
      <c r="AB232" s="48"/>
      <c r="AC232" s="48"/>
      <c r="AD232" s="48"/>
      <c r="AE232" s="48"/>
    </row>
    <row r="233" spans="1:31" outlineLevel="1">
      <c r="A233" s="412">
        <f>ROW()</f>
        <v>233</v>
      </c>
      <c r="B233" s="161"/>
      <c r="C233" s="130" t="s">
        <v>483</v>
      </c>
      <c r="D233" s="130" t="s">
        <v>497</v>
      </c>
      <c r="E233" s="132">
        <v>0</v>
      </c>
      <c r="F233" s="162"/>
      <c r="G233" s="601">
        <f t="shared" si="43"/>
        <v>0</v>
      </c>
      <c r="H233" s="601">
        <f t="shared" si="43"/>
        <v>0</v>
      </c>
      <c r="I233" s="601">
        <f t="shared" si="43"/>
        <v>0</v>
      </c>
      <c r="J233" s="601">
        <f t="shared" si="43"/>
        <v>0</v>
      </c>
      <c r="K233" s="601">
        <f t="shared" si="43"/>
        <v>0</v>
      </c>
      <c r="L233" s="601">
        <f t="shared" si="43"/>
        <v>0</v>
      </c>
      <c r="M233" s="601">
        <f t="shared" si="43"/>
        <v>0</v>
      </c>
      <c r="O233" s="287"/>
      <c r="Q233" s="48"/>
      <c r="R233" s="48"/>
      <c r="S233" s="48"/>
      <c r="T233" s="48"/>
      <c r="U233" s="48"/>
      <c r="V233" s="48"/>
      <c r="W233" s="48"/>
      <c r="X233" s="48"/>
      <c r="Y233" s="48"/>
      <c r="Z233" s="48"/>
      <c r="AA233" s="48"/>
      <c r="AB233" s="48"/>
      <c r="AC233" s="48"/>
      <c r="AD233" s="48"/>
      <c r="AE233" s="48"/>
    </row>
    <row r="234" spans="1:31" outlineLevel="1">
      <c r="A234" s="412">
        <f>ROW()</f>
        <v>234</v>
      </c>
      <c r="B234" s="257"/>
      <c r="C234" s="1121"/>
      <c r="D234" s="1121"/>
      <c r="E234" s="1122"/>
      <c r="F234" s="1123"/>
      <c r="G234" s="119"/>
      <c r="H234" s="119"/>
      <c r="I234" s="119"/>
      <c r="J234" s="119"/>
      <c r="K234" s="119"/>
      <c r="L234" s="119"/>
      <c r="M234" s="119"/>
      <c r="O234" s="287"/>
      <c r="Q234" s="48"/>
      <c r="R234" s="48"/>
      <c r="S234" s="48"/>
      <c r="T234" s="48"/>
      <c r="U234" s="48"/>
      <c r="V234" s="48"/>
      <c r="W234" s="48"/>
      <c r="X234" s="48"/>
      <c r="Y234" s="48"/>
      <c r="Z234" s="48"/>
      <c r="AA234" s="48"/>
      <c r="AB234" s="48"/>
      <c r="AC234" s="48"/>
      <c r="AD234" s="48"/>
      <c r="AE234" s="48"/>
    </row>
    <row r="235" spans="1:31" outlineLevel="1">
      <c r="A235" s="412">
        <f>ROW()</f>
        <v>235</v>
      </c>
      <c r="B235" s="161"/>
      <c r="C235" s="130" t="s">
        <v>483</v>
      </c>
      <c r="D235" s="130" t="s">
        <v>497</v>
      </c>
      <c r="E235" s="269">
        <v>0</v>
      </c>
      <c r="F235" s="162"/>
      <c r="G235" s="601">
        <f t="shared" ref="G235:M239" si="44">IF($D235&lt;=G$10,1,0)</f>
        <v>0</v>
      </c>
      <c r="H235" s="601">
        <f t="shared" si="44"/>
        <v>0</v>
      </c>
      <c r="I235" s="601">
        <f t="shared" si="44"/>
        <v>0</v>
      </c>
      <c r="J235" s="601">
        <f t="shared" si="44"/>
        <v>0</v>
      </c>
      <c r="K235" s="601">
        <f t="shared" si="44"/>
        <v>0</v>
      </c>
      <c r="L235" s="601">
        <f t="shared" si="44"/>
        <v>0</v>
      </c>
      <c r="M235" s="601">
        <f t="shared" si="44"/>
        <v>0</v>
      </c>
      <c r="O235" s="287"/>
      <c r="Q235" s="48"/>
      <c r="R235" s="48"/>
      <c r="S235" s="48"/>
      <c r="T235" s="48"/>
      <c r="U235" s="48"/>
      <c r="V235" s="48"/>
      <c r="W235" s="48"/>
      <c r="X235" s="48"/>
      <c r="Y235" s="48"/>
      <c r="Z235" s="48"/>
      <c r="AA235" s="48"/>
      <c r="AB235" s="48"/>
      <c r="AC235" s="48"/>
      <c r="AD235" s="48"/>
      <c r="AE235" s="48"/>
    </row>
    <row r="236" spans="1:31" outlineLevel="1">
      <c r="A236" s="412">
        <f>ROW()</f>
        <v>236</v>
      </c>
      <c r="B236" s="161"/>
      <c r="C236" s="130" t="s">
        <v>483</v>
      </c>
      <c r="D236" s="130" t="s">
        <v>497</v>
      </c>
      <c r="E236" s="132">
        <v>0</v>
      </c>
      <c r="F236" s="162"/>
      <c r="G236" s="601">
        <f t="shared" si="44"/>
        <v>0</v>
      </c>
      <c r="H236" s="601">
        <f t="shared" si="44"/>
        <v>0</v>
      </c>
      <c r="I236" s="601">
        <f t="shared" si="44"/>
        <v>0</v>
      </c>
      <c r="J236" s="601">
        <f t="shared" si="44"/>
        <v>0</v>
      </c>
      <c r="K236" s="601">
        <f t="shared" si="44"/>
        <v>0</v>
      </c>
      <c r="L236" s="601">
        <f t="shared" si="44"/>
        <v>0</v>
      </c>
      <c r="M236" s="601">
        <f t="shared" si="44"/>
        <v>0</v>
      </c>
      <c r="O236" s="287"/>
      <c r="Q236" s="48"/>
      <c r="R236" s="48"/>
      <c r="S236" s="48"/>
      <c r="T236" s="48"/>
      <c r="U236" s="48"/>
      <c r="V236" s="48"/>
      <c r="W236" s="48"/>
      <c r="X236" s="48"/>
      <c r="Y236" s="48"/>
      <c r="Z236" s="48"/>
      <c r="AA236" s="48"/>
      <c r="AB236" s="48"/>
      <c r="AC236" s="48"/>
      <c r="AD236" s="48"/>
      <c r="AE236" s="48"/>
    </row>
    <row r="237" spans="1:31" outlineLevel="1">
      <c r="A237" s="412">
        <f>ROW()</f>
        <v>237</v>
      </c>
      <c r="B237" s="161"/>
      <c r="C237" s="130" t="s">
        <v>483</v>
      </c>
      <c r="D237" s="130" t="s">
        <v>497</v>
      </c>
      <c r="E237" s="132">
        <v>0</v>
      </c>
      <c r="F237" s="162"/>
      <c r="G237" s="601">
        <f t="shared" si="44"/>
        <v>0</v>
      </c>
      <c r="H237" s="601">
        <f t="shared" si="44"/>
        <v>0</v>
      </c>
      <c r="I237" s="601">
        <f t="shared" si="44"/>
        <v>0</v>
      </c>
      <c r="J237" s="601">
        <f t="shared" si="44"/>
        <v>0</v>
      </c>
      <c r="K237" s="601">
        <f t="shared" si="44"/>
        <v>0</v>
      </c>
      <c r="L237" s="601">
        <f t="shared" si="44"/>
        <v>0</v>
      </c>
      <c r="M237" s="601">
        <f t="shared" si="44"/>
        <v>0</v>
      </c>
      <c r="O237" s="287"/>
      <c r="Q237" s="48"/>
      <c r="R237" s="48"/>
      <c r="S237" s="48"/>
      <c r="T237" s="48"/>
      <c r="U237" s="48"/>
      <c r="V237" s="48"/>
      <c r="W237" s="48"/>
      <c r="X237" s="48"/>
      <c r="Y237" s="48"/>
      <c r="Z237" s="48"/>
      <c r="AA237" s="48"/>
      <c r="AB237" s="48"/>
      <c r="AC237" s="48"/>
      <c r="AD237" s="48"/>
      <c r="AE237" s="48"/>
    </row>
    <row r="238" spans="1:31" outlineLevel="1">
      <c r="A238" s="412">
        <f>ROW()</f>
        <v>238</v>
      </c>
      <c r="B238" s="161"/>
      <c r="C238" s="130" t="s">
        <v>483</v>
      </c>
      <c r="D238" s="130" t="s">
        <v>497</v>
      </c>
      <c r="E238" s="132">
        <v>0</v>
      </c>
      <c r="F238" s="162"/>
      <c r="G238" s="601">
        <f t="shared" si="44"/>
        <v>0</v>
      </c>
      <c r="H238" s="601">
        <f t="shared" si="44"/>
        <v>0</v>
      </c>
      <c r="I238" s="601">
        <f t="shared" si="44"/>
        <v>0</v>
      </c>
      <c r="J238" s="601">
        <f t="shared" si="44"/>
        <v>0</v>
      </c>
      <c r="K238" s="601">
        <f t="shared" si="44"/>
        <v>0</v>
      </c>
      <c r="L238" s="601">
        <f t="shared" si="44"/>
        <v>0</v>
      </c>
      <c r="M238" s="601">
        <f t="shared" si="44"/>
        <v>0</v>
      </c>
      <c r="O238" s="287"/>
      <c r="Q238" s="48"/>
      <c r="R238" s="48"/>
      <c r="S238" s="48"/>
      <c r="T238" s="48"/>
      <c r="U238" s="48"/>
      <c r="V238" s="48"/>
      <c r="W238" s="48"/>
      <c r="X238" s="48"/>
      <c r="Y238" s="48"/>
      <c r="Z238" s="48"/>
      <c r="AA238" s="48"/>
      <c r="AB238" s="48"/>
      <c r="AC238" s="48"/>
      <c r="AD238" s="48"/>
      <c r="AE238" s="48"/>
    </row>
    <row r="239" spans="1:31" outlineLevel="1">
      <c r="A239" s="412">
        <f>ROW()</f>
        <v>239</v>
      </c>
      <c r="B239" s="161"/>
      <c r="C239" s="130" t="s">
        <v>483</v>
      </c>
      <c r="D239" s="130" t="s">
        <v>497</v>
      </c>
      <c r="E239" s="132">
        <v>0</v>
      </c>
      <c r="F239" s="162"/>
      <c r="G239" s="601">
        <f t="shared" si="44"/>
        <v>0</v>
      </c>
      <c r="H239" s="601">
        <f t="shared" si="44"/>
        <v>0</v>
      </c>
      <c r="I239" s="601">
        <f t="shared" si="44"/>
        <v>0</v>
      </c>
      <c r="J239" s="601">
        <f t="shared" si="44"/>
        <v>0</v>
      </c>
      <c r="K239" s="601">
        <f t="shared" si="44"/>
        <v>0</v>
      </c>
      <c r="L239" s="601">
        <f t="shared" si="44"/>
        <v>0</v>
      </c>
      <c r="M239" s="601">
        <f t="shared" si="44"/>
        <v>0</v>
      </c>
      <c r="O239" s="287"/>
      <c r="Q239" s="48"/>
      <c r="R239" s="48"/>
      <c r="S239" s="48"/>
      <c r="T239" s="48"/>
      <c r="U239" s="48"/>
      <c r="V239" s="48"/>
      <c r="W239" s="48"/>
      <c r="X239" s="48"/>
      <c r="Y239" s="48"/>
      <c r="Z239" s="48"/>
      <c r="AA239" s="48"/>
      <c r="AB239" s="48"/>
      <c r="AC239" s="48"/>
      <c r="AD239" s="48"/>
      <c r="AE239" s="48"/>
    </row>
    <row r="240" spans="1:31">
      <c r="A240" s="412">
        <f>ROW()</f>
        <v>240</v>
      </c>
      <c r="C240" s="90"/>
      <c r="D240" s="90"/>
      <c r="E240" s="82"/>
      <c r="F240" s="82"/>
      <c r="G240" s="89"/>
      <c r="H240" s="89"/>
      <c r="I240" s="89"/>
      <c r="J240" s="89"/>
      <c r="K240" s="51"/>
      <c r="L240" s="51"/>
      <c r="M240" s="51"/>
      <c r="O240" s="287"/>
      <c r="Q240" s="48"/>
      <c r="R240" s="48"/>
      <c r="S240" s="48"/>
      <c r="T240" s="48"/>
      <c r="U240" s="48"/>
      <c r="V240" s="48"/>
      <c r="W240" s="48"/>
      <c r="X240" s="48"/>
      <c r="Y240" s="48"/>
      <c r="Z240" s="48"/>
      <c r="AA240" s="48"/>
      <c r="AB240" s="48"/>
      <c r="AC240" s="48"/>
      <c r="AD240" s="48"/>
      <c r="AE240" s="48"/>
    </row>
    <row r="241" spans="1:31">
      <c r="A241" s="412">
        <f>ROW()</f>
        <v>241</v>
      </c>
      <c r="B241" s="106" t="s">
        <v>1272</v>
      </c>
      <c r="C241" s="107"/>
      <c r="D241" s="107"/>
      <c r="E241" s="106"/>
      <c r="F241" s="106"/>
      <c r="G241" s="967">
        <f t="shared" ref="G241:M241" si="45">SUM(G146:G239)</f>
        <v>0</v>
      </c>
      <c r="H241" s="288">
        <f t="shared" si="45"/>
        <v>9</v>
      </c>
      <c r="I241" s="288">
        <f t="shared" si="45"/>
        <v>14</v>
      </c>
      <c r="J241" s="288">
        <f t="shared" si="45"/>
        <v>16</v>
      </c>
      <c r="K241" s="288">
        <f t="shared" si="45"/>
        <v>20</v>
      </c>
      <c r="L241" s="288">
        <f t="shared" si="45"/>
        <v>20</v>
      </c>
      <c r="M241" s="288">
        <f t="shared" si="45"/>
        <v>20</v>
      </c>
      <c r="N241" s="30"/>
      <c r="O241" s="287"/>
      <c r="Q241" s="48"/>
      <c r="R241" s="48"/>
      <c r="S241" s="48"/>
      <c r="T241" s="48"/>
      <c r="U241" s="48"/>
      <c r="V241" s="48"/>
      <c r="W241" s="48"/>
      <c r="X241" s="48"/>
      <c r="Y241" s="48"/>
      <c r="Z241" s="48"/>
      <c r="AA241" s="48"/>
      <c r="AB241" s="48"/>
      <c r="AC241" s="48"/>
      <c r="AD241" s="48"/>
      <c r="AE241" s="48"/>
    </row>
    <row r="242" spans="1:31">
      <c r="A242" s="412">
        <f>ROW()</f>
        <v>242</v>
      </c>
      <c r="B242" s="32" t="s">
        <v>499</v>
      </c>
      <c r="G242" s="259">
        <f t="shared" ref="G242:M242" si="46">+G241+G139</f>
        <v>0</v>
      </c>
      <c r="H242" s="259">
        <f t="shared" si="46"/>
        <v>11.5</v>
      </c>
      <c r="I242" s="259">
        <f t="shared" si="46"/>
        <v>17.5</v>
      </c>
      <c r="J242" s="259">
        <f t="shared" si="46"/>
        <v>21</v>
      </c>
      <c r="K242" s="259">
        <f t="shared" si="46"/>
        <v>26</v>
      </c>
      <c r="L242" s="259">
        <f t="shared" si="46"/>
        <v>27</v>
      </c>
      <c r="M242" s="259">
        <f t="shared" si="46"/>
        <v>27</v>
      </c>
      <c r="O242" s="287"/>
      <c r="Q242" s="48"/>
      <c r="R242" s="48"/>
      <c r="S242" s="48"/>
      <c r="T242" s="48"/>
      <c r="U242" s="48"/>
      <c r="V242" s="48"/>
      <c r="W242" s="48"/>
      <c r="X242" s="48"/>
      <c r="Y242" s="48"/>
      <c r="Z242" s="48"/>
      <c r="AA242" s="48"/>
      <c r="AB242" s="48"/>
      <c r="AC242" s="48"/>
      <c r="AD242" s="48"/>
      <c r="AE242" s="48"/>
    </row>
    <row r="243" spans="1:31">
      <c r="A243" s="412">
        <f>ROW()</f>
        <v>243</v>
      </c>
      <c r="G243" s="89"/>
      <c r="H243" s="89"/>
      <c r="I243" s="89"/>
      <c r="J243" s="89"/>
      <c r="K243" s="89"/>
      <c r="L243" s="49"/>
      <c r="M243" s="49"/>
      <c r="O243" s="287"/>
      <c r="Q243" s="48"/>
      <c r="R243" s="48"/>
      <c r="S243" s="48"/>
      <c r="T243" s="48"/>
      <c r="U243" s="48"/>
      <c r="V243" s="48"/>
      <c r="W243" s="48"/>
      <c r="X243" s="48"/>
      <c r="Y243" s="48"/>
      <c r="Z243" s="48"/>
      <c r="AA243" s="48"/>
      <c r="AB243" s="48"/>
      <c r="AC243" s="48"/>
      <c r="AD243" s="48"/>
      <c r="AE243" s="48"/>
    </row>
    <row r="244" spans="1:31" ht="15.6">
      <c r="A244" s="412">
        <f>ROW()</f>
        <v>244</v>
      </c>
      <c r="B244" s="1653" t="s">
        <v>500</v>
      </c>
      <c r="C244" s="1653"/>
      <c r="D244" s="1653"/>
      <c r="E244" s="1653"/>
      <c r="F244" s="1653"/>
      <c r="G244" s="1654"/>
      <c r="H244" s="1654"/>
      <c r="I244" s="1654"/>
      <c r="J244" s="1654"/>
      <c r="K244" s="1654"/>
      <c r="L244" s="1655"/>
      <c r="M244" s="1655"/>
      <c r="O244" s="287"/>
      <c r="Q244" s="48"/>
      <c r="R244" s="48"/>
      <c r="S244" s="48"/>
      <c r="T244" s="48"/>
      <c r="U244" s="48"/>
      <c r="V244" s="48"/>
      <c r="W244" s="48"/>
      <c r="X244" s="48"/>
      <c r="Y244" s="48"/>
      <c r="Z244" s="48"/>
      <c r="AA244" s="48"/>
      <c r="AB244" s="48"/>
      <c r="AC244" s="48"/>
      <c r="AD244" s="48"/>
      <c r="AE244" s="48"/>
    </row>
    <row r="245" spans="1:31" outlineLevel="1">
      <c r="A245" s="412">
        <f>ROW()</f>
        <v>245</v>
      </c>
      <c r="B245" s="91"/>
      <c r="G245" s="89"/>
      <c r="H245" s="89"/>
      <c r="I245" s="89"/>
      <c r="J245" s="89"/>
      <c r="K245" s="89"/>
      <c r="L245" s="49"/>
      <c r="N245" s="49"/>
      <c r="O245" s="287"/>
      <c r="Q245" s="48"/>
      <c r="R245" s="48"/>
      <c r="S245" s="48"/>
      <c r="T245" s="48"/>
      <c r="U245" s="48"/>
      <c r="V245" s="48"/>
      <c r="W245" s="48"/>
      <c r="X245" s="48"/>
      <c r="Y245" s="48"/>
      <c r="Z245" s="48"/>
      <c r="AA245" s="48"/>
      <c r="AB245" s="48"/>
      <c r="AC245" s="48"/>
      <c r="AD245" s="48"/>
      <c r="AE245" s="48"/>
    </row>
    <row r="246" spans="1:31" outlineLevel="1">
      <c r="A246" s="412">
        <f>ROW()</f>
        <v>246</v>
      </c>
      <c r="B246" s="1307" t="str">
        <f>$B$82</f>
        <v>Administrators (Full-time &amp; Part-Time w/benefits)</v>
      </c>
      <c r="C246" s="58"/>
      <c r="D246" s="58"/>
      <c r="E246" s="58"/>
      <c r="F246" s="58"/>
      <c r="G246" s="89"/>
      <c r="H246" s="89"/>
      <c r="I246" s="89"/>
      <c r="J246" s="89"/>
      <c r="K246" s="89"/>
      <c r="L246" s="49"/>
      <c r="N246" s="49"/>
      <c r="O246" s="287"/>
      <c r="Q246" s="48"/>
      <c r="R246" s="48"/>
      <c r="S246" s="48"/>
      <c r="T246" s="48"/>
      <c r="U246" s="48"/>
      <c r="V246" s="48"/>
      <c r="W246" s="48"/>
      <c r="X246" s="48"/>
      <c r="Y246" s="48"/>
      <c r="Z246" s="48"/>
      <c r="AA246" s="48"/>
      <c r="AB246" s="48"/>
      <c r="AC246" s="48"/>
      <c r="AD246" s="48"/>
      <c r="AE246" s="48"/>
    </row>
    <row r="247" spans="1:31" outlineLevel="1">
      <c r="A247" s="412">
        <f>ROW()</f>
        <v>247</v>
      </c>
      <c r="B247" s="32" t="str">
        <f>$B83</f>
        <v>Principal</v>
      </c>
      <c r="C247" s="109">
        <f t="shared" ref="C247:C252" si="47">SUM(G247:M247)</f>
        <v>540000</v>
      </c>
      <c r="D247" s="92"/>
      <c r="E247" s="92"/>
      <c r="F247" s="92"/>
      <c r="G247" s="1679">
        <f>G83*$D83</f>
        <v>0</v>
      </c>
      <c r="H247" s="1679">
        <f t="shared" ref="H247:M251" si="48">(H83*$D83)</f>
        <v>90000</v>
      </c>
      <c r="I247" s="1679">
        <f t="shared" si="48"/>
        <v>90000</v>
      </c>
      <c r="J247" s="1679">
        <f t="shared" si="48"/>
        <v>90000</v>
      </c>
      <c r="K247" s="1679">
        <f t="shared" si="48"/>
        <v>90000</v>
      </c>
      <c r="L247" s="1679">
        <f t="shared" si="48"/>
        <v>90000</v>
      </c>
      <c r="M247" s="1679">
        <f t="shared" si="48"/>
        <v>90000</v>
      </c>
      <c r="O247" s="287"/>
      <c r="Q247" s="48"/>
      <c r="R247" s="48"/>
      <c r="S247" s="48"/>
      <c r="T247" s="48"/>
      <c r="U247" s="48"/>
      <c r="V247" s="48"/>
      <c r="W247" s="48"/>
      <c r="X247" s="48"/>
      <c r="Y247" s="48"/>
      <c r="Z247" s="48"/>
      <c r="AA247" s="48"/>
      <c r="AB247" s="48"/>
      <c r="AC247" s="48"/>
      <c r="AD247" s="48"/>
      <c r="AE247" s="48"/>
    </row>
    <row r="248" spans="1:31" outlineLevel="1">
      <c r="A248" s="412">
        <f>ROW()</f>
        <v>248</v>
      </c>
      <c r="B248" s="32" t="str">
        <f>$B84</f>
        <v>Vice Principal</v>
      </c>
      <c r="C248" s="117">
        <f t="shared" si="47"/>
        <v>450000</v>
      </c>
      <c r="D248" s="49"/>
      <c r="E248" s="49"/>
      <c r="F248" s="92"/>
      <c r="G248" s="1680">
        <f>G84*$D84</f>
        <v>0</v>
      </c>
      <c r="H248" s="1680">
        <f t="shared" si="48"/>
        <v>0</v>
      </c>
      <c r="I248" s="1680">
        <f t="shared" si="48"/>
        <v>90000</v>
      </c>
      <c r="J248" s="1680">
        <f t="shared" si="48"/>
        <v>90000</v>
      </c>
      <c r="K248" s="1680">
        <f t="shared" si="48"/>
        <v>90000</v>
      </c>
      <c r="L248" s="1680">
        <f t="shared" si="48"/>
        <v>90000</v>
      </c>
      <c r="M248" s="1680">
        <f t="shared" si="48"/>
        <v>90000</v>
      </c>
      <c r="O248" s="287"/>
      <c r="Q248" s="48"/>
      <c r="R248" s="48"/>
      <c r="S248" s="48"/>
      <c r="T248" s="48"/>
      <c r="U248" s="48"/>
      <c r="V248" s="48"/>
      <c r="W248" s="48"/>
      <c r="X248" s="48"/>
      <c r="Y248" s="48"/>
      <c r="Z248" s="48"/>
      <c r="AA248" s="48"/>
      <c r="AB248" s="48"/>
      <c r="AC248" s="48"/>
      <c r="AD248" s="48"/>
      <c r="AE248" s="48"/>
    </row>
    <row r="249" spans="1:31" outlineLevel="1">
      <c r="A249" s="412">
        <f>ROW()</f>
        <v>249</v>
      </c>
      <c r="B249" s="32">
        <f>$B85</f>
        <v>0</v>
      </c>
      <c r="C249" s="117">
        <f t="shared" si="47"/>
        <v>0</v>
      </c>
      <c r="D249" s="49"/>
      <c r="E249" s="49"/>
      <c r="F249" s="92"/>
      <c r="G249" s="1680">
        <f>G85*$D85</f>
        <v>0</v>
      </c>
      <c r="H249" s="1680">
        <f t="shared" si="48"/>
        <v>0</v>
      </c>
      <c r="I249" s="1680">
        <f t="shared" si="48"/>
        <v>0</v>
      </c>
      <c r="J249" s="1680">
        <f t="shared" si="48"/>
        <v>0</v>
      </c>
      <c r="K249" s="1680">
        <f t="shared" si="48"/>
        <v>0</v>
      </c>
      <c r="L249" s="1680">
        <f t="shared" si="48"/>
        <v>0</v>
      </c>
      <c r="M249" s="1680">
        <f t="shared" si="48"/>
        <v>0</v>
      </c>
      <c r="O249" s="287"/>
      <c r="Q249" s="48"/>
      <c r="R249" s="48"/>
      <c r="S249" s="48"/>
      <c r="T249" s="48"/>
      <c r="U249" s="48"/>
      <c r="V249" s="48"/>
      <c r="W249" s="48"/>
      <c r="X249" s="48"/>
      <c r="Y249" s="48"/>
      <c r="Z249" s="48"/>
      <c r="AA249" s="48"/>
      <c r="AB249" s="48"/>
      <c r="AC249" s="48"/>
      <c r="AD249" s="48"/>
      <c r="AE249" s="48"/>
    </row>
    <row r="250" spans="1:31" outlineLevel="1">
      <c r="A250" s="412">
        <f>ROW()</f>
        <v>250</v>
      </c>
      <c r="B250" s="32">
        <f>$B86</f>
        <v>0</v>
      </c>
      <c r="C250" s="117">
        <f t="shared" si="47"/>
        <v>0</v>
      </c>
      <c r="D250" s="49"/>
      <c r="E250" s="49"/>
      <c r="F250" s="92"/>
      <c r="G250" s="1680">
        <f>G86*$D86</f>
        <v>0</v>
      </c>
      <c r="H250" s="1680">
        <f t="shared" si="48"/>
        <v>0</v>
      </c>
      <c r="I250" s="1680">
        <f t="shared" si="48"/>
        <v>0</v>
      </c>
      <c r="J250" s="1680">
        <f t="shared" si="48"/>
        <v>0</v>
      </c>
      <c r="K250" s="1680">
        <f t="shared" si="48"/>
        <v>0</v>
      </c>
      <c r="L250" s="1680">
        <f t="shared" si="48"/>
        <v>0</v>
      </c>
      <c r="M250" s="1680">
        <f t="shared" si="48"/>
        <v>0</v>
      </c>
      <c r="O250" s="287"/>
      <c r="Q250" s="48"/>
      <c r="R250" s="48"/>
      <c r="S250" s="48"/>
      <c r="T250" s="48"/>
      <c r="U250" s="48"/>
      <c r="V250" s="48"/>
      <c r="W250" s="48"/>
      <c r="X250" s="48"/>
      <c r="Y250" s="48"/>
      <c r="Z250" s="48"/>
      <c r="AA250" s="48"/>
      <c r="AB250" s="48"/>
      <c r="AC250" s="48"/>
      <c r="AD250" s="48"/>
      <c r="AE250" s="48"/>
    </row>
    <row r="251" spans="1:31" outlineLevel="1">
      <c r="A251" s="412">
        <f>ROW()</f>
        <v>251</v>
      </c>
      <c r="B251" s="58">
        <f>$B87</f>
        <v>0</v>
      </c>
      <c r="C251" s="118">
        <f t="shared" si="47"/>
        <v>0</v>
      </c>
      <c r="D251" s="93"/>
      <c r="E251" s="93"/>
      <c r="F251" s="93"/>
      <c r="G251" s="1681">
        <f>G87*$D87</f>
        <v>0</v>
      </c>
      <c r="H251" s="1681">
        <f t="shared" si="48"/>
        <v>0</v>
      </c>
      <c r="I251" s="1681">
        <f t="shared" si="48"/>
        <v>0</v>
      </c>
      <c r="J251" s="1681">
        <f t="shared" si="48"/>
        <v>0</v>
      </c>
      <c r="K251" s="1681">
        <f t="shared" si="48"/>
        <v>0</v>
      </c>
      <c r="L251" s="1681">
        <f t="shared" si="48"/>
        <v>0</v>
      </c>
      <c r="M251" s="1681">
        <f t="shared" si="48"/>
        <v>0</v>
      </c>
      <c r="O251" s="287"/>
      <c r="Q251" s="48"/>
      <c r="R251" s="48"/>
      <c r="S251" s="48"/>
      <c r="T251" s="48"/>
      <c r="U251" s="48"/>
      <c r="V251" s="48"/>
      <c r="W251" s="48"/>
      <c r="X251" s="48"/>
      <c r="Y251" s="48"/>
      <c r="Z251" s="48"/>
      <c r="AA251" s="48"/>
      <c r="AB251" s="48"/>
      <c r="AC251" s="48"/>
      <c r="AD251" s="48"/>
      <c r="AE251" s="48"/>
    </row>
    <row r="252" spans="1:31" outlineLevel="1">
      <c r="A252" s="412">
        <f>ROW()</f>
        <v>252</v>
      </c>
      <c r="B252" s="30" t="s">
        <v>501</v>
      </c>
      <c r="C252" s="117">
        <f t="shared" si="47"/>
        <v>990000</v>
      </c>
      <c r="D252" s="49"/>
      <c r="E252" s="49"/>
      <c r="F252" s="49"/>
      <c r="G252" s="295">
        <f t="shared" ref="G252:M252" si="49">SUM(G247:G251)</f>
        <v>0</v>
      </c>
      <c r="H252" s="295">
        <f t="shared" si="49"/>
        <v>90000</v>
      </c>
      <c r="I252" s="295">
        <f t="shared" si="49"/>
        <v>180000</v>
      </c>
      <c r="J252" s="295">
        <f t="shared" si="49"/>
        <v>180000</v>
      </c>
      <c r="K252" s="295">
        <f t="shared" si="49"/>
        <v>180000</v>
      </c>
      <c r="L252" s="295">
        <f t="shared" si="49"/>
        <v>180000</v>
      </c>
      <c r="M252" s="295">
        <f t="shared" si="49"/>
        <v>180000</v>
      </c>
      <c r="O252" s="287"/>
      <c r="Q252" s="48"/>
      <c r="R252" s="48"/>
      <c r="S252" s="48"/>
      <c r="T252" s="48"/>
      <c r="U252" s="48"/>
      <c r="V252" s="48"/>
      <c r="W252" s="48"/>
      <c r="X252" s="48"/>
      <c r="Y252" s="48"/>
      <c r="Z252" s="48"/>
      <c r="AA252" s="48"/>
      <c r="AB252" s="48"/>
      <c r="AC252" s="48"/>
      <c r="AD252" s="48"/>
      <c r="AE252" s="48"/>
    </row>
    <row r="253" spans="1:31" outlineLevel="1">
      <c r="A253" s="412">
        <f>ROW()</f>
        <v>253</v>
      </c>
      <c r="B253" s="30"/>
      <c r="C253" s="117"/>
      <c r="D253" s="49"/>
      <c r="E253" s="49"/>
      <c r="F253" s="49"/>
      <c r="G253" s="117"/>
      <c r="H253" s="117"/>
      <c r="I253" s="117"/>
      <c r="J253" s="117"/>
      <c r="K253" s="117"/>
      <c r="L253" s="117"/>
      <c r="M253" s="117"/>
      <c r="O253" s="287"/>
      <c r="Q253" s="48"/>
      <c r="R253" s="48"/>
      <c r="S253" s="48"/>
      <c r="T253" s="48"/>
      <c r="U253" s="48"/>
      <c r="V253" s="48"/>
      <c r="W253" s="48"/>
      <c r="X253" s="48"/>
      <c r="Y253" s="48"/>
      <c r="Z253" s="48"/>
      <c r="AA253" s="48"/>
      <c r="AB253" s="48"/>
      <c r="AC253" s="48"/>
      <c r="AD253" s="48"/>
      <c r="AE253" s="48"/>
    </row>
    <row r="254" spans="1:31" outlineLevel="1">
      <c r="A254" s="412">
        <f>ROW()</f>
        <v>254</v>
      </c>
      <c r="B254" s="1307" t="str">
        <f>$B$91</f>
        <v>Office Staff (Full-time &amp; Part-Time w/benefits)</v>
      </c>
      <c r="C254" s="118"/>
      <c r="D254" s="93"/>
      <c r="E254" s="93"/>
      <c r="F254" s="93"/>
      <c r="G254" s="118"/>
      <c r="H254" s="118"/>
      <c r="I254" s="118"/>
      <c r="J254" s="118"/>
      <c r="K254" s="118"/>
      <c r="L254" s="118"/>
      <c r="M254" s="118"/>
      <c r="O254" s="287"/>
      <c r="Q254" s="48"/>
      <c r="R254" s="48"/>
      <c r="S254" s="48"/>
      <c r="T254" s="48"/>
      <c r="U254" s="48"/>
      <c r="V254" s="48"/>
      <c r="W254" s="48"/>
      <c r="X254" s="48"/>
      <c r="Y254" s="48"/>
      <c r="Z254" s="48"/>
      <c r="AA254" s="48"/>
      <c r="AB254" s="48"/>
      <c r="AC254" s="48"/>
      <c r="AD254" s="48"/>
      <c r="AE254" s="48"/>
    </row>
    <row r="255" spans="1:31" outlineLevel="1">
      <c r="A255" s="412">
        <f>ROW()</f>
        <v>255</v>
      </c>
      <c r="B255" s="32" t="str">
        <f>$B92</f>
        <v>Office Manager/Registrar</v>
      </c>
      <c r="C255" s="117">
        <f>SUM(G255:M255)</f>
        <v>270000</v>
      </c>
      <c r="D255" s="49"/>
      <c r="E255" s="49"/>
      <c r="F255" s="49"/>
      <c r="G255" s="1680">
        <f>G92*$D92</f>
        <v>0</v>
      </c>
      <c r="H255" s="1680">
        <f t="shared" ref="H255:M255" si="50">(H92*$D92)</f>
        <v>45000</v>
      </c>
      <c r="I255" s="1680">
        <f t="shared" si="50"/>
        <v>45000</v>
      </c>
      <c r="J255" s="1680">
        <f t="shared" si="50"/>
        <v>45000</v>
      </c>
      <c r="K255" s="1680">
        <f t="shared" si="50"/>
        <v>45000</v>
      </c>
      <c r="L255" s="1680">
        <f t="shared" si="50"/>
        <v>45000</v>
      </c>
      <c r="M255" s="1680">
        <f t="shared" si="50"/>
        <v>45000</v>
      </c>
      <c r="O255" s="287"/>
      <c r="Q255" s="48"/>
      <c r="R255" s="48"/>
      <c r="S255" s="48"/>
      <c r="T255" s="48"/>
      <c r="U255" s="48"/>
      <c r="V255" s="48"/>
      <c r="W255" s="48"/>
      <c r="X255" s="48"/>
      <c r="Y255" s="48"/>
      <c r="Z255" s="48"/>
      <c r="AA255" s="48"/>
      <c r="AB255" s="48"/>
      <c r="AC255" s="48"/>
      <c r="AD255" s="48"/>
      <c r="AE255" s="48"/>
    </row>
    <row r="256" spans="1:31" outlineLevel="1">
      <c r="A256" s="412">
        <f>ROW()</f>
        <v>256</v>
      </c>
      <c r="B256" s="32" t="str">
        <f>$B93</f>
        <v>Receptionist</v>
      </c>
      <c r="C256" s="117">
        <f>SUM(G256:M256)</f>
        <v>270000</v>
      </c>
      <c r="D256" s="49"/>
      <c r="E256" s="49"/>
      <c r="F256" s="49"/>
      <c r="G256" s="1680">
        <f>G93*$D93</f>
        <v>0</v>
      </c>
      <c r="H256" s="1680">
        <f>(H93*$D93)</f>
        <v>45000</v>
      </c>
      <c r="I256" s="1680">
        <f t="shared" ref="I256:M256" si="51">(I93*$D93)</f>
        <v>45000</v>
      </c>
      <c r="J256" s="1680">
        <f t="shared" si="51"/>
        <v>45000</v>
      </c>
      <c r="K256" s="1680">
        <f t="shared" si="51"/>
        <v>45000</v>
      </c>
      <c r="L256" s="1680">
        <f t="shared" si="51"/>
        <v>45000</v>
      </c>
      <c r="M256" s="1680">
        <f t="shared" si="51"/>
        <v>45000</v>
      </c>
      <c r="O256" s="287"/>
      <c r="Q256" s="48"/>
      <c r="R256" s="48"/>
      <c r="S256" s="48"/>
      <c r="T256" s="48"/>
      <c r="U256" s="48"/>
      <c r="V256" s="48"/>
      <c r="W256" s="48"/>
      <c r="X256" s="48"/>
      <c r="Y256" s="48"/>
      <c r="Z256" s="48"/>
      <c r="AA256" s="48"/>
      <c r="AB256" s="48"/>
      <c r="AC256" s="48"/>
      <c r="AD256" s="48"/>
      <c r="AE256" s="48"/>
    </row>
    <row r="257" spans="1:31" outlineLevel="1">
      <c r="A257" s="412"/>
      <c r="B257" s="32">
        <f>$B94</f>
        <v>0</v>
      </c>
      <c r="C257" s="117">
        <f>SUM(G257:M257)</f>
        <v>0</v>
      </c>
      <c r="D257" s="49"/>
      <c r="E257" s="49"/>
      <c r="F257" s="49"/>
      <c r="G257" s="1680">
        <f>G94*$D94</f>
        <v>0</v>
      </c>
      <c r="H257" s="1680">
        <f>(H94*$D94)</f>
        <v>0</v>
      </c>
      <c r="I257" s="1680">
        <f t="shared" ref="I257:M258" si="52">(I94*$D94)</f>
        <v>0</v>
      </c>
      <c r="J257" s="1680">
        <f t="shared" si="52"/>
        <v>0</v>
      </c>
      <c r="K257" s="1680">
        <f t="shared" si="52"/>
        <v>0</v>
      </c>
      <c r="L257" s="1680">
        <f t="shared" si="52"/>
        <v>0</v>
      </c>
      <c r="M257" s="1680">
        <f t="shared" si="52"/>
        <v>0</v>
      </c>
      <c r="O257" s="287"/>
      <c r="Q257" s="48"/>
      <c r="R257" s="48"/>
      <c r="S257" s="48"/>
      <c r="T257" s="48"/>
      <c r="U257" s="48"/>
      <c r="V257" s="48"/>
      <c r="W257" s="48"/>
      <c r="X257" s="48"/>
      <c r="Y257" s="48"/>
      <c r="Z257" s="48"/>
      <c r="AA257" s="48"/>
      <c r="AB257" s="48"/>
      <c r="AC257" s="48"/>
      <c r="AD257" s="48"/>
      <c r="AE257" s="48"/>
    </row>
    <row r="258" spans="1:31" outlineLevel="1">
      <c r="A258" s="412">
        <f>ROW()</f>
        <v>258</v>
      </c>
      <c r="B258" s="58">
        <f>$B95</f>
        <v>0</v>
      </c>
      <c r="C258" s="118">
        <f>SUM(G258:M258)</f>
        <v>0</v>
      </c>
      <c r="D258" s="93"/>
      <c r="E258" s="93"/>
      <c r="F258" s="93"/>
      <c r="G258" s="1680">
        <f>G95*$D95</f>
        <v>0</v>
      </c>
      <c r="H258" s="1680">
        <f>(H95*$D95)</f>
        <v>0</v>
      </c>
      <c r="I258" s="1680">
        <f t="shared" si="52"/>
        <v>0</v>
      </c>
      <c r="J258" s="1680">
        <f t="shared" si="52"/>
        <v>0</v>
      </c>
      <c r="K258" s="1680">
        <f t="shared" si="52"/>
        <v>0</v>
      </c>
      <c r="L258" s="1680">
        <f t="shared" si="52"/>
        <v>0</v>
      </c>
      <c r="M258" s="1680">
        <f t="shared" si="52"/>
        <v>0</v>
      </c>
      <c r="O258" s="287"/>
      <c r="Q258" s="48"/>
      <c r="R258" s="48"/>
      <c r="S258" s="48"/>
      <c r="T258" s="48"/>
      <c r="U258" s="48"/>
      <c r="V258" s="48"/>
      <c r="W258" s="48"/>
      <c r="X258" s="48"/>
      <c r="Y258" s="48"/>
      <c r="Z258" s="48"/>
      <c r="AA258" s="48"/>
      <c r="AB258" s="48"/>
      <c r="AC258" s="48"/>
      <c r="AD258" s="48"/>
      <c r="AE258" s="48"/>
    </row>
    <row r="259" spans="1:31" outlineLevel="1">
      <c r="A259" s="412">
        <f>ROW()</f>
        <v>259</v>
      </c>
      <c r="B259" s="30" t="s">
        <v>502</v>
      </c>
      <c r="C259" s="117">
        <f>SUM(G259:M259)</f>
        <v>540000</v>
      </c>
      <c r="D259" s="49"/>
      <c r="E259" s="49"/>
      <c r="F259" s="49"/>
      <c r="G259" s="295">
        <f t="shared" ref="G259:M259" si="53">SUM(G255:G258)</f>
        <v>0</v>
      </c>
      <c r="H259" s="295">
        <f t="shared" si="53"/>
        <v>90000</v>
      </c>
      <c r="I259" s="295">
        <f t="shared" si="53"/>
        <v>90000</v>
      </c>
      <c r="J259" s="295">
        <f t="shared" si="53"/>
        <v>90000</v>
      </c>
      <c r="K259" s="295">
        <f t="shared" si="53"/>
        <v>90000</v>
      </c>
      <c r="L259" s="295">
        <f t="shared" si="53"/>
        <v>90000</v>
      </c>
      <c r="M259" s="295">
        <f t="shared" si="53"/>
        <v>90000</v>
      </c>
      <c r="O259" s="287"/>
      <c r="Q259" s="48"/>
      <c r="R259" s="48"/>
      <c r="S259" s="48"/>
      <c r="T259" s="48"/>
      <c r="U259" s="48"/>
      <c r="V259" s="48"/>
      <c r="W259" s="48"/>
      <c r="X259" s="48"/>
      <c r="Y259" s="48"/>
      <c r="Z259" s="48"/>
      <c r="AA259" s="48"/>
      <c r="AB259" s="48"/>
      <c r="AC259" s="48"/>
      <c r="AD259" s="48"/>
      <c r="AE259" s="48"/>
    </row>
    <row r="260" spans="1:31" outlineLevel="1">
      <c r="A260" s="412">
        <f>ROW()</f>
        <v>260</v>
      </c>
      <c r="C260" s="117"/>
      <c r="D260" s="49"/>
      <c r="E260" s="49"/>
      <c r="F260" s="49"/>
      <c r="G260" s="117"/>
      <c r="H260" s="117"/>
      <c r="I260" s="117"/>
      <c r="J260" s="117"/>
      <c r="K260" s="117"/>
      <c r="L260" s="117"/>
      <c r="M260" s="117"/>
      <c r="O260" s="287"/>
      <c r="Q260" s="48"/>
      <c r="R260" s="48"/>
      <c r="S260" s="48"/>
      <c r="T260" s="48"/>
      <c r="U260" s="48"/>
      <c r="V260" s="48"/>
      <c r="W260" s="48"/>
      <c r="X260" s="48"/>
      <c r="Y260" s="48"/>
      <c r="Z260" s="48"/>
      <c r="AA260" s="48"/>
      <c r="AB260" s="48"/>
      <c r="AC260" s="48"/>
      <c r="AD260" s="48"/>
      <c r="AE260" s="48"/>
    </row>
    <row r="261" spans="1:31" outlineLevel="1">
      <c r="A261" s="412">
        <f>ROW()</f>
        <v>261</v>
      </c>
      <c r="B261" s="106" t="str">
        <f>$B$97</f>
        <v>Total Administrators and Office Staff</v>
      </c>
      <c r="C261" s="295">
        <f>SUM(G261:M261)</f>
        <v>1530000</v>
      </c>
      <c r="D261" s="259"/>
      <c r="E261" s="259"/>
      <c r="F261" s="259"/>
      <c r="G261" s="546">
        <f t="shared" ref="G261:M261" si="54">+G252+G259</f>
        <v>0</v>
      </c>
      <c r="H261" s="546">
        <f t="shared" si="54"/>
        <v>180000</v>
      </c>
      <c r="I261" s="546">
        <f t="shared" si="54"/>
        <v>270000</v>
      </c>
      <c r="J261" s="546">
        <f t="shared" si="54"/>
        <v>270000</v>
      </c>
      <c r="K261" s="546">
        <f t="shared" si="54"/>
        <v>270000</v>
      </c>
      <c r="L261" s="546">
        <f t="shared" si="54"/>
        <v>270000</v>
      </c>
      <c r="M261" s="546">
        <f t="shared" si="54"/>
        <v>270000</v>
      </c>
      <c r="O261" s="287"/>
      <c r="Q261" s="48"/>
      <c r="R261" s="48"/>
      <c r="S261" s="48"/>
      <c r="T261" s="48"/>
      <c r="U261" s="48"/>
      <c r="V261" s="48"/>
      <c r="W261" s="48"/>
      <c r="X261" s="48"/>
      <c r="Y261" s="48"/>
      <c r="Z261" s="48"/>
      <c r="AA261" s="48"/>
      <c r="AB261" s="48"/>
      <c r="AC261" s="48"/>
      <c r="AD261" s="48"/>
      <c r="AE261" s="48"/>
    </row>
    <row r="262" spans="1:31" outlineLevel="1">
      <c r="A262" s="412">
        <f>ROW()</f>
        <v>262</v>
      </c>
      <c r="G262" s="429"/>
      <c r="H262" s="429"/>
      <c r="I262" s="429"/>
      <c r="J262" s="429"/>
      <c r="K262" s="429"/>
      <c r="L262" s="429"/>
      <c r="M262" s="429"/>
      <c r="O262" s="287"/>
      <c r="Q262" s="48"/>
      <c r="R262" s="48"/>
      <c r="S262" s="48"/>
      <c r="T262" s="48"/>
      <c r="U262" s="48"/>
      <c r="V262" s="48"/>
      <c r="W262" s="48"/>
      <c r="X262" s="48"/>
      <c r="Y262" s="48"/>
      <c r="Z262" s="48"/>
      <c r="AA262" s="48"/>
      <c r="AB262" s="48"/>
      <c r="AC262" s="48"/>
      <c r="AD262" s="48"/>
      <c r="AE262" s="48"/>
    </row>
    <row r="263" spans="1:31" outlineLevel="1">
      <c r="A263" s="412">
        <f>ROW()</f>
        <v>263</v>
      </c>
      <c r="B263" s="30"/>
      <c r="C263" s="117"/>
      <c r="D263" s="49"/>
      <c r="E263" s="49"/>
      <c r="F263" s="49"/>
      <c r="G263" s="117"/>
      <c r="H263" s="117"/>
      <c r="I263" s="117"/>
      <c r="J263" s="117"/>
      <c r="K263" s="117"/>
      <c r="L263" s="117"/>
      <c r="M263" s="117"/>
      <c r="O263" s="287"/>
      <c r="Q263" s="48"/>
      <c r="R263" s="48"/>
      <c r="S263" s="48"/>
      <c r="T263" s="48"/>
      <c r="U263" s="48"/>
      <c r="V263" s="48"/>
      <c r="W263" s="48"/>
      <c r="X263" s="48"/>
      <c r="Y263" s="48"/>
      <c r="Z263" s="48"/>
      <c r="AA263" s="48"/>
      <c r="AB263" s="48"/>
      <c r="AC263" s="48"/>
      <c r="AD263" s="48"/>
      <c r="AE263" s="48"/>
    </row>
    <row r="264" spans="1:31" outlineLevel="1">
      <c r="A264" s="412">
        <f>ROW()</f>
        <v>264</v>
      </c>
      <c r="B264" s="1307" t="str">
        <f>$B$99</f>
        <v>Special Education (SPED) Teachers (Full-time &amp; Part-Time w/benefits)</v>
      </c>
      <c r="C264" s="118"/>
      <c r="D264" s="93"/>
      <c r="E264" s="93"/>
      <c r="F264" s="93"/>
      <c r="G264" s="118"/>
      <c r="H264" s="118"/>
      <c r="I264" s="118"/>
      <c r="J264" s="118"/>
      <c r="K264" s="118"/>
      <c r="L264" s="118"/>
      <c r="M264" s="118"/>
      <c r="O264" s="287"/>
      <c r="Q264" s="48"/>
      <c r="R264" s="48"/>
      <c r="S264" s="48"/>
      <c r="T264" s="48"/>
      <c r="U264" s="48"/>
      <c r="V264" s="48"/>
      <c r="W264" s="48"/>
      <c r="X264" s="48"/>
      <c r="Y264" s="48"/>
      <c r="Z264" s="48"/>
      <c r="AA264" s="48"/>
      <c r="AB264" s="48"/>
      <c r="AC264" s="48"/>
      <c r="AD264" s="48"/>
      <c r="AE264" s="48"/>
    </row>
    <row r="265" spans="1:31" outlineLevel="1">
      <c r="A265" s="412">
        <f>ROW()</f>
        <v>265</v>
      </c>
      <c r="B265" s="142" t="str">
        <f>$B$100</f>
        <v>Special Education Director 1</v>
      </c>
      <c r="C265" s="117">
        <f t="shared" ref="C265:C274" si="55">SUM(G265:M265)</f>
        <v>360000</v>
      </c>
      <c r="D265" s="49"/>
      <c r="E265" s="49"/>
      <c r="F265" s="49"/>
      <c r="G265" s="1680">
        <f t="shared" ref="G265:G273" si="56">G100*$D100</f>
        <v>0</v>
      </c>
      <c r="H265" s="1680">
        <f t="shared" ref="H265:M273" si="57">(H100*$D100)</f>
        <v>60000</v>
      </c>
      <c r="I265" s="1680">
        <f t="shared" si="57"/>
        <v>60000</v>
      </c>
      <c r="J265" s="1680">
        <f t="shared" si="57"/>
        <v>60000</v>
      </c>
      <c r="K265" s="1680">
        <f t="shared" si="57"/>
        <v>60000</v>
      </c>
      <c r="L265" s="1680">
        <f t="shared" si="57"/>
        <v>60000</v>
      </c>
      <c r="M265" s="1680">
        <f t="shared" si="57"/>
        <v>60000</v>
      </c>
      <c r="O265" s="287"/>
      <c r="Q265" s="48"/>
      <c r="R265" s="48"/>
      <c r="S265" s="48"/>
      <c r="T265" s="48"/>
      <c r="U265" s="48"/>
      <c r="V265" s="48"/>
      <c r="W265" s="48"/>
      <c r="X265" s="48"/>
      <c r="Y265" s="48"/>
      <c r="Z265" s="48"/>
      <c r="AA265" s="48"/>
      <c r="AB265" s="48"/>
      <c r="AC265" s="48"/>
      <c r="AD265" s="48"/>
      <c r="AE265" s="48"/>
    </row>
    <row r="266" spans="1:31" outlineLevel="1">
      <c r="A266" s="412">
        <f>ROW()</f>
        <v>266</v>
      </c>
      <c r="B266" s="142" t="str">
        <f>$B$101</f>
        <v>Special Education Coordinator 2</v>
      </c>
      <c r="C266" s="117">
        <f t="shared" si="55"/>
        <v>300000</v>
      </c>
      <c r="D266" s="49"/>
      <c r="E266" s="49"/>
      <c r="F266" s="49"/>
      <c r="G266" s="1680">
        <f t="shared" si="56"/>
        <v>0</v>
      </c>
      <c r="H266" s="1680">
        <f t="shared" si="57"/>
        <v>0</v>
      </c>
      <c r="I266" s="1680">
        <f t="shared" si="57"/>
        <v>60000</v>
      </c>
      <c r="J266" s="1680">
        <f t="shared" si="57"/>
        <v>60000</v>
      </c>
      <c r="K266" s="1680">
        <f t="shared" si="57"/>
        <v>60000</v>
      </c>
      <c r="L266" s="1680">
        <f t="shared" si="57"/>
        <v>60000</v>
      </c>
      <c r="M266" s="1680">
        <f t="shared" si="57"/>
        <v>60000</v>
      </c>
      <c r="O266" s="287"/>
      <c r="Q266" s="48"/>
      <c r="R266" s="48"/>
      <c r="S266" s="48"/>
      <c r="T266" s="48"/>
      <c r="U266" s="48"/>
      <c r="V266" s="48"/>
      <c r="W266" s="48"/>
      <c r="X266" s="48"/>
      <c r="Y266" s="48"/>
      <c r="Z266" s="48"/>
      <c r="AA266" s="48"/>
      <c r="AB266" s="48"/>
      <c r="AC266" s="48"/>
      <c r="AD266" s="48"/>
      <c r="AE266" s="48"/>
    </row>
    <row r="267" spans="1:31" outlineLevel="1">
      <c r="A267" s="412">
        <f>ROW()</f>
        <v>267</v>
      </c>
      <c r="B267" s="142" t="str">
        <f>$B$102</f>
        <v>Special Education Coordinator 3</v>
      </c>
      <c r="C267" s="117">
        <f t="shared" si="55"/>
        <v>180000</v>
      </c>
      <c r="D267" s="49"/>
      <c r="E267" s="49"/>
      <c r="F267" s="49"/>
      <c r="G267" s="1680">
        <f t="shared" si="56"/>
        <v>0</v>
      </c>
      <c r="H267" s="1680">
        <f t="shared" si="57"/>
        <v>0</v>
      </c>
      <c r="I267" s="1680">
        <f t="shared" si="57"/>
        <v>0</v>
      </c>
      <c r="J267" s="1680">
        <f t="shared" si="57"/>
        <v>0</v>
      </c>
      <c r="K267" s="1680">
        <f t="shared" si="57"/>
        <v>60000</v>
      </c>
      <c r="L267" s="1680">
        <f t="shared" si="57"/>
        <v>60000</v>
      </c>
      <c r="M267" s="1680">
        <f t="shared" si="57"/>
        <v>60000</v>
      </c>
      <c r="O267" s="287"/>
      <c r="Q267" s="48"/>
      <c r="R267" s="48"/>
      <c r="S267" s="48"/>
      <c r="T267" s="48"/>
      <c r="U267" s="48"/>
      <c r="V267" s="48"/>
      <c r="W267" s="48"/>
      <c r="X267" s="48"/>
      <c r="Y267" s="48"/>
      <c r="Z267" s="48"/>
      <c r="AA267" s="48"/>
      <c r="AB267" s="48"/>
      <c r="AC267" s="48"/>
      <c r="AD267" s="48"/>
      <c r="AE267" s="48"/>
    </row>
    <row r="268" spans="1:31" outlineLevel="1">
      <c r="A268" s="412">
        <f>ROW()</f>
        <v>268</v>
      </c>
      <c r="B268" s="142">
        <f>$B$103</f>
        <v>0</v>
      </c>
      <c r="C268" s="117">
        <f t="shared" si="55"/>
        <v>0</v>
      </c>
      <c r="D268" s="49"/>
      <c r="E268" s="49"/>
      <c r="F268" s="49"/>
      <c r="G268" s="1680">
        <f t="shared" si="56"/>
        <v>0</v>
      </c>
      <c r="H268" s="1680">
        <f t="shared" si="57"/>
        <v>0</v>
      </c>
      <c r="I268" s="1680">
        <f t="shared" si="57"/>
        <v>0</v>
      </c>
      <c r="J268" s="1680">
        <f t="shared" si="57"/>
        <v>0</v>
      </c>
      <c r="K268" s="1680">
        <f t="shared" si="57"/>
        <v>0</v>
      </c>
      <c r="L268" s="1680">
        <f t="shared" si="57"/>
        <v>0</v>
      </c>
      <c r="M268" s="1680">
        <f t="shared" si="57"/>
        <v>0</v>
      </c>
      <c r="O268" s="287"/>
      <c r="Q268" s="48"/>
      <c r="R268" s="48"/>
      <c r="S268" s="48"/>
      <c r="T268" s="48"/>
      <c r="U268" s="48"/>
      <c r="V268" s="48"/>
      <c r="W268" s="48"/>
      <c r="X268" s="48"/>
      <c r="Y268" s="48"/>
      <c r="Z268" s="48"/>
      <c r="AA268" s="48"/>
      <c r="AB268" s="48"/>
      <c r="AC268" s="48"/>
      <c r="AD268" s="48"/>
      <c r="AE268" s="48"/>
    </row>
    <row r="269" spans="1:31" outlineLevel="1">
      <c r="A269" s="412">
        <f>ROW()</f>
        <v>269</v>
      </c>
      <c r="B269" s="142">
        <f>$B$104</f>
        <v>0</v>
      </c>
      <c r="C269" s="117">
        <f t="shared" si="55"/>
        <v>0</v>
      </c>
      <c r="D269" s="49"/>
      <c r="E269" s="49"/>
      <c r="F269" s="49"/>
      <c r="G269" s="1680">
        <f t="shared" si="56"/>
        <v>0</v>
      </c>
      <c r="H269" s="1680">
        <f t="shared" si="57"/>
        <v>0</v>
      </c>
      <c r="I269" s="1680">
        <f t="shared" si="57"/>
        <v>0</v>
      </c>
      <c r="J269" s="1680">
        <f t="shared" si="57"/>
        <v>0</v>
      </c>
      <c r="K269" s="1680">
        <f t="shared" si="57"/>
        <v>0</v>
      </c>
      <c r="L269" s="1680">
        <f t="shared" si="57"/>
        <v>0</v>
      </c>
      <c r="M269" s="1680">
        <f t="shared" si="57"/>
        <v>0</v>
      </c>
      <c r="O269" s="287"/>
      <c r="Q269" s="48"/>
      <c r="R269" s="48"/>
      <c r="S269" s="48"/>
      <c r="T269" s="48"/>
      <c r="U269" s="48"/>
      <c r="V269" s="48"/>
      <c r="W269" s="48"/>
      <c r="X269" s="48"/>
      <c r="Y269" s="48"/>
      <c r="Z269" s="48"/>
      <c r="AA269" s="48"/>
      <c r="AB269" s="48"/>
      <c r="AC269" s="48"/>
      <c r="AD269" s="48"/>
      <c r="AE269" s="48"/>
    </row>
    <row r="270" spans="1:31" outlineLevel="1">
      <c r="A270" s="412">
        <f>ROW()</f>
        <v>270</v>
      </c>
      <c r="B270" s="142" t="str">
        <f>$B105</f>
        <v xml:space="preserve"> </v>
      </c>
      <c r="C270" s="117">
        <f t="shared" si="55"/>
        <v>0</v>
      </c>
      <c r="D270" s="49"/>
      <c r="E270" s="49"/>
      <c r="F270" s="49"/>
      <c r="G270" s="1680">
        <f t="shared" si="56"/>
        <v>0</v>
      </c>
      <c r="H270" s="1680">
        <f t="shared" si="57"/>
        <v>0</v>
      </c>
      <c r="I270" s="1680">
        <f t="shared" si="57"/>
        <v>0</v>
      </c>
      <c r="J270" s="1680">
        <f t="shared" si="57"/>
        <v>0</v>
      </c>
      <c r="K270" s="1680">
        <f t="shared" si="57"/>
        <v>0</v>
      </c>
      <c r="L270" s="1680">
        <f t="shared" si="57"/>
        <v>0</v>
      </c>
      <c r="M270" s="1680">
        <f t="shared" si="57"/>
        <v>0</v>
      </c>
      <c r="O270" s="287"/>
      <c r="Q270" s="48"/>
      <c r="R270" s="48"/>
      <c r="S270" s="48"/>
      <c r="T270" s="48"/>
      <c r="U270" s="48"/>
      <c r="V270" s="48"/>
      <c r="W270" s="48"/>
      <c r="X270" s="48"/>
      <c r="Y270" s="48"/>
      <c r="Z270" s="48"/>
      <c r="AA270" s="48"/>
      <c r="AB270" s="48"/>
      <c r="AC270" s="48"/>
      <c r="AD270" s="48"/>
      <c r="AE270" s="48"/>
    </row>
    <row r="271" spans="1:31" outlineLevel="1">
      <c r="A271" s="412">
        <f>ROW()</f>
        <v>271</v>
      </c>
      <c r="B271" s="142">
        <f>$B106</f>
        <v>0</v>
      </c>
      <c r="C271" s="117">
        <f t="shared" si="55"/>
        <v>0</v>
      </c>
      <c r="D271" s="49"/>
      <c r="E271" s="49"/>
      <c r="F271" s="49"/>
      <c r="G271" s="1680">
        <f t="shared" si="56"/>
        <v>0</v>
      </c>
      <c r="H271" s="1680">
        <f t="shared" si="57"/>
        <v>0</v>
      </c>
      <c r="I271" s="1680">
        <f t="shared" si="57"/>
        <v>0</v>
      </c>
      <c r="J271" s="1680">
        <f t="shared" si="57"/>
        <v>0</v>
      </c>
      <c r="K271" s="1680">
        <f t="shared" si="57"/>
        <v>0</v>
      </c>
      <c r="L271" s="1680">
        <f t="shared" si="57"/>
        <v>0</v>
      </c>
      <c r="M271" s="1680">
        <f t="shared" si="57"/>
        <v>0</v>
      </c>
      <c r="O271" s="287"/>
      <c r="Q271" s="48"/>
      <c r="R271" s="48"/>
      <c r="S271" s="48"/>
      <c r="T271" s="48"/>
      <c r="U271" s="48"/>
      <c r="V271" s="48"/>
      <c r="W271" s="48"/>
      <c r="X271" s="48"/>
      <c r="Y271" s="48"/>
      <c r="Z271" s="48"/>
      <c r="AA271" s="48"/>
      <c r="AB271" s="48"/>
      <c r="AC271" s="48"/>
      <c r="AD271" s="48"/>
      <c r="AE271" s="48"/>
    </row>
    <row r="272" spans="1:31" outlineLevel="1">
      <c r="A272" s="412">
        <f>ROW()</f>
        <v>272</v>
      </c>
      <c r="B272" s="142">
        <f>$B107</f>
        <v>0</v>
      </c>
      <c r="C272" s="117">
        <f t="shared" si="55"/>
        <v>0</v>
      </c>
      <c r="D272" s="49"/>
      <c r="E272" s="49"/>
      <c r="F272" s="49"/>
      <c r="G272" s="1680">
        <f t="shared" si="56"/>
        <v>0</v>
      </c>
      <c r="H272" s="1680">
        <f t="shared" si="57"/>
        <v>0</v>
      </c>
      <c r="I272" s="1680">
        <f t="shared" si="57"/>
        <v>0</v>
      </c>
      <c r="J272" s="1680">
        <f t="shared" si="57"/>
        <v>0</v>
      </c>
      <c r="K272" s="1680">
        <f t="shared" si="57"/>
        <v>0</v>
      </c>
      <c r="L272" s="1680">
        <f t="shared" si="57"/>
        <v>0</v>
      </c>
      <c r="M272" s="1680">
        <f t="shared" si="57"/>
        <v>0</v>
      </c>
      <c r="O272" s="287"/>
      <c r="Q272" s="48"/>
      <c r="R272" s="48"/>
      <c r="S272" s="48"/>
      <c r="T272" s="48"/>
      <c r="U272" s="48"/>
      <c r="V272" s="48"/>
      <c r="W272" s="48"/>
      <c r="X272" s="48"/>
      <c r="Y272" s="48"/>
      <c r="Z272" s="48"/>
      <c r="AA272" s="48"/>
      <c r="AB272" s="48"/>
      <c r="AC272" s="48"/>
      <c r="AD272" s="48"/>
      <c r="AE272" s="48"/>
    </row>
    <row r="273" spans="1:31" outlineLevel="1">
      <c r="A273" s="412">
        <f>ROW()</f>
        <v>273</v>
      </c>
      <c r="B273" s="142">
        <f>$B108</f>
        <v>0</v>
      </c>
      <c r="C273" s="117">
        <f t="shared" si="55"/>
        <v>0</v>
      </c>
      <c r="D273" s="49"/>
      <c r="E273" s="49"/>
      <c r="F273" s="49"/>
      <c r="G273" s="1680">
        <f t="shared" si="56"/>
        <v>0</v>
      </c>
      <c r="H273" s="1680">
        <f t="shared" si="57"/>
        <v>0</v>
      </c>
      <c r="I273" s="1680">
        <f t="shared" si="57"/>
        <v>0</v>
      </c>
      <c r="J273" s="1680">
        <f t="shared" si="57"/>
        <v>0</v>
      </c>
      <c r="K273" s="1680">
        <f t="shared" si="57"/>
        <v>0</v>
      </c>
      <c r="L273" s="1680">
        <f t="shared" si="57"/>
        <v>0</v>
      </c>
      <c r="M273" s="1680">
        <f t="shared" si="57"/>
        <v>0</v>
      </c>
      <c r="O273" s="287"/>
      <c r="Q273" s="48"/>
      <c r="R273" s="48"/>
      <c r="S273" s="48"/>
      <c r="T273" s="48"/>
      <c r="U273" s="48"/>
      <c r="V273" s="48"/>
      <c r="W273" s="48"/>
      <c r="X273" s="48"/>
      <c r="Y273" s="48"/>
      <c r="Z273" s="48"/>
      <c r="AA273" s="48"/>
      <c r="AB273" s="48"/>
      <c r="AC273" s="48"/>
      <c r="AD273" s="48"/>
      <c r="AE273" s="48"/>
    </row>
    <row r="274" spans="1:31" outlineLevel="1">
      <c r="A274" s="412">
        <f>ROW()</f>
        <v>274</v>
      </c>
      <c r="B274" s="1682" t="str">
        <f>$B109</f>
        <v>Total Special Education Teachers</v>
      </c>
      <c r="C274" s="1683">
        <f t="shared" si="55"/>
        <v>840000</v>
      </c>
      <c r="D274" s="1684"/>
      <c r="E274" s="1684"/>
      <c r="F274" s="1684"/>
      <c r="G274" s="1685">
        <f t="shared" ref="G274:M274" si="58">SUM(G265:G273)</f>
        <v>0</v>
      </c>
      <c r="H274" s="1685">
        <f t="shared" si="58"/>
        <v>60000</v>
      </c>
      <c r="I274" s="1685">
        <f t="shared" si="58"/>
        <v>120000</v>
      </c>
      <c r="J274" s="1685">
        <f t="shared" si="58"/>
        <v>120000</v>
      </c>
      <c r="K274" s="1685">
        <f t="shared" si="58"/>
        <v>180000</v>
      </c>
      <c r="L274" s="1685">
        <f t="shared" si="58"/>
        <v>180000</v>
      </c>
      <c r="M274" s="1685">
        <f t="shared" si="58"/>
        <v>180000</v>
      </c>
      <c r="O274" s="287"/>
      <c r="Q274" s="48"/>
      <c r="R274" s="48"/>
      <c r="S274" s="48"/>
      <c r="T274" s="48"/>
      <c r="U274" s="48"/>
      <c r="V274" s="48"/>
      <c r="W274" s="48"/>
      <c r="X274" s="48"/>
      <c r="Y274" s="48"/>
      <c r="Z274" s="48"/>
      <c r="AA274" s="48"/>
      <c r="AB274" s="48"/>
      <c r="AC274" s="48"/>
      <c r="AD274" s="48"/>
      <c r="AE274" s="48"/>
    </row>
    <row r="275" spans="1:31" outlineLevel="1">
      <c r="A275" s="412">
        <f>ROW()</f>
        <v>275</v>
      </c>
      <c r="C275" s="117"/>
      <c r="D275" s="49"/>
      <c r="E275" s="49"/>
      <c r="F275" s="49"/>
      <c r="G275" s="117"/>
      <c r="H275" s="117"/>
      <c r="I275" s="117"/>
      <c r="J275" s="117"/>
      <c r="K275" s="117"/>
      <c r="L275" s="117"/>
      <c r="M275" s="117"/>
      <c r="O275" s="287"/>
      <c r="Q275" s="48"/>
      <c r="R275" s="48"/>
      <c r="S275" s="48"/>
      <c r="T275" s="48"/>
      <c r="U275" s="48"/>
      <c r="V275" s="48"/>
      <c r="W275" s="48"/>
      <c r="X275" s="48"/>
      <c r="Y275" s="48"/>
      <c r="Z275" s="48"/>
      <c r="AA275" s="48"/>
      <c r="AB275" s="48"/>
      <c r="AC275" s="48"/>
      <c r="AD275" s="48"/>
      <c r="AE275" s="48"/>
    </row>
    <row r="276" spans="1:31" outlineLevel="1">
      <c r="A276" s="412">
        <f>ROW()</f>
        <v>276</v>
      </c>
      <c r="B276" s="1307" t="str">
        <f t="shared" ref="B276:B286" si="59">$B113</f>
        <v>English Language Learner (ELL) Teachers (Full-time &amp; Part-Time w/benefits)</v>
      </c>
      <c r="C276" s="118"/>
      <c r="D276" s="93"/>
      <c r="E276" s="93"/>
      <c r="F276" s="93"/>
      <c r="G276" s="118"/>
      <c r="H276" s="118"/>
      <c r="I276" s="118"/>
      <c r="J276" s="118"/>
      <c r="K276" s="118"/>
      <c r="L276" s="118"/>
      <c r="M276" s="118"/>
      <c r="O276" s="287"/>
      <c r="Q276" s="48"/>
      <c r="R276" s="48"/>
      <c r="S276" s="48"/>
      <c r="T276" s="48"/>
      <c r="U276" s="48"/>
      <c r="V276" s="48"/>
      <c r="W276" s="48"/>
      <c r="X276" s="48"/>
      <c r="Y276" s="48"/>
      <c r="Z276" s="48"/>
      <c r="AA276" s="48"/>
      <c r="AB276" s="48"/>
      <c r="AC276" s="48"/>
      <c r="AD276" s="48"/>
      <c r="AE276" s="48"/>
    </row>
    <row r="277" spans="1:31" outlineLevel="1">
      <c r="A277" s="412">
        <f>ROW()</f>
        <v>277</v>
      </c>
      <c r="B277" s="142" t="str">
        <f t="shared" si="59"/>
        <v>ELL Teacher/Reading Specialist</v>
      </c>
      <c r="C277" s="117">
        <f t="shared" ref="C277:C286" si="60">SUM(G277:M277)</f>
        <v>300000</v>
      </c>
      <c r="D277" s="49"/>
      <c r="E277" s="49"/>
      <c r="F277" s="49"/>
      <c r="G277" s="1680">
        <f t="shared" ref="G277:G285" si="61">G114*$D114</f>
        <v>0</v>
      </c>
      <c r="H277" s="1680">
        <f t="shared" ref="H277:M285" si="62">(H114*$D114)</f>
        <v>30000</v>
      </c>
      <c r="I277" s="1680">
        <f t="shared" si="62"/>
        <v>30000</v>
      </c>
      <c r="J277" s="1680">
        <f t="shared" si="62"/>
        <v>60000</v>
      </c>
      <c r="K277" s="1680">
        <f t="shared" si="62"/>
        <v>60000</v>
      </c>
      <c r="L277" s="1680">
        <f t="shared" si="62"/>
        <v>60000</v>
      </c>
      <c r="M277" s="1680">
        <f t="shared" si="62"/>
        <v>60000</v>
      </c>
      <c r="O277" s="287"/>
      <c r="Q277" s="48"/>
      <c r="R277" s="48"/>
      <c r="S277" s="48"/>
      <c r="T277" s="48"/>
      <c r="U277" s="48"/>
      <c r="V277" s="48"/>
      <c r="W277" s="48"/>
      <c r="X277" s="48"/>
      <c r="Y277" s="48"/>
      <c r="Z277" s="48"/>
      <c r="AA277" s="48"/>
      <c r="AB277" s="48"/>
      <c r="AC277" s="48"/>
      <c r="AD277" s="48"/>
      <c r="AE277" s="48"/>
    </row>
    <row r="278" spans="1:31" outlineLevel="1">
      <c r="A278" s="412">
        <f>ROW()</f>
        <v>278</v>
      </c>
      <c r="B278" s="142">
        <f t="shared" si="59"/>
        <v>0</v>
      </c>
      <c r="C278" s="117">
        <f t="shared" si="60"/>
        <v>0</v>
      </c>
      <c r="D278" s="49"/>
      <c r="E278" s="49"/>
      <c r="F278" s="49"/>
      <c r="G278" s="1680">
        <f t="shared" si="61"/>
        <v>0</v>
      </c>
      <c r="H278" s="1680">
        <f t="shared" si="62"/>
        <v>0</v>
      </c>
      <c r="I278" s="1680">
        <f t="shared" si="62"/>
        <v>0</v>
      </c>
      <c r="J278" s="1680">
        <f t="shared" si="62"/>
        <v>0</v>
      </c>
      <c r="K278" s="1680">
        <f t="shared" si="62"/>
        <v>0</v>
      </c>
      <c r="L278" s="1680">
        <f t="shared" si="62"/>
        <v>0</v>
      </c>
      <c r="M278" s="1680">
        <f t="shared" si="62"/>
        <v>0</v>
      </c>
      <c r="O278" s="287"/>
      <c r="Q278" s="48"/>
      <c r="R278" s="48"/>
      <c r="S278" s="48"/>
      <c r="T278" s="48"/>
      <c r="U278" s="48"/>
      <c r="V278" s="48"/>
      <c r="W278" s="48"/>
      <c r="X278" s="48"/>
      <c r="Y278" s="48"/>
      <c r="Z278" s="48"/>
      <c r="AA278" s="48"/>
      <c r="AB278" s="48"/>
      <c r="AC278" s="48"/>
      <c r="AD278" s="48"/>
      <c r="AE278" s="48"/>
    </row>
    <row r="279" spans="1:31" outlineLevel="1">
      <c r="A279" s="412">
        <f>ROW()</f>
        <v>279</v>
      </c>
      <c r="B279" s="142">
        <f t="shared" si="59"/>
        <v>0</v>
      </c>
      <c r="C279" s="117">
        <f t="shared" si="60"/>
        <v>0</v>
      </c>
      <c r="D279" s="49"/>
      <c r="E279" s="49"/>
      <c r="F279" s="49"/>
      <c r="G279" s="1680">
        <f t="shared" si="61"/>
        <v>0</v>
      </c>
      <c r="H279" s="1680">
        <f t="shared" si="62"/>
        <v>0</v>
      </c>
      <c r="I279" s="1680">
        <f t="shared" si="62"/>
        <v>0</v>
      </c>
      <c r="J279" s="1680">
        <f t="shared" si="62"/>
        <v>0</v>
      </c>
      <c r="K279" s="1680">
        <f t="shared" si="62"/>
        <v>0</v>
      </c>
      <c r="L279" s="1680">
        <f t="shared" si="62"/>
        <v>0</v>
      </c>
      <c r="M279" s="1680">
        <f t="shared" si="62"/>
        <v>0</v>
      </c>
      <c r="O279" s="287"/>
      <c r="Q279" s="48"/>
      <c r="R279" s="48"/>
      <c r="S279" s="48"/>
      <c r="T279" s="48"/>
      <c r="U279" s="48"/>
      <c r="V279" s="48"/>
      <c r="W279" s="48"/>
      <c r="X279" s="48"/>
      <c r="Y279" s="48"/>
      <c r="Z279" s="48"/>
      <c r="AA279" s="48"/>
      <c r="AB279" s="48"/>
      <c r="AC279" s="48"/>
      <c r="AD279" s="48"/>
      <c r="AE279" s="48"/>
    </row>
    <row r="280" spans="1:31" outlineLevel="1">
      <c r="A280" s="412">
        <f>ROW()</f>
        <v>280</v>
      </c>
      <c r="B280" s="142">
        <f t="shared" si="59"/>
        <v>0</v>
      </c>
      <c r="C280" s="117">
        <f t="shared" si="60"/>
        <v>0</v>
      </c>
      <c r="D280" s="49"/>
      <c r="E280" s="49"/>
      <c r="F280" s="49"/>
      <c r="G280" s="1680">
        <f t="shared" si="61"/>
        <v>0</v>
      </c>
      <c r="H280" s="1680">
        <f t="shared" si="62"/>
        <v>0</v>
      </c>
      <c r="I280" s="1680">
        <f t="shared" si="62"/>
        <v>0</v>
      </c>
      <c r="J280" s="1680">
        <f t="shared" si="62"/>
        <v>0</v>
      </c>
      <c r="K280" s="1680">
        <f t="shared" si="62"/>
        <v>0</v>
      </c>
      <c r="L280" s="1680">
        <f t="shared" si="62"/>
        <v>0</v>
      </c>
      <c r="M280" s="1680">
        <f t="shared" si="62"/>
        <v>0</v>
      </c>
      <c r="O280" s="287"/>
      <c r="Q280" s="48"/>
      <c r="R280" s="48"/>
      <c r="S280" s="48"/>
      <c r="T280" s="48"/>
      <c r="U280" s="48"/>
      <c r="V280" s="48"/>
      <c r="W280" s="48"/>
      <c r="X280" s="48"/>
      <c r="Y280" s="48"/>
      <c r="Z280" s="48"/>
      <c r="AA280" s="48"/>
      <c r="AB280" s="48"/>
      <c r="AC280" s="48"/>
      <c r="AD280" s="48"/>
      <c r="AE280" s="48"/>
    </row>
    <row r="281" spans="1:31" outlineLevel="1">
      <c r="A281" s="412">
        <f>ROW()</f>
        <v>281</v>
      </c>
      <c r="B281" s="142">
        <f t="shared" si="59"/>
        <v>0</v>
      </c>
      <c r="C281" s="117">
        <f t="shared" si="60"/>
        <v>0</v>
      </c>
      <c r="D281" s="49"/>
      <c r="E281" s="49"/>
      <c r="F281" s="49"/>
      <c r="G281" s="1680">
        <f t="shared" si="61"/>
        <v>0</v>
      </c>
      <c r="H281" s="1680">
        <f t="shared" si="62"/>
        <v>0</v>
      </c>
      <c r="I281" s="1680">
        <f t="shared" si="62"/>
        <v>0</v>
      </c>
      <c r="J281" s="1680">
        <f t="shared" si="62"/>
        <v>0</v>
      </c>
      <c r="K281" s="1680">
        <f t="shared" si="62"/>
        <v>0</v>
      </c>
      <c r="L281" s="1680">
        <f t="shared" si="62"/>
        <v>0</v>
      </c>
      <c r="M281" s="1680">
        <f t="shared" si="62"/>
        <v>0</v>
      </c>
      <c r="O281" s="287"/>
      <c r="Q281" s="48"/>
      <c r="R281" s="48"/>
      <c r="S281" s="48"/>
      <c r="T281" s="48"/>
      <c r="U281" s="48"/>
      <c r="V281" s="48"/>
      <c r="W281" s="48"/>
      <c r="X281" s="48"/>
      <c r="Y281" s="48"/>
      <c r="Z281" s="48"/>
      <c r="AA281" s="48"/>
      <c r="AB281" s="48"/>
      <c r="AC281" s="48"/>
      <c r="AD281" s="48"/>
      <c r="AE281" s="48"/>
    </row>
    <row r="282" spans="1:31" outlineLevel="1">
      <c r="A282" s="412">
        <f>ROW()</f>
        <v>282</v>
      </c>
      <c r="B282" s="142">
        <f t="shared" si="59"/>
        <v>0</v>
      </c>
      <c r="C282" s="117">
        <f t="shared" si="60"/>
        <v>0</v>
      </c>
      <c r="D282" s="49"/>
      <c r="E282" s="49"/>
      <c r="F282" s="49"/>
      <c r="G282" s="1680">
        <f t="shared" si="61"/>
        <v>0</v>
      </c>
      <c r="H282" s="1680">
        <f t="shared" si="62"/>
        <v>0</v>
      </c>
      <c r="I282" s="1680">
        <f t="shared" si="62"/>
        <v>0</v>
      </c>
      <c r="J282" s="1680">
        <f t="shared" si="62"/>
        <v>0</v>
      </c>
      <c r="K282" s="1680">
        <f t="shared" si="62"/>
        <v>0</v>
      </c>
      <c r="L282" s="1680">
        <f t="shared" si="62"/>
        <v>0</v>
      </c>
      <c r="M282" s="1680">
        <f t="shared" si="62"/>
        <v>0</v>
      </c>
      <c r="O282" s="287"/>
      <c r="Q282" s="48"/>
      <c r="R282" s="48"/>
      <c r="S282" s="48"/>
      <c r="T282" s="48"/>
      <c r="U282" s="48"/>
      <c r="V282" s="48"/>
      <c r="W282" s="48"/>
      <c r="X282" s="48"/>
      <c r="Y282" s="48"/>
      <c r="Z282" s="48"/>
      <c r="AA282" s="48"/>
      <c r="AB282" s="48"/>
      <c r="AC282" s="48"/>
      <c r="AD282" s="48"/>
      <c r="AE282" s="48"/>
    </row>
    <row r="283" spans="1:31" outlineLevel="1">
      <c r="A283" s="412">
        <f>ROW()</f>
        <v>283</v>
      </c>
      <c r="B283" s="142">
        <f t="shared" si="59"/>
        <v>0</v>
      </c>
      <c r="C283" s="117">
        <f t="shared" si="60"/>
        <v>0</v>
      </c>
      <c r="D283" s="49"/>
      <c r="E283" s="49"/>
      <c r="F283" s="49"/>
      <c r="G283" s="1680">
        <f t="shared" si="61"/>
        <v>0</v>
      </c>
      <c r="H283" s="1680">
        <f t="shared" si="62"/>
        <v>0</v>
      </c>
      <c r="I283" s="1680">
        <f t="shared" si="62"/>
        <v>0</v>
      </c>
      <c r="J283" s="1680">
        <f t="shared" si="62"/>
        <v>0</v>
      </c>
      <c r="K283" s="1680">
        <f t="shared" si="62"/>
        <v>0</v>
      </c>
      <c r="L283" s="1680">
        <f t="shared" si="62"/>
        <v>0</v>
      </c>
      <c r="M283" s="1680">
        <f t="shared" si="62"/>
        <v>0</v>
      </c>
      <c r="O283" s="287"/>
      <c r="Q283" s="48"/>
      <c r="R283" s="48"/>
      <c r="S283" s="48"/>
      <c r="T283" s="48"/>
      <c r="U283" s="48"/>
      <c r="V283" s="48"/>
      <c r="W283" s="48"/>
      <c r="X283" s="48"/>
      <c r="Y283" s="48"/>
      <c r="Z283" s="48"/>
      <c r="AA283" s="48"/>
      <c r="AB283" s="48"/>
      <c r="AC283" s="48"/>
      <c r="AD283" s="48"/>
      <c r="AE283" s="48"/>
    </row>
    <row r="284" spans="1:31" outlineLevel="1">
      <c r="A284" s="412">
        <f>ROW()</f>
        <v>284</v>
      </c>
      <c r="B284" s="142">
        <f t="shared" si="59"/>
        <v>0</v>
      </c>
      <c r="C284" s="117">
        <f t="shared" si="60"/>
        <v>0</v>
      </c>
      <c r="D284" s="49"/>
      <c r="E284" s="49"/>
      <c r="F284" s="49"/>
      <c r="G284" s="1680">
        <f t="shared" si="61"/>
        <v>0</v>
      </c>
      <c r="H284" s="1680">
        <f t="shared" si="62"/>
        <v>0</v>
      </c>
      <c r="I284" s="1680">
        <f t="shared" si="62"/>
        <v>0</v>
      </c>
      <c r="J284" s="1680">
        <f t="shared" si="62"/>
        <v>0</v>
      </c>
      <c r="K284" s="1680">
        <f t="shared" si="62"/>
        <v>0</v>
      </c>
      <c r="L284" s="1680">
        <f t="shared" si="62"/>
        <v>0</v>
      </c>
      <c r="M284" s="1680">
        <f t="shared" si="62"/>
        <v>0</v>
      </c>
      <c r="O284" s="287"/>
      <c r="Q284" s="48"/>
      <c r="R284" s="48"/>
      <c r="S284" s="48"/>
      <c r="T284" s="48"/>
      <c r="U284" s="48"/>
      <c r="V284" s="48"/>
      <c r="W284" s="48"/>
      <c r="X284" s="48"/>
      <c r="Y284" s="48"/>
      <c r="Z284" s="48"/>
      <c r="AA284" s="48"/>
      <c r="AB284" s="48"/>
      <c r="AC284" s="48"/>
      <c r="AD284" s="48"/>
      <c r="AE284" s="48"/>
    </row>
    <row r="285" spans="1:31" outlineLevel="1">
      <c r="A285" s="412">
        <f>ROW()</f>
        <v>285</v>
      </c>
      <c r="B285" s="142">
        <f t="shared" si="59"/>
        <v>0</v>
      </c>
      <c r="C285" s="117">
        <f t="shared" si="60"/>
        <v>0</v>
      </c>
      <c r="D285" s="49"/>
      <c r="E285" s="49"/>
      <c r="F285" s="49"/>
      <c r="G285" s="1680">
        <f t="shared" si="61"/>
        <v>0</v>
      </c>
      <c r="H285" s="1680">
        <f t="shared" si="62"/>
        <v>0</v>
      </c>
      <c r="I285" s="1680">
        <f t="shared" si="62"/>
        <v>0</v>
      </c>
      <c r="J285" s="1680">
        <f t="shared" si="62"/>
        <v>0</v>
      </c>
      <c r="K285" s="1680">
        <f t="shared" si="62"/>
        <v>0</v>
      </c>
      <c r="L285" s="1680">
        <f t="shared" si="62"/>
        <v>0</v>
      </c>
      <c r="M285" s="1680">
        <f t="shared" si="62"/>
        <v>0</v>
      </c>
      <c r="O285" s="287"/>
      <c r="Q285" s="48"/>
      <c r="R285" s="48"/>
      <c r="S285" s="48"/>
      <c r="T285" s="48"/>
      <c r="U285" s="48"/>
      <c r="V285" s="48"/>
      <c r="W285" s="48"/>
      <c r="X285" s="48"/>
      <c r="Y285" s="48"/>
      <c r="Z285" s="48"/>
      <c r="AA285" s="48"/>
      <c r="AB285" s="48"/>
      <c r="AC285" s="48"/>
      <c r="AD285" s="48"/>
      <c r="AE285" s="48"/>
    </row>
    <row r="286" spans="1:31" outlineLevel="1">
      <c r="A286" s="412">
        <f>ROW()</f>
        <v>286</v>
      </c>
      <c r="B286" s="1682" t="str">
        <f t="shared" si="59"/>
        <v>Total ELL Teachers</v>
      </c>
      <c r="C286" s="1683">
        <f t="shared" si="60"/>
        <v>300000</v>
      </c>
      <c r="D286" s="1686"/>
      <c r="E286" s="1686"/>
      <c r="F286" s="1686"/>
      <c r="G286" s="1685">
        <f t="shared" ref="G286:M286" si="63">SUM(G277:G285)</f>
        <v>0</v>
      </c>
      <c r="H286" s="1685">
        <f t="shared" si="63"/>
        <v>30000</v>
      </c>
      <c r="I286" s="1685">
        <f t="shared" si="63"/>
        <v>30000</v>
      </c>
      <c r="J286" s="1685">
        <f t="shared" si="63"/>
        <v>60000</v>
      </c>
      <c r="K286" s="1685">
        <f t="shared" si="63"/>
        <v>60000</v>
      </c>
      <c r="L286" s="1685">
        <f t="shared" si="63"/>
        <v>60000</v>
      </c>
      <c r="M286" s="1685">
        <f t="shared" si="63"/>
        <v>60000</v>
      </c>
      <c r="O286" s="287"/>
      <c r="Q286" s="48"/>
      <c r="R286" s="48"/>
      <c r="S286" s="48"/>
      <c r="T286" s="48"/>
      <c r="U286" s="48"/>
      <c r="V286" s="48"/>
      <c r="W286" s="48"/>
      <c r="X286" s="48"/>
      <c r="Y286" s="48"/>
      <c r="Z286" s="48"/>
      <c r="AA286" s="48"/>
      <c r="AB286" s="48"/>
      <c r="AC286" s="48"/>
      <c r="AD286" s="48"/>
      <c r="AE286" s="48"/>
    </row>
    <row r="287" spans="1:31" outlineLevel="1">
      <c r="A287" s="412">
        <f>ROW()</f>
        <v>287</v>
      </c>
      <c r="C287" s="117"/>
      <c r="D287" s="49"/>
      <c r="E287" s="49"/>
      <c r="F287" s="49"/>
      <c r="G287" s="117"/>
      <c r="H287" s="117"/>
      <c r="I287" s="117"/>
      <c r="J287" s="117"/>
      <c r="K287" s="117"/>
      <c r="L287" s="117"/>
      <c r="M287" s="117"/>
      <c r="O287" s="287"/>
      <c r="Q287" s="48"/>
      <c r="R287" s="48"/>
      <c r="S287" s="48"/>
      <c r="T287" s="48"/>
      <c r="U287" s="48"/>
      <c r="V287" s="48"/>
      <c r="W287" s="48"/>
      <c r="X287" s="48"/>
      <c r="Y287" s="48"/>
      <c r="Z287" s="48"/>
      <c r="AA287" s="48"/>
      <c r="AB287" s="48"/>
      <c r="AC287" s="48"/>
      <c r="AD287" s="48"/>
      <c r="AE287" s="48"/>
    </row>
    <row r="288" spans="1:31" outlineLevel="1">
      <c r="A288" s="412">
        <f>ROW()</f>
        <v>288</v>
      </c>
      <c r="B288" s="1307" t="str">
        <f t="shared" ref="B288:B295" si="64">$B125</f>
        <v>Other Staff (Full-time &amp; Part-Time w/benefits)</v>
      </c>
      <c r="C288" s="118"/>
      <c r="D288" s="93"/>
      <c r="E288" s="93"/>
      <c r="F288" s="93"/>
      <c r="G288" s="118"/>
      <c r="H288" s="118"/>
      <c r="I288" s="118"/>
      <c r="J288" s="118"/>
      <c r="K288" s="118"/>
      <c r="L288" s="118"/>
      <c r="M288" s="118"/>
      <c r="O288" s="287"/>
      <c r="Q288" s="48"/>
      <c r="R288" s="48"/>
      <c r="S288" s="48"/>
      <c r="T288" s="48"/>
      <c r="U288" s="48"/>
      <c r="V288" s="48"/>
      <c r="W288" s="48"/>
      <c r="X288" s="48"/>
      <c r="Y288" s="48"/>
      <c r="Z288" s="48"/>
      <c r="AA288" s="48"/>
      <c r="AB288" s="48"/>
      <c r="AC288" s="48"/>
      <c r="AD288" s="48"/>
      <c r="AE288" s="48"/>
    </row>
    <row r="289" spans="1:31" outlineLevel="1">
      <c r="A289" s="412">
        <f>ROW()</f>
        <v>289</v>
      </c>
      <c r="B289" s="142" t="str">
        <f t="shared" si="64"/>
        <v>Guidance Counselor</v>
      </c>
      <c r="C289" s="117">
        <f t="shared" ref="C289:C300" si="65">SUM(G289:M289)</f>
        <v>360000</v>
      </c>
      <c r="D289" s="49"/>
      <c r="E289" s="49"/>
      <c r="F289" s="49"/>
      <c r="G289" s="1680">
        <f t="shared" ref="G289:G296" si="66">G126*$D126</f>
        <v>0</v>
      </c>
      <c r="H289" s="1680">
        <f t="shared" ref="H289:M296" si="67">(H126*$D126)</f>
        <v>60000</v>
      </c>
      <c r="I289" s="1680">
        <f t="shared" si="67"/>
        <v>60000</v>
      </c>
      <c r="J289" s="1680">
        <f t="shared" si="67"/>
        <v>60000</v>
      </c>
      <c r="K289" s="1680">
        <f t="shared" si="67"/>
        <v>60000</v>
      </c>
      <c r="L289" s="1680">
        <f t="shared" si="67"/>
        <v>60000</v>
      </c>
      <c r="M289" s="1680">
        <f t="shared" si="67"/>
        <v>60000</v>
      </c>
      <c r="O289" s="287"/>
      <c r="Q289" s="48"/>
      <c r="R289" s="48"/>
      <c r="S289" s="48"/>
      <c r="T289" s="48"/>
      <c r="U289" s="48"/>
      <c r="V289" s="48"/>
      <c r="W289" s="48"/>
      <c r="X289" s="48"/>
      <c r="Y289" s="48"/>
      <c r="Z289" s="48"/>
      <c r="AA289" s="48"/>
      <c r="AB289" s="48"/>
      <c r="AC289" s="48"/>
      <c r="AD289" s="48"/>
      <c r="AE289" s="48"/>
    </row>
    <row r="290" spans="1:31" outlineLevel="1">
      <c r="A290" s="412">
        <f>ROW()</f>
        <v>290</v>
      </c>
      <c r="B290" s="142" t="str">
        <f t="shared" si="64"/>
        <v>Social Worker</v>
      </c>
      <c r="C290" s="117">
        <f t="shared" si="65"/>
        <v>240000</v>
      </c>
      <c r="D290" s="49"/>
      <c r="E290" s="49"/>
      <c r="F290" s="49"/>
      <c r="G290" s="1680">
        <f t="shared" si="66"/>
        <v>0</v>
      </c>
      <c r="H290" s="1680">
        <f t="shared" si="67"/>
        <v>0</v>
      </c>
      <c r="I290" s="1680">
        <f t="shared" si="67"/>
        <v>0</v>
      </c>
      <c r="J290" s="1680">
        <f t="shared" si="67"/>
        <v>60000</v>
      </c>
      <c r="K290" s="1680">
        <f t="shared" si="67"/>
        <v>60000</v>
      </c>
      <c r="L290" s="1680">
        <f t="shared" si="67"/>
        <v>60000</v>
      </c>
      <c r="M290" s="1680">
        <f t="shared" si="67"/>
        <v>60000</v>
      </c>
      <c r="O290" s="287"/>
      <c r="Q290" s="48"/>
      <c r="R290" s="48"/>
      <c r="S290" s="48"/>
      <c r="T290" s="48"/>
      <c r="U290" s="48"/>
      <c r="V290" s="48"/>
      <c r="W290" s="48"/>
      <c r="X290" s="48"/>
      <c r="Y290" s="48"/>
      <c r="Z290" s="48"/>
      <c r="AA290" s="48"/>
      <c r="AB290" s="48"/>
      <c r="AC290" s="48"/>
      <c r="AD290" s="48"/>
      <c r="AE290" s="48"/>
    </row>
    <row r="291" spans="1:31" outlineLevel="1">
      <c r="A291" s="412">
        <f>ROW()</f>
        <v>291</v>
      </c>
      <c r="B291" s="142" t="str">
        <f t="shared" si="64"/>
        <v>Guidance Counselor 2</v>
      </c>
      <c r="C291" s="117">
        <f t="shared" si="65"/>
        <v>120000</v>
      </c>
      <c r="D291" s="49"/>
      <c r="E291" s="49"/>
      <c r="F291" s="49"/>
      <c r="G291" s="1680">
        <f t="shared" si="66"/>
        <v>0</v>
      </c>
      <c r="H291" s="1680">
        <f t="shared" si="67"/>
        <v>0</v>
      </c>
      <c r="I291" s="1680">
        <f t="shared" si="67"/>
        <v>0</v>
      </c>
      <c r="J291" s="1680">
        <f t="shared" si="67"/>
        <v>0</v>
      </c>
      <c r="K291" s="1680">
        <f t="shared" si="67"/>
        <v>0</v>
      </c>
      <c r="L291" s="1680">
        <f t="shared" si="67"/>
        <v>60000</v>
      </c>
      <c r="M291" s="1680">
        <f t="shared" si="67"/>
        <v>60000</v>
      </c>
      <c r="O291" s="287"/>
      <c r="Q291" s="48"/>
      <c r="R291" s="48"/>
      <c r="S291" s="48"/>
      <c r="T291" s="48"/>
      <c r="U291" s="48"/>
      <c r="V291" s="48"/>
      <c r="W291" s="48"/>
      <c r="X291" s="48"/>
      <c r="Y291" s="48"/>
      <c r="Z291" s="48"/>
      <c r="AA291" s="48"/>
      <c r="AB291" s="48"/>
      <c r="AC291" s="48"/>
      <c r="AD291" s="48"/>
      <c r="AE291" s="48"/>
    </row>
    <row r="292" spans="1:31" outlineLevel="1">
      <c r="A292" s="412">
        <f>ROW()</f>
        <v>292</v>
      </c>
      <c r="B292" s="142">
        <f t="shared" si="64"/>
        <v>0</v>
      </c>
      <c r="C292" s="117">
        <f t="shared" si="65"/>
        <v>0</v>
      </c>
      <c r="D292" s="49"/>
      <c r="E292" s="49"/>
      <c r="F292" s="49"/>
      <c r="G292" s="1680">
        <f t="shared" si="66"/>
        <v>0</v>
      </c>
      <c r="H292" s="1680">
        <f t="shared" si="67"/>
        <v>0</v>
      </c>
      <c r="I292" s="1680">
        <f t="shared" si="67"/>
        <v>0</v>
      </c>
      <c r="J292" s="1680">
        <f t="shared" si="67"/>
        <v>0</v>
      </c>
      <c r="K292" s="1680">
        <f t="shared" si="67"/>
        <v>0</v>
      </c>
      <c r="L292" s="1680">
        <f t="shared" si="67"/>
        <v>0</v>
      </c>
      <c r="M292" s="1680">
        <f t="shared" si="67"/>
        <v>0</v>
      </c>
      <c r="O292" s="287"/>
      <c r="Q292" s="48"/>
      <c r="R292" s="48"/>
      <c r="S292" s="48"/>
      <c r="T292" s="48"/>
      <c r="U292" s="48"/>
      <c r="V292" s="48"/>
      <c r="W292" s="48"/>
      <c r="X292" s="48"/>
      <c r="Y292" s="48"/>
      <c r="Z292" s="48"/>
      <c r="AA292" s="48"/>
      <c r="AB292" s="48"/>
      <c r="AC292" s="48"/>
      <c r="AD292" s="48"/>
      <c r="AE292" s="48"/>
    </row>
    <row r="293" spans="1:31" outlineLevel="1">
      <c r="A293" s="412">
        <f>ROW()</f>
        <v>293</v>
      </c>
      <c r="B293" s="142">
        <f t="shared" si="64"/>
        <v>0</v>
      </c>
      <c r="C293" s="117">
        <f t="shared" si="65"/>
        <v>0</v>
      </c>
      <c r="D293" s="49"/>
      <c r="E293" s="49"/>
      <c r="F293" s="49"/>
      <c r="G293" s="1680">
        <f t="shared" si="66"/>
        <v>0</v>
      </c>
      <c r="H293" s="1680">
        <f t="shared" si="67"/>
        <v>0</v>
      </c>
      <c r="I293" s="1680">
        <f t="shared" si="67"/>
        <v>0</v>
      </c>
      <c r="J293" s="1680">
        <f t="shared" si="67"/>
        <v>0</v>
      </c>
      <c r="K293" s="1680">
        <f t="shared" si="67"/>
        <v>0</v>
      </c>
      <c r="L293" s="1680">
        <f t="shared" si="67"/>
        <v>0</v>
      </c>
      <c r="M293" s="1680">
        <f t="shared" si="67"/>
        <v>0</v>
      </c>
      <c r="O293" s="287"/>
      <c r="Q293" s="48"/>
      <c r="R293" s="48"/>
      <c r="S293" s="48"/>
      <c r="T293" s="48"/>
      <c r="U293" s="48"/>
      <c r="V293" s="48"/>
      <c r="W293" s="48"/>
      <c r="X293" s="48"/>
      <c r="Y293" s="48"/>
      <c r="Z293" s="48"/>
      <c r="AA293" s="48"/>
      <c r="AB293" s="48"/>
      <c r="AC293" s="48"/>
      <c r="AD293" s="48"/>
      <c r="AE293" s="48"/>
    </row>
    <row r="294" spans="1:31" outlineLevel="1">
      <c r="A294" s="412">
        <f>ROW()</f>
        <v>294</v>
      </c>
      <c r="B294" s="142">
        <f t="shared" si="64"/>
        <v>0</v>
      </c>
      <c r="C294" s="117">
        <f t="shared" si="65"/>
        <v>0</v>
      </c>
      <c r="D294" s="49"/>
      <c r="E294" s="49"/>
      <c r="F294" s="49"/>
      <c r="G294" s="1680">
        <f t="shared" si="66"/>
        <v>0</v>
      </c>
      <c r="H294" s="1680">
        <f t="shared" si="67"/>
        <v>0</v>
      </c>
      <c r="I294" s="1680">
        <f t="shared" si="67"/>
        <v>0</v>
      </c>
      <c r="J294" s="1680">
        <f t="shared" si="67"/>
        <v>0</v>
      </c>
      <c r="K294" s="1680">
        <f t="shared" si="67"/>
        <v>0</v>
      </c>
      <c r="L294" s="1680">
        <f t="shared" si="67"/>
        <v>0</v>
      </c>
      <c r="M294" s="1680">
        <f t="shared" si="67"/>
        <v>0</v>
      </c>
      <c r="O294" s="287"/>
      <c r="Q294" s="48"/>
      <c r="R294" s="48"/>
      <c r="S294" s="48"/>
      <c r="T294" s="48"/>
      <c r="U294" s="48"/>
      <c r="V294" s="48"/>
      <c r="W294" s="48"/>
      <c r="X294" s="48"/>
      <c r="Y294" s="48"/>
      <c r="Z294" s="48"/>
      <c r="AA294" s="48"/>
      <c r="AB294" s="48"/>
      <c r="AC294" s="48"/>
      <c r="AD294" s="48"/>
      <c r="AE294" s="48"/>
    </row>
    <row r="295" spans="1:31" outlineLevel="1">
      <c r="A295" s="412">
        <f>ROW()</f>
        <v>295</v>
      </c>
      <c r="B295" s="142">
        <f t="shared" si="64"/>
        <v>0</v>
      </c>
      <c r="C295" s="117">
        <f t="shared" si="65"/>
        <v>0</v>
      </c>
      <c r="D295" s="49"/>
      <c r="E295" s="49"/>
      <c r="F295" s="49"/>
      <c r="G295" s="1680">
        <f t="shared" si="66"/>
        <v>0</v>
      </c>
      <c r="H295" s="1680">
        <f t="shared" si="67"/>
        <v>0</v>
      </c>
      <c r="I295" s="1680">
        <f t="shared" si="67"/>
        <v>0</v>
      </c>
      <c r="J295" s="1680">
        <f t="shared" si="67"/>
        <v>0</v>
      </c>
      <c r="K295" s="1680">
        <f t="shared" si="67"/>
        <v>0</v>
      </c>
      <c r="L295" s="1680">
        <f t="shared" si="67"/>
        <v>0</v>
      </c>
      <c r="M295" s="1680">
        <f t="shared" si="67"/>
        <v>0</v>
      </c>
      <c r="O295" s="287"/>
      <c r="Q295" s="48"/>
      <c r="R295" s="48"/>
      <c r="S295" s="48"/>
      <c r="T295" s="48"/>
      <c r="U295" s="48"/>
      <c r="V295" s="48"/>
      <c r="W295" s="48"/>
      <c r="X295" s="48"/>
      <c r="Y295" s="48"/>
      <c r="Z295" s="48"/>
      <c r="AA295" s="48"/>
      <c r="AB295" s="48"/>
      <c r="AC295" s="48"/>
      <c r="AD295" s="48"/>
      <c r="AE295" s="48"/>
    </row>
    <row r="296" spans="1:31" outlineLevel="1">
      <c r="A296" s="412">
        <f>ROW()</f>
        <v>296</v>
      </c>
      <c r="B296" s="142">
        <f t="shared" ref="B296:B299" si="68">$B133</f>
        <v>0</v>
      </c>
      <c r="C296" s="117">
        <f t="shared" si="65"/>
        <v>0</v>
      </c>
      <c r="D296" s="49"/>
      <c r="E296" s="49"/>
      <c r="F296" s="49"/>
      <c r="G296" s="1680">
        <f t="shared" si="66"/>
        <v>0</v>
      </c>
      <c r="H296" s="1680">
        <f t="shared" si="67"/>
        <v>0</v>
      </c>
      <c r="I296" s="1680">
        <f t="shared" si="67"/>
        <v>0</v>
      </c>
      <c r="J296" s="1680">
        <f t="shared" si="67"/>
        <v>0</v>
      </c>
      <c r="K296" s="1680">
        <f t="shared" si="67"/>
        <v>0</v>
      </c>
      <c r="L296" s="1680">
        <f t="shared" si="67"/>
        <v>0</v>
      </c>
      <c r="M296" s="1680">
        <f t="shared" si="67"/>
        <v>0</v>
      </c>
      <c r="O296" s="287"/>
      <c r="Q296" s="48"/>
      <c r="R296" s="48"/>
      <c r="S296" s="48"/>
      <c r="T296" s="48"/>
      <c r="U296" s="48"/>
      <c r="V296" s="48"/>
      <c r="W296" s="48"/>
      <c r="X296" s="48"/>
      <c r="Y296" s="48"/>
      <c r="Z296" s="48"/>
      <c r="AA296" s="48"/>
      <c r="AB296" s="48"/>
      <c r="AC296" s="48"/>
      <c r="AD296" s="48"/>
      <c r="AE296" s="48"/>
    </row>
    <row r="297" spans="1:31" outlineLevel="1">
      <c r="A297" s="412">
        <f>ROW()</f>
        <v>297</v>
      </c>
      <c r="B297" s="142">
        <f t="shared" si="68"/>
        <v>0</v>
      </c>
      <c r="C297" s="117">
        <f t="shared" ref="C297:C299" si="69">SUM(G297:M297)</f>
        <v>0</v>
      </c>
      <c r="D297" s="49"/>
      <c r="E297" s="49"/>
      <c r="F297" s="49"/>
      <c r="G297" s="1680">
        <f t="shared" ref="G297:G299" si="70">G134*$D134</f>
        <v>0</v>
      </c>
      <c r="H297" s="1680">
        <f t="shared" ref="H297:M297" si="71">(H134*$D134)</f>
        <v>0</v>
      </c>
      <c r="I297" s="1680">
        <f t="shared" si="71"/>
        <v>0</v>
      </c>
      <c r="J297" s="1680">
        <f t="shared" si="71"/>
        <v>0</v>
      </c>
      <c r="K297" s="1680">
        <f t="shared" si="71"/>
        <v>0</v>
      </c>
      <c r="L297" s="1680">
        <f t="shared" si="71"/>
        <v>0</v>
      </c>
      <c r="M297" s="1680">
        <f t="shared" si="71"/>
        <v>0</v>
      </c>
      <c r="O297" s="287"/>
      <c r="Q297" s="48"/>
      <c r="R297" s="48"/>
      <c r="S297" s="48"/>
      <c r="T297" s="48"/>
      <c r="U297" s="48"/>
      <c r="V297" s="48"/>
      <c r="W297" s="48"/>
      <c r="X297" s="48"/>
      <c r="Y297" s="48"/>
      <c r="Z297" s="48"/>
      <c r="AA297" s="48"/>
      <c r="AB297" s="48"/>
      <c r="AC297" s="48"/>
      <c r="AD297" s="48"/>
      <c r="AE297" s="48"/>
    </row>
    <row r="298" spans="1:31" outlineLevel="1">
      <c r="A298" s="412">
        <f>ROW()</f>
        <v>298</v>
      </c>
      <c r="B298" s="142">
        <f t="shared" si="68"/>
        <v>0</v>
      </c>
      <c r="C298" s="117">
        <f t="shared" si="69"/>
        <v>0</v>
      </c>
      <c r="D298" s="49"/>
      <c r="E298" s="49"/>
      <c r="F298" s="49"/>
      <c r="G298" s="1680">
        <f t="shared" si="70"/>
        <v>0</v>
      </c>
      <c r="H298" s="1680">
        <f t="shared" ref="H298:M298" si="72">(H135*$D135)</f>
        <v>0</v>
      </c>
      <c r="I298" s="1680">
        <f t="shared" si="72"/>
        <v>0</v>
      </c>
      <c r="J298" s="1680">
        <f t="shared" si="72"/>
        <v>0</v>
      </c>
      <c r="K298" s="1680">
        <f t="shared" si="72"/>
        <v>0</v>
      </c>
      <c r="L298" s="1680">
        <f t="shared" si="72"/>
        <v>0</v>
      </c>
      <c r="M298" s="1680">
        <f t="shared" si="72"/>
        <v>0</v>
      </c>
      <c r="O298" s="287"/>
      <c r="Q298" s="48"/>
      <c r="R298" s="48"/>
      <c r="S298" s="48"/>
      <c r="T298" s="48"/>
      <c r="U298" s="48"/>
      <c r="V298" s="48"/>
      <c r="W298" s="48"/>
      <c r="X298" s="48"/>
      <c r="Y298" s="48"/>
      <c r="Z298" s="48"/>
      <c r="AA298" s="48"/>
      <c r="AB298" s="48"/>
      <c r="AC298" s="48"/>
      <c r="AD298" s="48"/>
      <c r="AE298" s="48"/>
    </row>
    <row r="299" spans="1:31" outlineLevel="1">
      <c r="A299" s="412">
        <f>ROW()</f>
        <v>299</v>
      </c>
      <c r="B299" s="142">
        <f t="shared" si="68"/>
        <v>0</v>
      </c>
      <c r="C299" s="117">
        <f t="shared" si="69"/>
        <v>0</v>
      </c>
      <c r="D299" s="49"/>
      <c r="E299" s="49"/>
      <c r="F299" s="49"/>
      <c r="G299" s="1680">
        <f t="shared" si="70"/>
        <v>0</v>
      </c>
      <c r="H299" s="1680">
        <f t="shared" ref="H299:M299" si="73">(H136*$D136)</f>
        <v>0</v>
      </c>
      <c r="I299" s="1680">
        <f t="shared" si="73"/>
        <v>0</v>
      </c>
      <c r="J299" s="1680">
        <f t="shared" si="73"/>
        <v>0</v>
      </c>
      <c r="K299" s="1680">
        <f t="shared" si="73"/>
        <v>0</v>
      </c>
      <c r="L299" s="1680">
        <f t="shared" si="73"/>
        <v>0</v>
      </c>
      <c r="M299" s="1680">
        <f t="shared" si="73"/>
        <v>0</v>
      </c>
      <c r="O299" s="287"/>
      <c r="Q299" s="48"/>
      <c r="R299" s="48"/>
      <c r="S299" s="48"/>
      <c r="T299" s="48"/>
      <c r="U299" s="48"/>
      <c r="V299" s="48"/>
      <c r="W299" s="48"/>
      <c r="X299" s="48"/>
      <c r="Y299" s="48"/>
      <c r="Z299" s="48"/>
      <c r="AA299" s="48"/>
      <c r="AB299" s="48"/>
      <c r="AC299" s="48"/>
      <c r="AD299" s="48"/>
      <c r="AE299" s="48"/>
    </row>
    <row r="300" spans="1:31" outlineLevel="1">
      <c r="A300" s="412">
        <f>ROW()</f>
        <v>300</v>
      </c>
      <c r="B300" s="1687" t="str">
        <f>$B137</f>
        <v>Total Other Staff</v>
      </c>
      <c r="C300" s="1683">
        <f t="shared" si="65"/>
        <v>720000</v>
      </c>
      <c r="D300" s="1684"/>
      <c r="E300" s="1684"/>
      <c r="F300" s="1684"/>
      <c r="G300" s="1685">
        <f t="shared" ref="G300:H300" si="74">SUM(G289:G299)</f>
        <v>0</v>
      </c>
      <c r="H300" s="1685">
        <f t="shared" si="74"/>
        <v>60000</v>
      </c>
      <c r="I300" s="1685">
        <f t="shared" ref="I300:M300" si="75">SUM(I289:I299)</f>
        <v>60000</v>
      </c>
      <c r="J300" s="1685">
        <f t="shared" si="75"/>
        <v>120000</v>
      </c>
      <c r="K300" s="1685">
        <f t="shared" si="75"/>
        <v>120000</v>
      </c>
      <c r="L300" s="1685">
        <f t="shared" si="75"/>
        <v>180000</v>
      </c>
      <c r="M300" s="1685">
        <f t="shared" si="75"/>
        <v>180000</v>
      </c>
      <c r="O300" s="287"/>
      <c r="Q300" s="48"/>
      <c r="R300" s="48"/>
      <c r="S300" s="48"/>
      <c r="T300" s="48"/>
      <c r="U300" s="48"/>
      <c r="V300" s="48"/>
      <c r="W300" s="48"/>
      <c r="X300" s="48"/>
      <c r="Y300" s="48"/>
      <c r="Z300" s="48"/>
      <c r="AA300" s="48"/>
      <c r="AB300" s="48"/>
      <c r="AC300" s="48"/>
      <c r="AD300" s="48"/>
      <c r="AE300" s="48"/>
    </row>
    <row r="301" spans="1:31" outlineLevel="1">
      <c r="A301" s="412">
        <f>ROW()</f>
        <v>301</v>
      </c>
      <c r="C301" s="49"/>
      <c r="D301" s="49"/>
      <c r="E301" s="49"/>
      <c r="F301" s="49"/>
      <c r="G301" s="117"/>
      <c r="H301" s="117"/>
      <c r="I301" s="117"/>
      <c r="J301" s="117"/>
      <c r="K301" s="117"/>
      <c r="L301" s="117"/>
      <c r="M301" s="117"/>
      <c r="O301" s="287"/>
      <c r="Q301" s="48"/>
      <c r="R301" s="48"/>
      <c r="S301" s="48"/>
      <c r="T301" s="48"/>
      <c r="U301" s="48"/>
      <c r="V301" s="48"/>
      <c r="W301" s="48"/>
      <c r="X301" s="48"/>
      <c r="Y301" s="48"/>
      <c r="Z301" s="48"/>
      <c r="AA301" s="48"/>
      <c r="AB301" s="48"/>
      <c r="AC301" s="48"/>
      <c r="AD301" s="48"/>
      <c r="AE301" s="48"/>
    </row>
    <row r="302" spans="1:31" outlineLevel="1">
      <c r="A302" s="412">
        <f>ROW()</f>
        <v>302</v>
      </c>
      <c r="B302" s="149" t="str">
        <f>$B146</f>
        <v>Middle School Math</v>
      </c>
      <c r="C302" s="96">
        <f t="shared" ref="C302:C333" si="76">SUM(G302:M302)</f>
        <v>720000</v>
      </c>
      <c r="D302" s="96"/>
      <c r="E302" s="96"/>
      <c r="F302" s="96"/>
      <c r="G302" s="565">
        <f>G146*$E146</f>
        <v>0</v>
      </c>
      <c r="H302" s="565">
        <f t="shared" ref="H302:M304" si="77">(H146*$E146)</f>
        <v>120000</v>
      </c>
      <c r="I302" s="565">
        <f t="shared" si="77"/>
        <v>120000</v>
      </c>
      <c r="J302" s="565">
        <f t="shared" si="77"/>
        <v>120000</v>
      </c>
      <c r="K302" s="565">
        <f t="shared" si="77"/>
        <v>120000</v>
      </c>
      <c r="L302" s="565">
        <f t="shared" si="77"/>
        <v>120000</v>
      </c>
      <c r="M302" s="565">
        <f t="shared" si="77"/>
        <v>120000</v>
      </c>
      <c r="N302" s="94"/>
      <c r="O302" s="287"/>
      <c r="Q302" s="48"/>
      <c r="R302" s="48"/>
      <c r="S302" s="48"/>
      <c r="T302" s="48"/>
      <c r="U302" s="48"/>
      <c r="V302" s="48"/>
      <c r="W302" s="48"/>
      <c r="X302" s="48"/>
      <c r="Y302" s="48"/>
      <c r="Z302" s="48"/>
      <c r="AA302" s="48"/>
      <c r="AB302" s="48"/>
      <c r="AC302" s="48"/>
      <c r="AD302" s="48"/>
      <c r="AE302" s="48"/>
    </row>
    <row r="303" spans="1:31" outlineLevel="1">
      <c r="A303" s="412">
        <f>ROW()</f>
        <v>303</v>
      </c>
      <c r="B303" s="149" t="str">
        <f>$B147</f>
        <v>Middle School ELA/Reading</v>
      </c>
      <c r="C303" s="96">
        <f t="shared" si="76"/>
        <v>720000</v>
      </c>
      <c r="D303" s="96"/>
      <c r="E303" s="96"/>
      <c r="F303" s="96"/>
      <c r="G303" s="565">
        <f>G147*$E147</f>
        <v>0</v>
      </c>
      <c r="H303" s="565">
        <f t="shared" si="77"/>
        <v>120000</v>
      </c>
      <c r="I303" s="565">
        <f t="shared" si="77"/>
        <v>120000</v>
      </c>
      <c r="J303" s="565">
        <f t="shared" si="77"/>
        <v>120000</v>
      </c>
      <c r="K303" s="565">
        <f t="shared" si="77"/>
        <v>120000</v>
      </c>
      <c r="L303" s="565">
        <f t="shared" si="77"/>
        <v>120000</v>
      </c>
      <c r="M303" s="565">
        <f t="shared" si="77"/>
        <v>120000</v>
      </c>
      <c r="N303" s="94"/>
      <c r="O303" s="287"/>
      <c r="Q303" s="48"/>
      <c r="R303" s="48"/>
      <c r="S303" s="48"/>
      <c r="T303" s="48"/>
      <c r="U303" s="48"/>
      <c r="V303" s="48"/>
      <c r="W303" s="48"/>
      <c r="X303" s="48"/>
      <c r="Y303" s="48"/>
      <c r="Z303" s="48"/>
      <c r="AA303" s="48"/>
      <c r="AB303" s="48"/>
      <c r="AC303" s="48"/>
      <c r="AD303" s="48"/>
      <c r="AE303" s="48"/>
    </row>
    <row r="304" spans="1:31" outlineLevel="1">
      <c r="A304" s="412">
        <f>ROW()</f>
        <v>304</v>
      </c>
      <c r="B304" s="149" t="str">
        <f>$B148</f>
        <v>Middle School Science</v>
      </c>
      <c r="C304" s="96">
        <f t="shared" si="76"/>
        <v>360000</v>
      </c>
      <c r="D304" s="96"/>
      <c r="E304" s="96"/>
      <c r="F304" s="96"/>
      <c r="G304" s="565">
        <f>G148*$E148</f>
        <v>0</v>
      </c>
      <c r="H304" s="565">
        <f t="shared" si="77"/>
        <v>60000</v>
      </c>
      <c r="I304" s="565">
        <f t="shared" si="77"/>
        <v>60000</v>
      </c>
      <c r="J304" s="565">
        <f t="shared" si="77"/>
        <v>60000</v>
      </c>
      <c r="K304" s="565">
        <f t="shared" si="77"/>
        <v>60000</v>
      </c>
      <c r="L304" s="565">
        <f t="shared" si="77"/>
        <v>60000</v>
      </c>
      <c r="M304" s="565">
        <f t="shared" si="77"/>
        <v>60000</v>
      </c>
      <c r="N304" s="94"/>
      <c r="O304" s="287"/>
      <c r="Q304" s="48"/>
      <c r="R304" s="48"/>
      <c r="S304" s="48"/>
      <c r="T304" s="48"/>
      <c r="U304" s="48"/>
      <c r="V304" s="48"/>
      <c r="W304" s="48"/>
      <c r="X304" s="48"/>
      <c r="Y304" s="48"/>
      <c r="Z304" s="48"/>
      <c r="AA304" s="48"/>
      <c r="AB304" s="48"/>
      <c r="AC304" s="48"/>
      <c r="AD304" s="48"/>
      <c r="AE304" s="48"/>
    </row>
    <row r="305" spans="1:31" outlineLevel="1">
      <c r="A305" s="412">
        <f>ROW()</f>
        <v>305</v>
      </c>
      <c r="B305" s="149"/>
      <c r="C305" s="96">
        <f t="shared" si="76"/>
        <v>0</v>
      </c>
      <c r="D305" s="96"/>
      <c r="E305" s="96"/>
      <c r="F305" s="96"/>
      <c r="G305" s="565">
        <v>0</v>
      </c>
      <c r="H305" s="565">
        <v>0</v>
      </c>
      <c r="I305" s="565">
        <v>0</v>
      </c>
      <c r="J305" s="565">
        <v>0</v>
      </c>
      <c r="K305" s="565">
        <v>0</v>
      </c>
      <c r="L305" s="565">
        <v>0</v>
      </c>
      <c r="M305" s="565">
        <v>0</v>
      </c>
      <c r="N305" s="94"/>
      <c r="O305" s="287"/>
      <c r="Q305" s="48"/>
      <c r="R305" s="48"/>
      <c r="S305" s="48"/>
      <c r="T305" s="48"/>
      <c r="U305" s="48"/>
      <c r="V305" s="48"/>
      <c r="W305" s="48"/>
      <c r="X305" s="48"/>
      <c r="Y305" s="48"/>
      <c r="Z305" s="48"/>
      <c r="AA305" s="48"/>
      <c r="AB305" s="48"/>
      <c r="AC305" s="48"/>
      <c r="AD305" s="48"/>
      <c r="AE305" s="48"/>
    </row>
    <row r="306" spans="1:31" outlineLevel="1">
      <c r="A306" s="412">
        <f>ROW()</f>
        <v>306</v>
      </c>
      <c r="B306" s="149" t="str">
        <f>$B150</f>
        <v>Middle School Social Studies</v>
      </c>
      <c r="C306" s="96">
        <f t="shared" si="76"/>
        <v>360000</v>
      </c>
      <c r="D306" s="96"/>
      <c r="E306" s="96"/>
      <c r="F306" s="96"/>
      <c r="G306" s="565">
        <f>G150*$E150</f>
        <v>0</v>
      </c>
      <c r="H306" s="565">
        <f t="shared" ref="H306:M310" si="78">(H150*$E150)</f>
        <v>60000</v>
      </c>
      <c r="I306" s="565">
        <f t="shared" si="78"/>
        <v>60000</v>
      </c>
      <c r="J306" s="565">
        <f t="shared" si="78"/>
        <v>60000</v>
      </c>
      <c r="K306" s="565">
        <f t="shared" si="78"/>
        <v>60000</v>
      </c>
      <c r="L306" s="565">
        <f t="shared" si="78"/>
        <v>60000</v>
      </c>
      <c r="M306" s="565">
        <f t="shared" si="78"/>
        <v>60000</v>
      </c>
      <c r="N306" s="94"/>
      <c r="O306" s="287"/>
      <c r="Q306" s="48"/>
      <c r="R306" s="48"/>
      <c r="S306" s="48"/>
      <c r="T306" s="48"/>
      <c r="U306" s="48"/>
      <c r="V306" s="48"/>
      <c r="W306" s="48"/>
      <c r="X306" s="48"/>
      <c r="Y306" s="48"/>
      <c r="Z306" s="48"/>
      <c r="AA306" s="48"/>
      <c r="AB306" s="48"/>
      <c r="AC306" s="48"/>
      <c r="AD306" s="48"/>
      <c r="AE306" s="48"/>
    </row>
    <row r="307" spans="1:31" outlineLevel="1">
      <c r="A307" s="412">
        <f>ROW()</f>
        <v>307</v>
      </c>
      <c r="B307" s="149" t="str">
        <f>$B151</f>
        <v>PE Teacher</v>
      </c>
      <c r="C307" s="96">
        <f t="shared" si="76"/>
        <v>1500000</v>
      </c>
      <c r="D307" s="96"/>
      <c r="E307" s="96"/>
      <c r="F307" s="96"/>
      <c r="G307" s="565">
        <f>G151*$E151</f>
        <v>0</v>
      </c>
      <c r="H307" s="565">
        <f t="shared" si="78"/>
        <v>180000</v>
      </c>
      <c r="I307" s="565">
        <f t="shared" si="78"/>
        <v>180000</v>
      </c>
      <c r="J307" s="565">
        <f t="shared" si="78"/>
        <v>240000</v>
      </c>
      <c r="K307" s="565">
        <f t="shared" si="78"/>
        <v>300000</v>
      </c>
      <c r="L307" s="565">
        <f t="shared" si="78"/>
        <v>300000</v>
      </c>
      <c r="M307" s="565">
        <f t="shared" si="78"/>
        <v>300000</v>
      </c>
      <c r="N307" s="94"/>
      <c r="O307" s="287"/>
      <c r="Q307" s="48"/>
      <c r="R307" s="48"/>
      <c r="S307" s="48"/>
      <c r="T307" s="48"/>
      <c r="U307" s="48"/>
      <c r="V307" s="48"/>
      <c r="W307" s="48"/>
      <c r="X307" s="48"/>
      <c r="Y307" s="48"/>
      <c r="Z307" s="48"/>
      <c r="AA307" s="48"/>
      <c r="AB307" s="48"/>
      <c r="AC307" s="48"/>
      <c r="AD307" s="48"/>
      <c r="AE307" s="48"/>
    </row>
    <row r="308" spans="1:31" outlineLevel="1">
      <c r="A308" s="412">
        <f>ROW()</f>
        <v>308</v>
      </c>
      <c r="B308" s="149" t="str">
        <f>$B152</f>
        <v>HS English Teacher</v>
      </c>
      <c r="C308" s="96">
        <f t="shared" si="76"/>
        <v>480000</v>
      </c>
      <c r="D308" s="96"/>
      <c r="E308" s="96"/>
      <c r="F308" s="96"/>
      <c r="G308" s="565">
        <f>G152*$E152</f>
        <v>0</v>
      </c>
      <c r="H308" s="565">
        <f t="shared" si="78"/>
        <v>0</v>
      </c>
      <c r="I308" s="565">
        <f t="shared" si="78"/>
        <v>60000</v>
      </c>
      <c r="J308" s="565">
        <f t="shared" si="78"/>
        <v>60000</v>
      </c>
      <c r="K308" s="565">
        <f t="shared" si="78"/>
        <v>120000</v>
      </c>
      <c r="L308" s="565">
        <f t="shared" si="78"/>
        <v>120000</v>
      </c>
      <c r="M308" s="565">
        <f t="shared" si="78"/>
        <v>120000</v>
      </c>
      <c r="N308" s="94"/>
      <c r="O308" s="287"/>
      <c r="Q308" s="48"/>
      <c r="R308" s="48"/>
      <c r="S308" s="48"/>
      <c r="T308" s="48"/>
      <c r="U308" s="48"/>
      <c r="V308" s="48"/>
      <c r="W308" s="48"/>
      <c r="X308" s="48"/>
      <c r="Y308" s="48"/>
      <c r="Z308" s="48"/>
      <c r="AA308" s="48"/>
      <c r="AB308" s="48"/>
      <c r="AC308" s="48"/>
      <c r="AD308" s="48"/>
      <c r="AE308" s="48"/>
    </row>
    <row r="309" spans="1:31" outlineLevel="1">
      <c r="A309" s="412">
        <f>ROW()</f>
        <v>309</v>
      </c>
      <c r="B309" s="149" t="str">
        <f>$B153</f>
        <v>HS Math Teacher</v>
      </c>
      <c r="C309" s="96">
        <f t="shared" si="76"/>
        <v>480000</v>
      </c>
      <c r="D309" s="96"/>
      <c r="E309" s="96"/>
      <c r="F309" s="96"/>
      <c r="G309" s="565">
        <f>G153*$E153</f>
        <v>0</v>
      </c>
      <c r="H309" s="565">
        <f t="shared" si="78"/>
        <v>0</v>
      </c>
      <c r="I309" s="565">
        <f t="shared" si="78"/>
        <v>60000</v>
      </c>
      <c r="J309" s="565">
        <f t="shared" si="78"/>
        <v>60000</v>
      </c>
      <c r="K309" s="565">
        <f t="shared" si="78"/>
        <v>120000</v>
      </c>
      <c r="L309" s="565">
        <f t="shared" si="78"/>
        <v>120000</v>
      </c>
      <c r="M309" s="565">
        <f t="shared" si="78"/>
        <v>120000</v>
      </c>
      <c r="N309" s="94"/>
      <c r="O309" s="287"/>
      <c r="Q309" s="48"/>
      <c r="R309" s="48"/>
      <c r="S309" s="48"/>
      <c r="T309" s="48"/>
      <c r="U309" s="48"/>
      <c r="V309" s="48"/>
      <c r="W309" s="48"/>
      <c r="X309" s="48"/>
      <c r="Y309" s="48"/>
      <c r="Z309" s="48"/>
      <c r="AA309" s="48"/>
      <c r="AB309" s="48"/>
      <c r="AC309" s="48"/>
      <c r="AD309" s="48"/>
      <c r="AE309" s="48"/>
    </row>
    <row r="310" spans="1:31" outlineLevel="1">
      <c r="A310" s="412">
        <f>ROW()</f>
        <v>310</v>
      </c>
      <c r="B310" s="149" t="str">
        <f>$B154</f>
        <v>HS Science Teacher</v>
      </c>
      <c r="C310" s="96">
        <f t="shared" si="76"/>
        <v>480000</v>
      </c>
      <c r="D310" s="96"/>
      <c r="E310" s="96"/>
      <c r="F310" s="96"/>
      <c r="G310" s="565">
        <f>G154*$E154</f>
        <v>0</v>
      </c>
      <c r="H310" s="565">
        <f t="shared" si="78"/>
        <v>0</v>
      </c>
      <c r="I310" s="565">
        <f t="shared" si="78"/>
        <v>60000</v>
      </c>
      <c r="J310" s="565">
        <f t="shared" si="78"/>
        <v>60000</v>
      </c>
      <c r="K310" s="565">
        <f t="shared" si="78"/>
        <v>120000</v>
      </c>
      <c r="L310" s="565">
        <f t="shared" si="78"/>
        <v>120000</v>
      </c>
      <c r="M310" s="565">
        <f t="shared" si="78"/>
        <v>120000</v>
      </c>
      <c r="N310" s="94"/>
      <c r="O310" s="287"/>
      <c r="Q310" s="48"/>
      <c r="R310" s="48"/>
      <c r="S310" s="48"/>
      <c r="T310" s="48"/>
      <c r="U310" s="48"/>
      <c r="V310" s="48"/>
      <c r="W310" s="48"/>
      <c r="X310" s="48"/>
      <c r="Y310" s="48"/>
      <c r="Z310" s="48"/>
      <c r="AA310" s="48"/>
      <c r="AB310" s="48"/>
      <c r="AC310" s="48"/>
      <c r="AD310" s="48"/>
      <c r="AE310" s="48"/>
    </row>
    <row r="311" spans="1:31" outlineLevel="1">
      <c r="A311" s="412">
        <f>ROW()</f>
        <v>311</v>
      </c>
      <c r="B311" s="149"/>
      <c r="C311" s="96">
        <f t="shared" si="76"/>
        <v>0</v>
      </c>
      <c r="D311" s="96"/>
      <c r="E311" s="96"/>
      <c r="F311" s="96"/>
      <c r="G311" s="1780"/>
      <c r="H311" s="1780"/>
      <c r="I311" s="1780"/>
      <c r="J311" s="1780"/>
      <c r="K311" s="1780"/>
      <c r="L311" s="1780"/>
      <c r="M311" s="1780"/>
      <c r="N311" s="94"/>
      <c r="O311" s="287"/>
      <c r="Q311" s="48"/>
      <c r="R311" s="48"/>
      <c r="S311" s="48"/>
      <c r="T311" s="48"/>
      <c r="U311" s="48"/>
      <c r="V311" s="48"/>
      <c r="W311" s="48"/>
      <c r="X311" s="48"/>
      <c r="Y311" s="48"/>
      <c r="Z311" s="48"/>
      <c r="AA311" s="48"/>
      <c r="AB311" s="48"/>
      <c r="AC311" s="48"/>
      <c r="AD311" s="48"/>
      <c r="AE311" s="48"/>
    </row>
    <row r="312" spans="1:31" outlineLevel="1">
      <c r="A312" s="412">
        <f>ROW()</f>
        <v>312</v>
      </c>
      <c r="B312" s="149" t="str">
        <f>$B156</f>
        <v>HS Social Studies</v>
      </c>
      <c r="C312" s="96">
        <f t="shared" si="76"/>
        <v>240000</v>
      </c>
      <c r="D312" s="96"/>
      <c r="E312" s="96"/>
      <c r="F312" s="96"/>
      <c r="G312" s="565">
        <f>G156*$E156</f>
        <v>0</v>
      </c>
      <c r="H312" s="565">
        <f t="shared" ref="H312:M316" si="79">(H156*$E156)</f>
        <v>0</v>
      </c>
      <c r="I312" s="565">
        <f t="shared" si="79"/>
        <v>0</v>
      </c>
      <c r="J312" s="565">
        <f t="shared" si="79"/>
        <v>60000</v>
      </c>
      <c r="K312" s="565">
        <f t="shared" si="79"/>
        <v>60000</v>
      </c>
      <c r="L312" s="565">
        <f t="shared" si="79"/>
        <v>60000</v>
      </c>
      <c r="M312" s="565">
        <f t="shared" si="79"/>
        <v>60000</v>
      </c>
      <c r="N312" s="94"/>
      <c r="O312" s="287"/>
      <c r="Q312" s="48"/>
      <c r="R312" s="48"/>
      <c r="S312" s="48"/>
      <c r="T312" s="48"/>
      <c r="U312" s="48"/>
      <c r="V312" s="48"/>
      <c r="W312" s="48"/>
      <c r="X312" s="48"/>
      <c r="Y312" s="48"/>
      <c r="Z312" s="48"/>
      <c r="AA312" s="48"/>
      <c r="AB312" s="48"/>
      <c r="AC312" s="48"/>
      <c r="AD312" s="48"/>
      <c r="AE312" s="48"/>
    </row>
    <row r="313" spans="1:31" outlineLevel="1">
      <c r="A313" s="412">
        <f>ROW()</f>
        <v>313</v>
      </c>
      <c r="B313" s="149" t="str">
        <f>$B157</f>
        <v>Spanish Teacher</v>
      </c>
      <c r="C313" s="96">
        <f t="shared" si="76"/>
        <v>300000</v>
      </c>
      <c r="D313" s="96"/>
      <c r="E313" s="96"/>
      <c r="F313" s="96"/>
      <c r="G313" s="565">
        <f>G157*$E157</f>
        <v>0</v>
      </c>
      <c r="H313" s="565">
        <f t="shared" si="79"/>
        <v>0</v>
      </c>
      <c r="I313" s="565">
        <f t="shared" si="79"/>
        <v>60000</v>
      </c>
      <c r="J313" s="565">
        <f t="shared" si="79"/>
        <v>60000</v>
      </c>
      <c r="K313" s="565">
        <f t="shared" si="79"/>
        <v>60000</v>
      </c>
      <c r="L313" s="565">
        <f t="shared" si="79"/>
        <v>60000</v>
      </c>
      <c r="M313" s="565">
        <f t="shared" si="79"/>
        <v>60000</v>
      </c>
      <c r="N313" s="94"/>
      <c r="O313" s="287"/>
      <c r="Q313" s="48"/>
      <c r="R313" s="48"/>
      <c r="S313" s="48"/>
      <c r="T313" s="48"/>
      <c r="U313" s="48"/>
      <c r="V313" s="48"/>
      <c r="W313" s="48"/>
      <c r="X313" s="48"/>
      <c r="Y313" s="48"/>
      <c r="Z313" s="48"/>
      <c r="AA313" s="48"/>
      <c r="AB313" s="48"/>
      <c r="AC313" s="48"/>
      <c r="AD313" s="48"/>
      <c r="AE313" s="48"/>
    </row>
    <row r="314" spans="1:31" outlineLevel="1">
      <c r="A314" s="412">
        <f>ROW()</f>
        <v>314</v>
      </c>
      <c r="B314" s="149" t="str">
        <f>$B158</f>
        <v>Art Teacher</v>
      </c>
      <c r="C314" s="96">
        <f t="shared" si="76"/>
        <v>300000</v>
      </c>
      <c r="D314" s="96"/>
      <c r="E314" s="96"/>
      <c r="F314" s="96"/>
      <c r="G314" s="565">
        <f>G158*$E158</f>
        <v>0</v>
      </c>
      <c r="H314" s="565">
        <f t="shared" si="79"/>
        <v>0</v>
      </c>
      <c r="I314" s="565">
        <f t="shared" si="79"/>
        <v>60000</v>
      </c>
      <c r="J314" s="565">
        <f t="shared" si="79"/>
        <v>60000</v>
      </c>
      <c r="K314" s="565">
        <f t="shared" si="79"/>
        <v>60000</v>
      </c>
      <c r="L314" s="565">
        <f t="shared" si="79"/>
        <v>60000</v>
      </c>
      <c r="M314" s="565">
        <f t="shared" si="79"/>
        <v>60000</v>
      </c>
      <c r="N314" s="94"/>
      <c r="O314" s="287"/>
      <c r="Q314" s="48"/>
      <c r="R314" s="48"/>
      <c r="S314" s="48"/>
      <c r="T314" s="48"/>
      <c r="U314" s="48"/>
      <c r="V314" s="48"/>
      <c r="W314" s="48"/>
      <c r="X314" s="48"/>
      <c r="Y314" s="48"/>
      <c r="Z314" s="48"/>
      <c r="AA314" s="48"/>
      <c r="AB314" s="48"/>
      <c r="AC314" s="48"/>
      <c r="AD314" s="48"/>
      <c r="AE314" s="48"/>
    </row>
    <row r="315" spans="1:31" outlineLevel="1">
      <c r="A315" s="412">
        <f>ROW()</f>
        <v>315</v>
      </c>
      <c r="B315" s="149">
        <f>$B159</f>
        <v>0</v>
      </c>
      <c r="C315" s="96">
        <f t="shared" si="76"/>
        <v>0</v>
      </c>
      <c r="D315" s="96"/>
      <c r="E315" s="96"/>
      <c r="F315" s="96"/>
      <c r="G315" s="565">
        <f>G159*$E159</f>
        <v>0</v>
      </c>
      <c r="H315" s="565">
        <f t="shared" si="79"/>
        <v>0</v>
      </c>
      <c r="I315" s="565">
        <f t="shared" si="79"/>
        <v>0</v>
      </c>
      <c r="J315" s="565">
        <f t="shared" si="79"/>
        <v>0</v>
      </c>
      <c r="K315" s="565">
        <f t="shared" si="79"/>
        <v>0</v>
      </c>
      <c r="L315" s="565">
        <f t="shared" si="79"/>
        <v>0</v>
      </c>
      <c r="M315" s="565">
        <f t="shared" si="79"/>
        <v>0</v>
      </c>
      <c r="N315" s="94"/>
      <c r="O315" s="287"/>
      <c r="Q315" s="48"/>
      <c r="R315" s="48"/>
      <c r="S315" s="48"/>
      <c r="T315" s="48"/>
      <c r="U315" s="48"/>
      <c r="V315" s="48"/>
      <c r="W315" s="48"/>
      <c r="X315" s="48"/>
      <c r="Y315" s="48"/>
      <c r="Z315" s="48"/>
      <c r="AA315" s="48"/>
      <c r="AB315" s="48"/>
      <c r="AC315" s="48"/>
      <c r="AD315" s="48"/>
      <c r="AE315" s="48"/>
    </row>
    <row r="316" spans="1:31" outlineLevel="1">
      <c r="A316" s="412">
        <f>ROW()</f>
        <v>316</v>
      </c>
      <c r="B316" s="149">
        <f>$B160</f>
        <v>0</v>
      </c>
      <c r="C316" s="96">
        <f t="shared" si="76"/>
        <v>0</v>
      </c>
      <c r="D316" s="96"/>
      <c r="E316" s="96"/>
      <c r="F316" s="96"/>
      <c r="G316" s="565">
        <f>G160*$E160</f>
        <v>0</v>
      </c>
      <c r="H316" s="565">
        <f t="shared" si="79"/>
        <v>0</v>
      </c>
      <c r="I316" s="565">
        <f t="shared" si="79"/>
        <v>0</v>
      </c>
      <c r="J316" s="565">
        <f t="shared" si="79"/>
        <v>0</v>
      </c>
      <c r="K316" s="565">
        <f t="shared" si="79"/>
        <v>0</v>
      </c>
      <c r="L316" s="565">
        <f t="shared" si="79"/>
        <v>0</v>
      </c>
      <c r="M316" s="565">
        <f t="shared" si="79"/>
        <v>0</v>
      </c>
      <c r="N316" s="94"/>
      <c r="O316" s="287"/>
      <c r="Q316" s="48"/>
      <c r="R316" s="48"/>
      <c r="S316" s="48"/>
      <c r="T316" s="48"/>
      <c r="U316" s="48"/>
      <c r="V316" s="48"/>
      <c r="W316" s="48"/>
      <c r="X316" s="48"/>
      <c r="Y316" s="48"/>
      <c r="Z316" s="48"/>
      <c r="AA316" s="48"/>
      <c r="AB316" s="48"/>
      <c r="AC316" s="48"/>
      <c r="AD316" s="48"/>
      <c r="AE316" s="48"/>
    </row>
    <row r="317" spans="1:31" outlineLevel="1">
      <c r="A317" s="412">
        <f>ROW()</f>
        <v>317</v>
      </c>
      <c r="B317" s="149"/>
      <c r="C317" s="96">
        <f t="shared" si="76"/>
        <v>0</v>
      </c>
      <c r="D317" s="96"/>
      <c r="E317" s="96"/>
      <c r="F317" s="96"/>
      <c r="G317" s="1780"/>
      <c r="H317" s="1780"/>
      <c r="I317" s="1780"/>
      <c r="J317" s="1780"/>
      <c r="K317" s="1780"/>
      <c r="L317" s="1780"/>
      <c r="M317" s="1780"/>
      <c r="N317" s="94"/>
      <c r="O317" s="287"/>
      <c r="Q317" s="48"/>
      <c r="R317" s="48"/>
      <c r="S317" s="48"/>
      <c r="T317" s="48"/>
      <c r="U317" s="48"/>
      <c r="V317" s="48"/>
      <c r="W317" s="48"/>
      <c r="X317" s="48"/>
      <c r="Y317" s="48"/>
      <c r="Z317" s="48"/>
      <c r="AA317" s="48"/>
      <c r="AB317" s="48"/>
      <c r="AC317" s="48"/>
      <c r="AD317" s="48"/>
      <c r="AE317" s="48"/>
    </row>
    <row r="318" spans="1:31" outlineLevel="1">
      <c r="A318" s="412">
        <f>ROW()</f>
        <v>318</v>
      </c>
      <c r="B318" s="149">
        <f>$B162</f>
        <v>0</v>
      </c>
      <c r="C318" s="96">
        <f t="shared" si="76"/>
        <v>0</v>
      </c>
      <c r="D318" s="96"/>
      <c r="E318" s="96"/>
      <c r="F318" s="96"/>
      <c r="G318" s="565">
        <f>G162*$E162</f>
        <v>0</v>
      </c>
      <c r="H318" s="565">
        <f t="shared" ref="H318:M322" si="80">(H162*$E162)</f>
        <v>0</v>
      </c>
      <c r="I318" s="565">
        <f t="shared" si="80"/>
        <v>0</v>
      </c>
      <c r="J318" s="565">
        <f t="shared" si="80"/>
        <v>0</v>
      </c>
      <c r="K318" s="565">
        <f t="shared" si="80"/>
        <v>0</v>
      </c>
      <c r="L318" s="565">
        <f t="shared" si="80"/>
        <v>0</v>
      </c>
      <c r="M318" s="565">
        <f t="shared" si="80"/>
        <v>0</v>
      </c>
      <c r="N318" s="94"/>
      <c r="O318" s="287"/>
      <c r="Q318" s="48"/>
      <c r="R318" s="48"/>
      <c r="S318" s="48"/>
      <c r="T318" s="48"/>
      <c r="U318" s="48"/>
      <c r="V318" s="48"/>
      <c r="W318" s="48"/>
      <c r="X318" s="48"/>
      <c r="Y318" s="48"/>
      <c r="Z318" s="48"/>
      <c r="AA318" s="48"/>
      <c r="AB318" s="48"/>
      <c r="AC318" s="48"/>
      <c r="AD318" s="48"/>
      <c r="AE318" s="48"/>
    </row>
    <row r="319" spans="1:31" outlineLevel="1">
      <c r="A319" s="412">
        <f>ROW()</f>
        <v>319</v>
      </c>
      <c r="B319" s="149">
        <f>$B163</f>
        <v>0</v>
      </c>
      <c r="C319" s="96">
        <f t="shared" si="76"/>
        <v>0</v>
      </c>
      <c r="D319" s="96"/>
      <c r="E319" s="96"/>
      <c r="F319" s="96"/>
      <c r="G319" s="565">
        <f>G163*$E163</f>
        <v>0</v>
      </c>
      <c r="H319" s="565">
        <f t="shared" si="80"/>
        <v>0</v>
      </c>
      <c r="I319" s="565">
        <f t="shared" si="80"/>
        <v>0</v>
      </c>
      <c r="J319" s="565">
        <f t="shared" si="80"/>
        <v>0</v>
      </c>
      <c r="K319" s="565">
        <f t="shared" si="80"/>
        <v>0</v>
      </c>
      <c r="L319" s="565">
        <f t="shared" si="80"/>
        <v>0</v>
      </c>
      <c r="M319" s="565">
        <f t="shared" si="80"/>
        <v>0</v>
      </c>
      <c r="N319" s="94"/>
      <c r="O319" s="287"/>
      <c r="Q319" s="48"/>
      <c r="R319" s="48"/>
      <c r="S319" s="48"/>
      <c r="T319" s="48"/>
      <c r="U319" s="48"/>
      <c r="V319" s="48"/>
      <c r="W319" s="48"/>
      <c r="X319" s="48"/>
      <c r="Y319" s="48"/>
      <c r="Z319" s="48"/>
      <c r="AA319" s="48"/>
      <c r="AB319" s="48"/>
      <c r="AC319" s="48"/>
      <c r="AD319" s="48"/>
      <c r="AE319" s="48"/>
    </row>
    <row r="320" spans="1:31" outlineLevel="1">
      <c r="A320" s="412">
        <f>ROW()</f>
        <v>320</v>
      </c>
      <c r="B320" s="149">
        <f>$B164</f>
        <v>0</v>
      </c>
      <c r="C320" s="96">
        <f t="shared" si="76"/>
        <v>0</v>
      </c>
      <c r="D320" s="96"/>
      <c r="E320" s="96"/>
      <c r="F320" s="96"/>
      <c r="G320" s="565">
        <f>G164*$E164</f>
        <v>0</v>
      </c>
      <c r="H320" s="565">
        <f t="shared" si="80"/>
        <v>0</v>
      </c>
      <c r="I320" s="565">
        <f t="shared" si="80"/>
        <v>0</v>
      </c>
      <c r="J320" s="565">
        <f t="shared" si="80"/>
        <v>0</v>
      </c>
      <c r="K320" s="565">
        <f t="shared" si="80"/>
        <v>0</v>
      </c>
      <c r="L320" s="565">
        <f t="shared" si="80"/>
        <v>0</v>
      </c>
      <c r="M320" s="565">
        <f t="shared" si="80"/>
        <v>0</v>
      </c>
      <c r="N320" s="94"/>
      <c r="O320" s="287"/>
      <c r="Q320" s="48"/>
      <c r="R320" s="48"/>
      <c r="S320" s="48"/>
      <c r="T320" s="48"/>
      <c r="U320" s="48"/>
      <c r="V320" s="48"/>
      <c r="W320" s="48"/>
      <c r="X320" s="48"/>
      <c r="Y320" s="48"/>
      <c r="Z320" s="48"/>
      <c r="AA320" s="48"/>
      <c r="AB320" s="48"/>
      <c r="AC320" s="48"/>
      <c r="AD320" s="48"/>
      <c r="AE320" s="48"/>
    </row>
    <row r="321" spans="1:31" outlineLevel="1">
      <c r="A321" s="412">
        <f>ROW()</f>
        <v>321</v>
      </c>
      <c r="B321" s="149">
        <f>$B165</f>
        <v>0</v>
      </c>
      <c r="C321" s="96">
        <f t="shared" si="76"/>
        <v>0</v>
      </c>
      <c r="D321" s="96"/>
      <c r="E321" s="96"/>
      <c r="F321" s="96"/>
      <c r="G321" s="565">
        <f>G165*$E165</f>
        <v>0</v>
      </c>
      <c r="H321" s="565">
        <f t="shared" si="80"/>
        <v>0</v>
      </c>
      <c r="I321" s="565">
        <f t="shared" si="80"/>
        <v>0</v>
      </c>
      <c r="J321" s="565">
        <f t="shared" si="80"/>
        <v>0</v>
      </c>
      <c r="K321" s="565">
        <f t="shared" si="80"/>
        <v>0</v>
      </c>
      <c r="L321" s="565">
        <f t="shared" si="80"/>
        <v>0</v>
      </c>
      <c r="M321" s="565">
        <f t="shared" si="80"/>
        <v>0</v>
      </c>
      <c r="N321" s="94"/>
      <c r="O321" s="287"/>
      <c r="Q321" s="48"/>
      <c r="R321" s="48"/>
      <c r="S321" s="48"/>
      <c r="T321" s="48"/>
      <c r="U321" s="48"/>
      <c r="V321" s="48"/>
      <c r="W321" s="48"/>
      <c r="X321" s="48"/>
      <c r="Y321" s="48"/>
      <c r="Z321" s="48"/>
      <c r="AA321" s="48"/>
      <c r="AB321" s="48"/>
      <c r="AC321" s="48"/>
      <c r="AD321" s="48"/>
      <c r="AE321" s="48"/>
    </row>
    <row r="322" spans="1:31" outlineLevel="1">
      <c r="A322" s="412">
        <f>ROW()</f>
        <v>322</v>
      </c>
      <c r="B322" s="149">
        <f>$B166</f>
        <v>0</v>
      </c>
      <c r="C322" s="96">
        <f t="shared" si="76"/>
        <v>0</v>
      </c>
      <c r="D322" s="96"/>
      <c r="E322" s="96"/>
      <c r="F322" s="96"/>
      <c r="G322" s="565">
        <f>G166*$E166</f>
        <v>0</v>
      </c>
      <c r="H322" s="565">
        <f t="shared" si="80"/>
        <v>0</v>
      </c>
      <c r="I322" s="565">
        <f t="shared" si="80"/>
        <v>0</v>
      </c>
      <c r="J322" s="565">
        <f t="shared" si="80"/>
        <v>0</v>
      </c>
      <c r="K322" s="565">
        <f t="shared" si="80"/>
        <v>0</v>
      </c>
      <c r="L322" s="565">
        <f t="shared" si="80"/>
        <v>0</v>
      </c>
      <c r="M322" s="565">
        <f t="shared" si="80"/>
        <v>0</v>
      </c>
      <c r="N322" s="94"/>
      <c r="O322" s="287"/>
      <c r="Q322" s="48"/>
      <c r="R322" s="48"/>
      <c r="S322" s="48"/>
      <c r="T322" s="48"/>
      <c r="U322" s="48"/>
      <c r="V322" s="48"/>
      <c r="W322" s="48"/>
      <c r="X322" s="48"/>
      <c r="Y322" s="48"/>
      <c r="Z322" s="48"/>
      <c r="AA322" s="48"/>
      <c r="AB322" s="48"/>
      <c r="AC322" s="48"/>
      <c r="AD322" s="48"/>
      <c r="AE322" s="48"/>
    </row>
    <row r="323" spans="1:31" outlineLevel="1">
      <c r="A323" s="412">
        <f>ROW()</f>
        <v>323</v>
      </c>
      <c r="B323" s="149"/>
      <c r="C323" s="96">
        <f t="shared" si="76"/>
        <v>0</v>
      </c>
      <c r="D323" s="96"/>
      <c r="E323" s="96"/>
      <c r="F323" s="96"/>
      <c r="G323" s="1780"/>
      <c r="H323" s="1780"/>
      <c r="I323" s="1780"/>
      <c r="J323" s="1780"/>
      <c r="K323" s="1780"/>
      <c r="L323" s="1780"/>
      <c r="M323" s="1780"/>
      <c r="N323" s="94"/>
      <c r="O323" s="287"/>
      <c r="Q323" s="48"/>
      <c r="R323" s="48"/>
      <c r="S323" s="48"/>
      <c r="T323" s="48"/>
      <c r="U323" s="48"/>
      <c r="V323" s="48"/>
      <c r="W323" s="48"/>
      <c r="X323" s="48"/>
      <c r="Y323" s="48"/>
      <c r="Z323" s="48"/>
      <c r="AA323" s="48"/>
      <c r="AB323" s="48"/>
      <c r="AC323" s="48"/>
      <c r="AD323" s="48"/>
      <c r="AE323" s="48"/>
    </row>
    <row r="324" spans="1:31" outlineLevel="1">
      <c r="A324" s="412">
        <f>ROW()</f>
        <v>324</v>
      </c>
      <c r="B324" s="149">
        <f>$B168</f>
        <v>0</v>
      </c>
      <c r="C324" s="96">
        <f t="shared" si="76"/>
        <v>0</v>
      </c>
      <c r="D324" s="96"/>
      <c r="E324" s="96"/>
      <c r="F324" s="96"/>
      <c r="G324" s="565">
        <f>G168*$E168</f>
        <v>0</v>
      </c>
      <c r="H324" s="565">
        <f t="shared" ref="H324:M328" si="81">(H168*$E168)</f>
        <v>0</v>
      </c>
      <c r="I324" s="565">
        <f t="shared" si="81"/>
        <v>0</v>
      </c>
      <c r="J324" s="565">
        <f t="shared" si="81"/>
        <v>0</v>
      </c>
      <c r="K324" s="565">
        <f t="shared" si="81"/>
        <v>0</v>
      </c>
      <c r="L324" s="565">
        <f t="shared" si="81"/>
        <v>0</v>
      </c>
      <c r="M324" s="565">
        <f t="shared" si="81"/>
        <v>0</v>
      </c>
      <c r="N324" s="94"/>
      <c r="O324" s="287"/>
      <c r="Q324" s="48"/>
      <c r="R324" s="48"/>
      <c r="S324" s="48"/>
      <c r="T324" s="48"/>
      <c r="U324" s="48"/>
      <c r="V324" s="48"/>
      <c r="W324" s="48"/>
      <c r="X324" s="48"/>
      <c r="Y324" s="48"/>
      <c r="Z324" s="48"/>
      <c r="AA324" s="48"/>
      <c r="AB324" s="48"/>
      <c r="AC324" s="48"/>
      <c r="AD324" s="48"/>
      <c r="AE324" s="48"/>
    </row>
    <row r="325" spans="1:31" outlineLevel="1">
      <c r="A325" s="412">
        <f>ROW()</f>
        <v>325</v>
      </c>
      <c r="B325" s="149">
        <f>$B169</f>
        <v>0</v>
      </c>
      <c r="C325" s="96">
        <f t="shared" si="76"/>
        <v>0</v>
      </c>
      <c r="D325" s="96"/>
      <c r="E325" s="96"/>
      <c r="F325" s="96"/>
      <c r="G325" s="565">
        <f>G169*$E169</f>
        <v>0</v>
      </c>
      <c r="H325" s="565">
        <f t="shared" si="81"/>
        <v>0</v>
      </c>
      <c r="I325" s="565">
        <f t="shared" si="81"/>
        <v>0</v>
      </c>
      <c r="J325" s="565">
        <f t="shared" si="81"/>
        <v>0</v>
      </c>
      <c r="K325" s="565">
        <f t="shared" si="81"/>
        <v>0</v>
      </c>
      <c r="L325" s="565">
        <f t="shared" si="81"/>
        <v>0</v>
      </c>
      <c r="M325" s="565">
        <f t="shared" si="81"/>
        <v>0</v>
      </c>
      <c r="N325" s="94"/>
      <c r="O325" s="287"/>
      <c r="Q325" s="48"/>
      <c r="R325" s="48"/>
      <c r="S325" s="48"/>
      <c r="T325" s="48"/>
      <c r="U325" s="48"/>
      <c r="V325" s="48"/>
      <c r="W325" s="48"/>
      <c r="X325" s="48"/>
      <c r="Y325" s="48"/>
      <c r="Z325" s="48"/>
      <c r="AA325" s="48"/>
      <c r="AB325" s="48"/>
      <c r="AC325" s="48"/>
      <c r="AD325" s="48"/>
      <c r="AE325" s="48"/>
    </row>
    <row r="326" spans="1:31" outlineLevel="1">
      <c r="A326" s="412">
        <f>ROW()</f>
        <v>326</v>
      </c>
      <c r="B326" s="149">
        <f>$B170</f>
        <v>0</v>
      </c>
      <c r="C326" s="96">
        <f t="shared" si="76"/>
        <v>0</v>
      </c>
      <c r="D326" s="96"/>
      <c r="E326" s="96"/>
      <c r="F326" s="96"/>
      <c r="G326" s="565">
        <f>G170*$E170</f>
        <v>0</v>
      </c>
      <c r="H326" s="565">
        <f t="shared" si="81"/>
        <v>0</v>
      </c>
      <c r="I326" s="565">
        <f t="shared" si="81"/>
        <v>0</v>
      </c>
      <c r="J326" s="565">
        <f t="shared" si="81"/>
        <v>0</v>
      </c>
      <c r="K326" s="565">
        <f t="shared" si="81"/>
        <v>0</v>
      </c>
      <c r="L326" s="565">
        <f t="shared" si="81"/>
        <v>0</v>
      </c>
      <c r="M326" s="565">
        <f t="shared" si="81"/>
        <v>0</v>
      </c>
      <c r="N326" s="94"/>
      <c r="O326" s="287"/>
      <c r="Q326" s="48"/>
      <c r="R326" s="48"/>
      <c r="S326" s="48"/>
      <c r="T326" s="48"/>
      <c r="U326" s="48"/>
      <c r="V326" s="48"/>
      <c r="W326" s="48"/>
      <c r="X326" s="48"/>
      <c r="Y326" s="48"/>
      <c r="Z326" s="48"/>
      <c r="AA326" s="48"/>
      <c r="AB326" s="48"/>
      <c r="AC326" s="48"/>
      <c r="AD326" s="48"/>
      <c r="AE326" s="48"/>
    </row>
    <row r="327" spans="1:31" outlineLevel="1">
      <c r="A327" s="412">
        <f>ROW()</f>
        <v>327</v>
      </c>
      <c r="B327" s="149">
        <f>$B171</f>
        <v>0</v>
      </c>
      <c r="C327" s="96">
        <f t="shared" si="76"/>
        <v>0</v>
      </c>
      <c r="D327" s="96"/>
      <c r="E327" s="96"/>
      <c r="F327" s="96"/>
      <c r="G327" s="565">
        <f>G171*$E171</f>
        <v>0</v>
      </c>
      <c r="H327" s="565">
        <f t="shared" si="81"/>
        <v>0</v>
      </c>
      <c r="I327" s="565">
        <f t="shared" si="81"/>
        <v>0</v>
      </c>
      <c r="J327" s="565">
        <f t="shared" si="81"/>
        <v>0</v>
      </c>
      <c r="K327" s="565">
        <f t="shared" si="81"/>
        <v>0</v>
      </c>
      <c r="L327" s="565">
        <f t="shared" si="81"/>
        <v>0</v>
      </c>
      <c r="M327" s="565">
        <f t="shared" si="81"/>
        <v>0</v>
      </c>
      <c r="N327" s="94"/>
      <c r="O327" s="287"/>
      <c r="Q327" s="48"/>
      <c r="R327" s="48"/>
      <c r="S327" s="48"/>
      <c r="T327" s="48"/>
      <c r="U327" s="48"/>
      <c r="V327" s="48"/>
      <c r="W327" s="48"/>
      <c r="X327" s="48"/>
      <c r="Y327" s="48"/>
      <c r="Z327" s="48"/>
      <c r="AA327" s="48"/>
      <c r="AB327" s="48"/>
      <c r="AC327" s="48"/>
      <c r="AD327" s="48"/>
      <c r="AE327" s="48"/>
    </row>
    <row r="328" spans="1:31" outlineLevel="1">
      <c r="A328" s="412">
        <f>ROW()</f>
        <v>328</v>
      </c>
      <c r="B328" s="149">
        <f>$B172</f>
        <v>0</v>
      </c>
      <c r="C328" s="96">
        <f t="shared" si="76"/>
        <v>0</v>
      </c>
      <c r="D328" s="96"/>
      <c r="E328" s="96"/>
      <c r="F328" s="96"/>
      <c r="G328" s="565">
        <f>G172*$E172</f>
        <v>0</v>
      </c>
      <c r="H328" s="565">
        <f t="shared" si="81"/>
        <v>0</v>
      </c>
      <c r="I328" s="565">
        <f t="shared" si="81"/>
        <v>0</v>
      </c>
      <c r="J328" s="565">
        <f t="shared" si="81"/>
        <v>0</v>
      </c>
      <c r="K328" s="565">
        <f t="shared" si="81"/>
        <v>0</v>
      </c>
      <c r="L328" s="565">
        <f t="shared" si="81"/>
        <v>0</v>
      </c>
      <c r="M328" s="565">
        <f t="shared" si="81"/>
        <v>0</v>
      </c>
      <c r="N328" s="94"/>
      <c r="O328" s="287"/>
      <c r="Q328" s="48"/>
      <c r="R328" s="48"/>
      <c r="S328" s="48"/>
      <c r="T328" s="48"/>
      <c r="U328" s="48"/>
      <c r="V328" s="48"/>
      <c r="W328" s="48"/>
      <c r="X328" s="48"/>
      <c r="Y328" s="48"/>
      <c r="Z328" s="48"/>
      <c r="AA328" s="48"/>
      <c r="AB328" s="48"/>
      <c r="AC328" s="48"/>
      <c r="AD328" s="48"/>
      <c r="AE328" s="48"/>
    </row>
    <row r="329" spans="1:31" outlineLevel="1">
      <c r="A329" s="412">
        <f>ROW()</f>
        <v>329</v>
      </c>
      <c r="B329" s="149"/>
      <c r="C329" s="96">
        <f t="shared" si="76"/>
        <v>0</v>
      </c>
      <c r="D329" s="96"/>
      <c r="E329" s="96"/>
      <c r="F329" s="96"/>
      <c r="G329" s="1780"/>
      <c r="H329" s="1780"/>
      <c r="I329" s="1780"/>
      <c r="J329" s="1780"/>
      <c r="K329" s="1780"/>
      <c r="L329" s="1780"/>
      <c r="M329" s="1780"/>
      <c r="N329" s="94"/>
      <c r="O329" s="287"/>
      <c r="Q329" s="48"/>
      <c r="R329" s="48"/>
      <c r="S329" s="48"/>
      <c r="T329" s="48"/>
      <c r="U329" s="48"/>
      <c r="V329" s="48"/>
      <c r="W329" s="48"/>
      <c r="X329" s="48"/>
      <c r="Y329" s="48"/>
      <c r="Z329" s="48"/>
      <c r="AA329" s="48"/>
      <c r="AB329" s="48"/>
      <c r="AC329" s="48"/>
      <c r="AD329" s="48"/>
      <c r="AE329" s="48"/>
    </row>
    <row r="330" spans="1:31" outlineLevel="1">
      <c r="A330" s="412">
        <f>ROW()</f>
        <v>330</v>
      </c>
      <c r="B330" s="149">
        <f>$B174</f>
        <v>0</v>
      </c>
      <c r="C330" s="96">
        <f t="shared" si="76"/>
        <v>0</v>
      </c>
      <c r="D330" s="96"/>
      <c r="E330" s="96"/>
      <c r="F330" s="96"/>
      <c r="G330" s="565">
        <f>G174*$E174</f>
        <v>0</v>
      </c>
      <c r="H330" s="565">
        <f t="shared" ref="H330:M334" si="82">(H174*$E174)</f>
        <v>0</v>
      </c>
      <c r="I330" s="565">
        <f t="shared" si="82"/>
        <v>0</v>
      </c>
      <c r="J330" s="565">
        <f t="shared" si="82"/>
        <v>0</v>
      </c>
      <c r="K330" s="565">
        <f t="shared" si="82"/>
        <v>0</v>
      </c>
      <c r="L330" s="565">
        <f t="shared" si="82"/>
        <v>0</v>
      </c>
      <c r="M330" s="565">
        <f t="shared" si="82"/>
        <v>0</v>
      </c>
      <c r="N330" s="94"/>
      <c r="O330" s="287"/>
      <c r="Q330" s="48"/>
      <c r="R330" s="48"/>
      <c r="S330" s="48"/>
      <c r="T330" s="48"/>
      <c r="U330" s="48"/>
      <c r="V330" s="48"/>
      <c r="W330" s="48"/>
      <c r="X330" s="48"/>
      <c r="Y330" s="48"/>
      <c r="Z330" s="48"/>
      <c r="AA330" s="48"/>
      <c r="AB330" s="48"/>
      <c r="AC330" s="48"/>
      <c r="AD330" s="48"/>
      <c r="AE330" s="48"/>
    </row>
    <row r="331" spans="1:31" outlineLevel="1">
      <c r="A331" s="412">
        <f>ROW()</f>
        <v>331</v>
      </c>
      <c r="B331" s="149">
        <f>$B175</f>
        <v>0</v>
      </c>
      <c r="C331" s="96">
        <f t="shared" si="76"/>
        <v>0</v>
      </c>
      <c r="D331" s="96"/>
      <c r="E331" s="96"/>
      <c r="F331" s="96"/>
      <c r="G331" s="565">
        <f>G175*$E175</f>
        <v>0</v>
      </c>
      <c r="H331" s="565">
        <f t="shared" si="82"/>
        <v>0</v>
      </c>
      <c r="I331" s="565">
        <f t="shared" si="82"/>
        <v>0</v>
      </c>
      <c r="J331" s="565">
        <f t="shared" si="82"/>
        <v>0</v>
      </c>
      <c r="K331" s="565">
        <f t="shared" si="82"/>
        <v>0</v>
      </c>
      <c r="L331" s="565">
        <f t="shared" si="82"/>
        <v>0</v>
      </c>
      <c r="M331" s="565">
        <f t="shared" si="82"/>
        <v>0</v>
      </c>
      <c r="N331" s="94"/>
      <c r="O331" s="287"/>
      <c r="Q331" s="48"/>
      <c r="R331" s="48"/>
      <c r="S331" s="48"/>
      <c r="T331" s="48"/>
      <c r="U331" s="48"/>
      <c r="V331" s="48"/>
      <c r="W331" s="48"/>
      <c r="X331" s="48"/>
      <c r="Y331" s="48"/>
      <c r="Z331" s="48"/>
      <c r="AA331" s="48"/>
      <c r="AB331" s="48"/>
      <c r="AC331" s="48"/>
      <c r="AD331" s="48"/>
      <c r="AE331" s="48"/>
    </row>
    <row r="332" spans="1:31" outlineLevel="1">
      <c r="A332" s="412">
        <f>ROW()</f>
        <v>332</v>
      </c>
      <c r="B332" s="149">
        <f>$B176</f>
        <v>0</v>
      </c>
      <c r="C332" s="96">
        <f t="shared" si="76"/>
        <v>0</v>
      </c>
      <c r="D332" s="96"/>
      <c r="E332" s="96"/>
      <c r="F332" s="96"/>
      <c r="G332" s="565">
        <f>G176*$E176</f>
        <v>0</v>
      </c>
      <c r="H332" s="565">
        <f t="shared" si="82"/>
        <v>0</v>
      </c>
      <c r="I332" s="565">
        <f t="shared" si="82"/>
        <v>0</v>
      </c>
      <c r="J332" s="565">
        <f t="shared" si="82"/>
        <v>0</v>
      </c>
      <c r="K332" s="565">
        <f t="shared" si="82"/>
        <v>0</v>
      </c>
      <c r="L332" s="565">
        <f t="shared" si="82"/>
        <v>0</v>
      </c>
      <c r="M332" s="565">
        <f t="shared" si="82"/>
        <v>0</v>
      </c>
      <c r="N332" s="94"/>
      <c r="O332" s="287"/>
      <c r="Q332" s="48"/>
      <c r="R332" s="48"/>
      <c r="S332" s="48"/>
      <c r="T332" s="48"/>
      <c r="U332" s="48"/>
      <c r="V332" s="48"/>
      <c r="W332" s="48"/>
      <c r="X332" s="48"/>
      <c r="Y332" s="48"/>
      <c r="Z332" s="48"/>
      <c r="AA332" s="48"/>
      <c r="AB332" s="48"/>
      <c r="AC332" s="48"/>
      <c r="AD332" s="48"/>
      <c r="AE332" s="48"/>
    </row>
    <row r="333" spans="1:31" outlineLevel="1">
      <c r="A333" s="412">
        <f>ROW()</f>
        <v>333</v>
      </c>
      <c r="B333" s="149">
        <f>$B177</f>
        <v>0</v>
      </c>
      <c r="C333" s="96">
        <f t="shared" si="76"/>
        <v>0</v>
      </c>
      <c r="D333" s="96"/>
      <c r="E333" s="96"/>
      <c r="F333" s="96"/>
      <c r="G333" s="565">
        <f>G177*$E177</f>
        <v>0</v>
      </c>
      <c r="H333" s="565">
        <f t="shared" si="82"/>
        <v>0</v>
      </c>
      <c r="I333" s="565">
        <f t="shared" si="82"/>
        <v>0</v>
      </c>
      <c r="J333" s="565">
        <f t="shared" si="82"/>
        <v>0</v>
      </c>
      <c r="K333" s="565">
        <f t="shared" si="82"/>
        <v>0</v>
      </c>
      <c r="L333" s="565">
        <f t="shared" si="82"/>
        <v>0</v>
      </c>
      <c r="M333" s="565">
        <f t="shared" si="82"/>
        <v>0</v>
      </c>
      <c r="N333" s="94"/>
      <c r="O333" s="287"/>
      <c r="Q333" s="48"/>
      <c r="R333" s="48"/>
      <c r="S333" s="48"/>
      <c r="T333" s="48"/>
      <c r="U333" s="48"/>
      <c r="V333" s="48"/>
      <c r="W333" s="48"/>
      <c r="X333" s="48"/>
      <c r="Y333" s="48"/>
      <c r="Z333" s="48"/>
      <c r="AA333" s="48"/>
      <c r="AB333" s="48"/>
      <c r="AC333" s="48"/>
      <c r="AD333" s="48"/>
      <c r="AE333" s="48"/>
    </row>
    <row r="334" spans="1:31" outlineLevel="1">
      <c r="A334" s="412">
        <f>ROW()</f>
        <v>334</v>
      </c>
      <c r="B334" s="149">
        <f>$B178</f>
        <v>0</v>
      </c>
      <c r="C334" s="96">
        <f t="shared" ref="C334:C365" si="83">SUM(G334:M334)</f>
        <v>0</v>
      </c>
      <c r="D334" s="96"/>
      <c r="E334" s="96"/>
      <c r="F334" s="96"/>
      <c r="G334" s="565">
        <f>G178*$E178</f>
        <v>0</v>
      </c>
      <c r="H334" s="565">
        <f t="shared" si="82"/>
        <v>0</v>
      </c>
      <c r="I334" s="565">
        <f t="shared" si="82"/>
        <v>0</v>
      </c>
      <c r="J334" s="565">
        <f t="shared" si="82"/>
        <v>0</v>
      </c>
      <c r="K334" s="565">
        <f t="shared" si="82"/>
        <v>0</v>
      </c>
      <c r="L334" s="565">
        <f t="shared" si="82"/>
        <v>0</v>
      </c>
      <c r="M334" s="565">
        <f t="shared" si="82"/>
        <v>0</v>
      </c>
      <c r="N334" s="94"/>
      <c r="O334" s="287"/>
      <c r="Q334" s="48"/>
      <c r="R334" s="48"/>
      <c r="S334" s="48"/>
      <c r="T334" s="48"/>
      <c r="U334" s="48"/>
      <c r="V334" s="48"/>
      <c r="W334" s="48"/>
      <c r="X334" s="48"/>
      <c r="Y334" s="48"/>
      <c r="Z334" s="48"/>
      <c r="AA334" s="48"/>
      <c r="AB334" s="48"/>
      <c r="AC334" s="48"/>
      <c r="AD334" s="48"/>
      <c r="AE334" s="48"/>
    </row>
    <row r="335" spans="1:31" outlineLevel="1">
      <c r="A335" s="412">
        <f>ROW()</f>
        <v>335</v>
      </c>
      <c r="B335" s="149"/>
      <c r="C335" s="96">
        <f t="shared" si="83"/>
        <v>0</v>
      </c>
      <c r="D335" s="96"/>
      <c r="E335" s="96"/>
      <c r="F335" s="96"/>
      <c r="G335" s="1780"/>
      <c r="H335" s="1780"/>
      <c r="I335" s="1780"/>
      <c r="J335" s="1780"/>
      <c r="K335" s="1780"/>
      <c r="L335" s="1780"/>
      <c r="M335" s="1780"/>
      <c r="N335" s="94"/>
      <c r="O335" s="287"/>
      <c r="Q335" s="48"/>
      <c r="R335" s="48"/>
      <c r="S335" s="48"/>
      <c r="T335" s="48"/>
      <c r="U335" s="48"/>
      <c r="V335" s="48"/>
      <c r="W335" s="48"/>
      <c r="X335" s="48"/>
      <c r="Y335" s="48"/>
      <c r="Z335" s="48"/>
      <c r="AA335" s="48"/>
      <c r="AB335" s="48"/>
      <c r="AC335" s="48"/>
      <c r="AD335" s="48"/>
      <c r="AE335" s="48"/>
    </row>
    <row r="336" spans="1:31" outlineLevel="1">
      <c r="A336" s="412">
        <f>ROW()</f>
        <v>336</v>
      </c>
      <c r="B336" s="149">
        <f>$B180</f>
        <v>0</v>
      </c>
      <c r="C336" s="96">
        <f t="shared" si="83"/>
        <v>0</v>
      </c>
      <c r="D336" s="96"/>
      <c r="E336" s="96"/>
      <c r="F336" s="96"/>
      <c r="G336" s="565">
        <f>G180*$E180</f>
        <v>0</v>
      </c>
      <c r="H336" s="565">
        <f t="shared" ref="H336:M340" si="84">(H180*$E180)</f>
        <v>0</v>
      </c>
      <c r="I336" s="565">
        <f t="shared" si="84"/>
        <v>0</v>
      </c>
      <c r="J336" s="565">
        <f t="shared" si="84"/>
        <v>0</v>
      </c>
      <c r="K336" s="565">
        <f t="shared" si="84"/>
        <v>0</v>
      </c>
      <c r="L336" s="565">
        <f t="shared" si="84"/>
        <v>0</v>
      </c>
      <c r="M336" s="565">
        <f t="shared" si="84"/>
        <v>0</v>
      </c>
      <c r="N336" s="94"/>
      <c r="O336" s="287"/>
      <c r="Q336" s="48"/>
      <c r="R336" s="48"/>
      <c r="S336" s="48"/>
      <c r="T336" s="48"/>
      <c r="U336" s="48"/>
      <c r="V336" s="48"/>
      <c r="W336" s="48"/>
      <c r="X336" s="48"/>
      <c r="Y336" s="48"/>
      <c r="Z336" s="48"/>
      <c r="AA336" s="48"/>
      <c r="AB336" s="48"/>
      <c r="AC336" s="48"/>
      <c r="AD336" s="48"/>
      <c r="AE336" s="48"/>
    </row>
    <row r="337" spans="1:31" outlineLevel="1">
      <c r="A337" s="412">
        <f>ROW()</f>
        <v>337</v>
      </c>
      <c r="B337" s="149">
        <f>$B181</f>
        <v>0</v>
      </c>
      <c r="C337" s="96">
        <f t="shared" si="83"/>
        <v>0</v>
      </c>
      <c r="D337" s="96"/>
      <c r="E337" s="96"/>
      <c r="F337" s="96"/>
      <c r="G337" s="565">
        <f>G181*$E181</f>
        <v>0</v>
      </c>
      <c r="H337" s="565">
        <f t="shared" si="84"/>
        <v>0</v>
      </c>
      <c r="I337" s="565">
        <f t="shared" si="84"/>
        <v>0</v>
      </c>
      <c r="J337" s="565">
        <f t="shared" si="84"/>
        <v>0</v>
      </c>
      <c r="K337" s="565">
        <f t="shared" si="84"/>
        <v>0</v>
      </c>
      <c r="L337" s="565">
        <f t="shared" si="84"/>
        <v>0</v>
      </c>
      <c r="M337" s="565">
        <f t="shared" si="84"/>
        <v>0</v>
      </c>
      <c r="N337" s="94"/>
      <c r="O337" s="287"/>
      <c r="Q337" s="48"/>
      <c r="R337" s="48"/>
      <c r="S337" s="48"/>
      <c r="T337" s="48"/>
      <c r="U337" s="48"/>
      <c r="V337" s="48"/>
      <c r="W337" s="48"/>
      <c r="X337" s="48"/>
      <c r="Y337" s="48"/>
      <c r="Z337" s="48"/>
      <c r="AA337" s="48"/>
      <c r="AB337" s="48"/>
      <c r="AC337" s="48"/>
      <c r="AD337" s="48"/>
      <c r="AE337" s="48"/>
    </row>
    <row r="338" spans="1:31" outlineLevel="1">
      <c r="A338" s="412">
        <f>ROW()</f>
        <v>338</v>
      </c>
      <c r="B338" s="149">
        <f>$B182</f>
        <v>0</v>
      </c>
      <c r="C338" s="96">
        <f t="shared" si="83"/>
        <v>0</v>
      </c>
      <c r="D338" s="96"/>
      <c r="E338" s="96"/>
      <c r="F338" s="96"/>
      <c r="G338" s="565">
        <f>G182*$E182</f>
        <v>0</v>
      </c>
      <c r="H338" s="565">
        <f t="shared" si="84"/>
        <v>0</v>
      </c>
      <c r="I338" s="565">
        <f t="shared" si="84"/>
        <v>0</v>
      </c>
      <c r="J338" s="565">
        <f t="shared" si="84"/>
        <v>0</v>
      </c>
      <c r="K338" s="565">
        <f t="shared" si="84"/>
        <v>0</v>
      </c>
      <c r="L338" s="565">
        <f t="shared" si="84"/>
        <v>0</v>
      </c>
      <c r="M338" s="565">
        <f t="shared" si="84"/>
        <v>0</v>
      </c>
      <c r="N338" s="94"/>
      <c r="O338" s="287"/>
      <c r="Q338" s="48"/>
      <c r="R338" s="48"/>
      <c r="S338" s="48"/>
      <c r="T338" s="48"/>
      <c r="U338" s="48"/>
      <c r="V338" s="48"/>
      <c r="W338" s="48"/>
      <c r="X338" s="48"/>
      <c r="Y338" s="48"/>
      <c r="Z338" s="48"/>
      <c r="AA338" s="48"/>
      <c r="AB338" s="48"/>
      <c r="AC338" s="48"/>
      <c r="AD338" s="48"/>
      <c r="AE338" s="48"/>
    </row>
    <row r="339" spans="1:31" outlineLevel="1">
      <c r="A339" s="412">
        <f>ROW()</f>
        <v>339</v>
      </c>
      <c r="B339" s="149">
        <f>$B183</f>
        <v>0</v>
      </c>
      <c r="C339" s="96">
        <f t="shared" si="83"/>
        <v>0</v>
      </c>
      <c r="D339" s="96"/>
      <c r="E339" s="96"/>
      <c r="F339" s="96"/>
      <c r="G339" s="565">
        <f>G183*$E183</f>
        <v>0</v>
      </c>
      <c r="H339" s="565">
        <f t="shared" si="84"/>
        <v>0</v>
      </c>
      <c r="I339" s="565">
        <f t="shared" si="84"/>
        <v>0</v>
      </c>
      <c r="J339" s="565">
        <f t="shared" si="84"/>
        <v>0</v>
      </c>
      <c r="K339" s="565">
        <f t="shared" si="84"/>
        <v>0</v>
      </c>
      <c r="L339" s="565">
        <f t="shared" si="84"/>
        <v>0</v>
      </c>
      <c r="M339" s="565">
        <f t="shared" si="84"/>
        <v>0</v>
      </c>
      <c r="N339" s="94"/>
      <c r="O339" s="287"/>
      <c r="Q339" s="48"/>
      <c r="R339" s="48"/>
      <c r="S339" s="48"/>
      <c r="T339" s="48"/>
      <c r="U339" s="48"/>
      <c r="V339" s="48"/>
      <c r="W339" s="48"/>
      <c r="X339" s="48"/>
      <c r="Y339" s="48"/>
      <c r="Z339" s="48"/>
      <c r="AA339" s="48"/>
      <c r="AB339" s="48"/>
      <c r="AC339" s="48"/>
      <c r="AD339" s="48"/>
      <c r="AE339" s="48"/>
    </row>
    <row r="340" spans="1:31" outlineLevel="1">
      <c r="A340" s="412">
        <f>ROW()</f>
        <v>340</v>
      </c>
      <c r="B340" s="149">
        <f>$B184</f>
        <v>0</v>
      </c>
      <c r="C340" s="96">
        <f t="shared" si="83"/>
        <v>0</v>
      </c>
      <c r="D340" s="96"/>
      <c r="E340" s="96"/>
      <c r="F340" s="96"/>
      <c r="G340" s="565">
        <f>G184*$E184</f>
        <v>0</v>
      </c>
      <c r="H340" s="565">
        <f t="shared" si="84"/>
        <v>0</v>
      </c>
      <c r="I340" s="565">
        <f t="shared" si="84"/>
        <v>0</v>
      </c>
      <c r="J340" s="565">
        <f t="shared" si="84"/>
        <v>0</v>
      </c>
      <c r="K340" s="565">
        <f t="shared" si="84"/>
        <v>0</v>
      </c>
      <c r="L340" s="565">
        <f t="shared" si="84"/>
        <v>0</v>
      </c>
      <c r="M340" s="565">
        <f t="shared" si="84"/>
        <v>0</v>
      </c>
      <c r="N340" s="94"/>
      <c r="O340" s="287"/>
      <c r="Q340" s="48"/>
      <c r="R340" s="48"/>
      <c r="S340" s="48"/>
      <c r="T340" s="48"/>
      <c r="U340" s="48"/>
      <c r="V340" s="48"/>
      <c r="W340" s="48"/>
      <c r="X340" s="48"/>
      <c r="Y340" s="48"/>
      <c r="Z340" s="48"/>
      <c r="AA340" s="48"/>
      <c r="AB340" s="48"/>
      <c r="AC340" s="48"/>
      <c r="AD340" s="48"/>
      <c r="AE340" s="48"/>
    </row>
    <row r="341" spans="1:31" outlineLevel="1">
      <c r="A341" s="412">
        <f>ROW()</f>
        <v>341</v>
      </c>
      <c r="B341" s="149"/>
      <c r="C341" s="96">
        <f t="shared" si="83"/>
        <v>0</v>
      </c>
      <c r="D341" s="96"/>
      <c r="E341" s="96"/>
      <c r="F341" s="96"/>
      <c r="G341" s="1780"/>
      <c r="H341" s="1780"/>
      <c r="I341" s="1780"/>
      <c r="J341" s="1780"/>
      <c r="K341" s="1780"/>
      <c r="L341" s="1780"/>
      <c r="M341" s="1780"/>
      <c r="N341" s="94"/>
      <c r="O341" s="287"/>
      <c r="Q341" s="48"/>
      <c r="R341" s="48"/>
      <c r="S341" s="48"/>
      <c r="T341" s="48"/>
      <c r="U341" s="48"/>
      <c r="V341" s="48"/>
      <c r="W341" s="48"/>
      <c r="X341" s="48"/>
      <c r="Y341" s="48"/>
      <c r="Z341" s="48"/>
      <c r="AA341" s="48"/>
      <c r="AB341" s="48"/>
      <c r="AC341" s="48"/>
      <c r="AD341" s="48"/>
      <c r="AE341" s="48"/>
    </row>
    <row r="342" spans="1:31" outlineLevel="1">
      <c r="A342" s="412">
        <f>ROW()</f>
        <v>342</v>
      </c>
      <c r="B342" s="149">
        <f>$B186</f>
        <v>0</v>
      </c>
      <c r="C342" s="96">
        <f t="shared" si="83"/>
        <v>0</v>
      </c>
      <c r="D342" s="96"/>
      <c r="E342" s="96"/>
      <c r="F342" s="96"/>
      <c r="G342" s="565">
        <f>G186*$E186</f>
        <v>0</v>
      </c>
      <c r="H342" s="565">
        <f t="shared" ref="H342:M346" si="85">(H186*$E186)</f>
        <v>0</v>
      </c>
      <c r="I342" s="565">
        <f t="shared" si="85"/>
        <v>0</v>
      </c>
      <c r="J342" s="565">
        <f t="shared" si="85"/>
        <v>0</v>
      </c>
      <c r="K342" s="565">
        <f t="shared" si="85"/>
        <v>0</v>
      </c>
      <c r="L342" s="565">
        <f t="shared" si="85"/>
        <v>0</v>
      </c>
      <c r="M342" s="565">
        <f t="shared" si="85"/>
        <v>0</v>
      </c>
      <c r="N342" s="94"/>
      <c r="O342" s="287"/>
      <c r="Q342" s="48"/>
      <c r="R342" s="48"/>
      <c r="S342" s="48"/>
      <c r="T342" s="48"/>
      <c r="U342" s="48"/>
      <c r="V342" s="48"/>
      <c r="W342" s="48"/>
      <c r="X342" s="48"/>
      <c r="Y342" s="48"/>
      <c r="Z342" s="48"/>
      <c r="AA342" s="48"/>
      <c r="AB342" s="48"/>
      <c r="AC342" s="48"/>
      <c r="AD342" s="48"/>
      <c r="AE342" s="48"/>
    </row>
    <row r="343" spans="1:31" outlineLevel="1">
      <c r="A343" s="412">
        <f>ROW()</f>
        <v>343</v>
      </c>
      <c r="B343" s="149">
        <f>$B187</f>
        <v>0</v>
      </c>
      <c r="C343" s="96">
        <f t="shared" si="83"/>
        <v>0</v>
      </c>
      <c r="D343" s="96"/>
      <c r="E343" s="96"/>
      <c r="F343" s="96"/>
      <c r="G343" s="565">
        <f>G187*$E187</f>
        <v>0</v>
      </c>
      <c r="H343" s="565">
        <f t="shared" si="85"/>
        <v>0</v>
      </c>
      <c r="I343" s="565">
        <f t="shared" si="85"/>
        <v>0</v>
      </c>
      <c r="J343" s="565">
        <f t="shared" si="85"/>
        <v>0</v>
      </c>
      <c r="K343" s="565">
        <f t="shared" si="85"/>
        <v>0</v>
      </c>
      <c r="L343" s="565">
        <f t="shared" si="85"/>
        <v>0</v>
      </c>
      <c r="M343" s="565">
        <f t="shared" si="85"/>
        <v>0</v>
      </c>
      <c r="N343" s="94"/>
      <c r="O343" s="287"/>
      <c r="Q343" s="48"/>
      <c r="R343" s="48"/>
      <c r="S343" s="48"/>
      <c r="T343" s="48"/>
      <c r="U343" s="48"/>
      <c r="V343" s="48"/>
      <c r="W343" s="48"/>
      <c r="X343" s="48"/>
      <c r="Y343" s="48"/>
      <c r="Z343" s="48"/>
      <c r="AA343" s="48"/>
      <c r="AB343" s="48"/>
      <c r="AC343" s="48"/>
      <c r="AD343" s="48"/>
      <c r="AE343" s="48"/>
    </row>
    <row r="344" spans="1:31" outlineLevel="1">
      <c r="A344" s="412">
        <f>ROW()</f>
        <v>344</v>
      </c>
      <c r="B344" s="149">
        <f>$B188</f>
        <v>0</v>
      </c>
      <c r="C344" s="96">
        <f t="shared" si="83"/>
        <v>0</v>
      </c>
      <c r="D344" s="96"/>
      <c r="E344" s="96"/>
      <c r="F344" s="96"/>
      <c r="G344" s="565">
        <f>G188*$E188</f>
        <v>0</v>
      </c>
      <c r="H344" s="565">
        <f t="shared" si="85"/>
        <v>0</v>
      </c>
      <c r="I344" s="565">
        <f t="shared" si="85"/>
        <v>0</v>
      </c>
      <c r="J344" s="565">
        <f t="shared" si="85"/>
        <v>0</v>
      </c>
      <c r="K344" s="565">
        <f t="shared" si="85"/>
        <v>0</v>
      </c>
      <c r="L344" s="565">
        <f t="shared" si="85"/>
        <v>0</v>
      </c>
      <c r="M344" s="565">
        <f t="shared" si="85"/>
        <v>0</v>
      </c>
      <c r="N344" s="94"/>
      <c r="O344" s="287"/>
      <c r="Q344" s="48"/>
      <c r="R344" s="48"/>
      <c r="S344" s="48"/>
      <c r="T344" s="48"/>
      <c r="U344" s="48"/>
      <c r="V344" s="48"/>
      <c r="W344" s="48"/>
      <c r="X344" s="48"/>
      <c r="Y344" s="48"/>
      <c r="Z344" s="48"/>
      <c r="AA344" s="48"/>
      <c r="AB344" s="48"/>
      <c r="AC344" s="48"/>
      <c r="AD344" s="48"/>
      <c r="AE344" s="48"/>
    </row>
    <row r="345" spans="1:31" outlineLevel="1">
      <c r="A345" s="412">
        <f>ROW()</f>
        <v>345</v>
      </c>
      <c r="B345" s="149">
        <f>$B189</f>
        <v>0</v>
      </c>
      <c r="C345" s="96">
        <f t="shared" si="83"/>
        <v>0</v>
      </c>
      <c r="D345" s="96"/>
      <c r="E345" s="96"/>
      <c r="F345" s="96"/>
      <c r="G345" s="565">
        <f>G189*$E189</f>
        <v>0</v>
      </c>
      <c r="H345" s="565">
        <f t="shared" si="85"/>
        <v>0</v>
      </c>
      <c r="I345" s="565">
        <f t="shared" si="85"/>
        <v>0</v>
      </c>
      <c r="J345" s="565">
        <f t="shared" si="85"/>
        <v>0</v>
      </c>
      <c r="K345" s="565">
        <f t="shared" si="85"/>
        <v>0</v>
      </c>
      <c r="L345" s="565">
        <f t="shared" si="85"/>
        <v>0</v>
      </c>
      <c r="M345" s="565">
        <f t="shared" si="85"/>
        <v>0</v>
      </c>
      <c r="N345" s="94"/>
      <c r="O345" s="287"/>
      <c r="Q345" s="48"/>
      <c r="R345" s="48"/>
      <c r="S345" s="48"/>
      <c r="T345" s="48"/>
      <c r="U345" s="48"/>
      <c r="V345" s="48"/>
      <c r="W345" s="48"/>
      <c r="X345" s="48"/>
      <c r="Y345" s="48"/>
      <c r="Z345" s="48"/>
      <c r="AA345" s="48"/>
      <c r="AB345" s="48"/>
      <c r="AC345" s="48"/>
      <c r="AD345" s="48"/>
      <c r="AE345" s="48"/>
    </row>
    <row r="346" spans="1:31" outlineLevel="1">
      <c r="A346" s="412">
        <f>ROW()</f>
        <v>346</v>
      </c>
      <c r="B346" s="149">
        <f>$B190</f>
        <v>0</v>
      </c>
      <c r="C346" s="96">
        <f t="shared" si="83"/>
        <v>0</v>
      </c>
      <c r="D346" s="96"/>
      <c r="E346" s="96"/>
      <c r="F346" s="96"/>
      <c r="G346" s="565">
        <f>G190*$E190</f>
        <v>0</v>
      </c>
      <c r="H346" s="565">
        <f t="shared" si="85"/>
        <v>0</v>
      </c>
      <c r="I346" s="565">
        <f t="shared" si="85"/>
        <v>0</v>
      </c>
      <c r="J346" s="565">
        <f t="shared" si="85"/>
        <v>0</v>
      </c>
      <c r="K346" s="565">
        <f t="shared" si="85"/>
        <v>0</v>
      </c>
      <c r="L346" s="565">
        <f t="shared" si="85"/>
        <v>0</v>
      </c>
      <c r="M346" s="565">
        <f t="shared" si="85"/>
        <v>0</v>
      </c>
      <c r="N346" s="94"/>
      <c r="O346" s="287"/>
      <c r="Q346" s="48"/>
      <c r="R346" s="48"/>
      <c r="S346" s="48"/>
      <c r="T346" s="48"/>
      <c r="U346" s="48"/>
      <c r="V346" s="48"/>
      <c r="W346" s="48"/>
      <c r="X346" s="48"/>
      <c r="Y346" s="48"/>
      <c r="Z346" s="48"/>
      <c r="AA346" s="48"/>
      <c r="AB346" s="48"/>
      <c r="AC346" s="48"/>
      <c r="AD346" s="48"/>
      <c r="AE346" s="48"/>
    </row>
    <row r="347" spans="1:31" outlineLevel="1">
      <c r="A347" s="412">
        <f>ROW()</f>
        <v>347</v>
      </c>
      <c r="B347" s="149"/>
      <c r="C347" s="96">
        <f t="shared" si="83"/>
        <v>0</v>
      </c>
      <c r="D347" s="96"/>
      <c r="E347" s="96"/>
      <c r="F347" s="96"/>
      <c r="G347" s="1780"/>
      <c r="H347" s="1780"/>
      <c r="I347" s="1780"/>
      <c r="J347" s="1780"/>
      <c r="K347" s="1780"/>
      <c r="L347" s="1780"/>
      <c r="M347" s="1780"/>
      <c r="N347" s="94"/>
      <c r="O347" s="287"/>
      <c r="Q347" s="48"/>
      <c r="R347" s="48"/>
      <c r="S347" s="48"/>
      <c r="T347" s="48"/>
      <c r="U347" s="48"/>
      <c r="V347" s="48"/>
      <c r="W347" s="48"/>
      <c r="X347" s="48"/>
      <c r="Y347" s="48"/>
      <c r="Z347" s="48"/>
      <c r="AA347" s="48"/>
      <c r="AB347" s="48"/>
      <c r="AC347" s="48"/>
      <c r="AD347" s="48"/>
      <c r="AE347" s="48"/>
    </row>
    <row r="348" spans="1:31" outlineLevel="1">
      <c r="A348" s="412">
        <f>ROW()</f>
        <v>348</v>
      </c>
      <c r="B348" s="149">
        <f t="shared" ref="B348:B353" si="86">$B192</f>
        <v>0</v>
      </c>
      <c r="C348" s="96">
        <f t="shared" si="83"/>
        <v>0</v>
      </c>
      <c r="D348" s="96"/>
      <c r="E348" s="96"/>
      <c r="F348" s="96"/>
      <c r="G348" s="565">
        <f t="shared" ref="G348:G353" si="87">G192*$E192</f>
        <v>0</v>
      </c>
      <c r="H348" s="565">
        <f t="shared" ref="H348:M353" si="88">(H192*$E192)</f>
        <v>0</v>
      </c>
      <c r="I348" s="565">
        <f t="shared" si="88"/>
        <v>0</v>
      </c>
      <c r="J348" s="565">
        <f t="shared" si="88"/>
        <v>0</v>
      </c>
      <c r="K348" s="565">
        <f t="shared" si="88"/>
        <v>0</v>
      </c>
      <c r="L348" s="565">
        <f t="shared" si="88"/>
        <v>0</v>
      </c>
      <c r="M348" s="565">
        <f t="shared" si="88"/>
        <v>0</v>
      </c>
      <c r="N348" s="94"/>
      <c r="O348" s="287"/>
      <c r="Q348" s="48"/>
      <c r="R348" s="48"/>
      <c r="S348" s="48"/>
      <c r="T348" s="48"/>
      <c r="U348" s="48"/>
      <c r="V348" s="48"/>
      <c r="W348" s="48"/>
      <c r="X348" s="48"/>
      <c r="Y348" s="48"/>
      <c r="Z348" s="48"/>
      <c r="AA348" s="48"/>
      <c r="AB348" s="48"/>
      <c r="AC348" s="48"/>
      <c r="AD348" s="48"/>
      <c r="AE348" s="48"/>
    </row>
    <row r="349" spans="1:31" outlineLevel="1">
      <c r="A349" s="412">
        <f>ROW()</f>
        <v>349</v>
      </c>
      <c r="B349" s="149">
        <f t="shared" si="86"/>
        <v>0</v>
      </c>
      <c r="C349" s="96">
        <f t="shared" si="83"/>
        <v>0</v>
      </c>
      <c r="D349" s="96"/>
      <c r="E349" s="96"/>
      <c r="F349" s="96"/>
      <c r="G349" s="565">
        <f t="shared" si="87"/>
        <v>0</v>
      </c>
      <c r="H349" s="565">
        <f t="shared" si="88"/>
        <v>0</v>
      </c>
      <c r="I349" s="565">
        <f t="shared" si="88"/>
        <v>0</v>
      </c>
      <c r="J349" s="565">
        <f t="shared" si="88"/>
        <v>0</v>
      </c>
      <c r="K349" s="565">
        <f t="shared" si="88"/>
        <v>0</v>
      </c>
      <c r="L349" s="565">
        <f t="shared" si="88"/>
        <v>0</v>
      </c>
      <c r="M349" s="565">
        <f t="shared" si="88"/>
        <v>0</v>
      </c>
      <c r="N349" s="94"/>
      <c r="O349" s="287"/>
      <c r="Q349" s="48"/>
      <c r="R349" s="48"/>
      <c r="S349" s="48"/>
      <c r="T349" s="48"/>
      <c r="U349" s="48"/>
      <c r="V349" s="48"/>
      <c r="W349" s="48"/>
      <c r="X349" s="48"/>
      <c r="Y349" s="48"/>
      <c r="Z349" s="48"/>
      <c r="AA349" s="48"/>
      <c r="AB349" s="48"/>
      <c r="AC349" s="48"/>
      <c r="AD349" s="48"/>
      <c r="AE349" s="48"/>
    </row>
    <row r="350" spans="1:31" outlineLevel="1">
      <c r="A350" s="412">
        <f>ROW()</f>
        <v>350</v>
      </c>
      <c r="B350" s="149">
        <f t="shared" si="86"/>
        <v>0</v>
      </c>
      <c r="C350" s="96">
        <f t="shared" si="83"/>
        <v>0</v>
      </c>
      <c r="D350" s="96"/>
      <c r="E350" s="96"/>
      <c r="F350" s="96"/>
      <c r="G350" s="565">
        <f t="shared" si="87"/>
        <v>0</v>
      </c>
      <c r="H350" s="565">
        <f t="shared" si="88"/>
        <v>0</v>
      </c>
      <c r="I350" s="565">
        <f t="shared" si="88"/>
        <v>0</v>
      </c>
      <c r="J350" s="565">
        <f t="shared" si="88"/>
        <v>0</v>
      </c>
      <c r="K350" s="565">
        <f t="shared" si="88"/>
        <v>0</v>
      </c>
      <c r="L350" s="565">
        <f t="shared" si="88"/>
        <v>0</v>
      </c>
      <c r="M350" s="565">
        <f t="shared" si="88"/>
        <v>0</v>
      </c>
      <c r="N350" s="94"/>
      <c r="O350" s="287"/>
      <c r="Q350" s="48"/>
      <c r="R350" s="48"/>
      <c r="S350" s="48"/>
      <c r="T350" s="48"/>
      <c r="U350" s="48"/>
      <c r="V350" s="48"/>
      <c r="W350" s="48"/>
      <c r="X350" s="48"/>
      <c r="Y350" s="48"/>
      <c r="Z350" s="48"/>
      <c r="AA350" s="48"/>
      <c r="AB350" s="48"/>
      <c r="AC350" s="48"/>
      <c r="AD350" s="48"/>
      <c r="AE350" s="48"/>
    </row>
    <row r="351" spans="1:31" outlineLevel="1">
      <c r="A351" s="412">
        <f>ROW()</f>
        <v>351</v>
      </c>
      <c r="B351" s="149">
        <f t="shared" si="86"/>
        <v>0</v>
      </c>
      <c r="C351" s="96">
        <f t="shared" si="83"/>
        <v>0</v>
      </c>
      <c r="D351" s="96"/>
      <c r="E351" s="96"/>
      <c r="F351" s="96"/>
      <c r="G351" s="565">
        <f t="shared" si="87"/>
        <v>0</v>
      </c>
      <c r="H351" s="565">
        <f t="shared" si="88"/>
        <v>0</v>
      </c>
      <c r="I351" s="565">
        <f t="shared" si="88"/>
        <v>0</v>
      </c>
      <c r="J351" s="565">
        <f t="shared" si="88"/>
        <v>0</v>
      </c>
      <c r="K351" s="565">
        <f t="shared" si="88"/>
        <v>0</v>
      </c>
      <c r="L351" s="565">
        <f t="shared" si="88"/>
        <v>0</v>
      </c>
      <c r="M351" s="565">
        <f t="shared" si="88"/>
        <v>0</v>
      </c>
      <c r="N351" s="94"/>
      <c r="O351" s="287"/>
      <c r="Q351" s="48"/>
      <c r="R351" s="48"/>
      <c r="S351" s="48"/>
      <c r="T351" s="48"/>
      <c r="U351" s="48"/>
      <c r="V351" s="48"/>
      <c r="W351" s="48"/>
      <c r="X351" s="48"/>
      <c r="Y351" s="48"/>
      <c r="Z351" s="48"/>
      <c r="AA351" s="48"/>
      <c r="AB351" s="48"/>
      <c r="AC351" s="48"/>
      <c r="AD351" s="48"/>
      <c r="AE351" s="48"/>
    </row>
    <row r="352" spans="1:31" outlineLevel="1">
      <c r="A352" s="412">
        <f>ROW()</f>
        <v>352</v>
      </c>
      <c r="B352" s="149">
        <f t="shared" si="86"/>
        <v>0</v>
      </c>
      <c r="C352" s="96">
        <f t="shared" si="83"/>
        <v>0</v>
      </c>
      <c r="D352" s="96"/>
      <c r="E352" s="96"/>
      <c r="F352" s="96"/>
      <c r="G352" s="565">
        <f t="shared" si="87"/>
        <v>0</v>
      </c>
      <c r="H352" s="565">
        <f t="shared" si="88"/>
        <v>0</v>
      </c>
      <c r="I352" s="565">
        <f t="shared" si="88"/>
        <v>0</v>
      </c>
      <c r="J352" s="565">
        <f t="shared" si="88"/>
        <v>0</v>
      </c>
      <c r="K352" s="565">
        <f t="shared" si="88"/>
        <v>0</v>
      </c>
      <c r="L352" s="565">
        <f t="shared" si="88"/>
        <v>0</v>
      </c>
      <c r="M352" s="565">
        <f t="shared" si="88"/>
        <v>0</v>
      </c>
      <c r="N352" s="94"/>
      <c r="O352" s="287"/>
      <c r="Q352" s="48"/>
      <c r="R352" s="48"/>
      <c r="S352" s="48"/>
      <c r="T352" s="48"/>
      <c r="U352" s="48"/>
      <c r="V352" s="48"/>
      <c r="W352" s="48"/>
      <c r="X352" s="48"/>
      <c r="Y352" s="48"/>
      <c r="Z352" s="48"/>
      <c r="AA352" s="48"/>
      <c r="AB352" s="48"/>
      <c r="AC352" s="48"/>
      <c r="AD352" s="48"/>
      <c r="AE352" s="48"/>
    </row>
    <row r="353" spans="1:31" outlineLevel="1">
      <c r="A353" s="412">
        <f>ROW()</f>
        <v>353</v>
      </c>
      <c r="B353" s="149">
        <f t="shared" si="86"/>
        <v>0</v>
      </c>
      <c r="C353" s="96">
        <f t="shared" si="83"/>
        <v>0</v>
      </c>
      <c r="D353" s="96"/>
      <c r="E353" s="96"/>
      <c r="F353" s="96"/>
      <c r="G353" s="565">
        <f t="shared" si="87"/>
        <v>0</v>
      </c>
      <c r="H353" s="565">
        <f t="shared" si="88"/>
        <v>0</v>
      </c>
      <c r="I353" s="565">
        <f t="shared" si="88"/>
        <v>0</v>
      </c>
      <c r="J353" s="565">
        <f t="shared" si="88"/>
        <v>0</v>
      </c>
      <c r="K353" s="565">
        <f t="shared" si="88"/>
        <v>0</v>
      </c>
      <c r="L353" s="565">
        <f t="shared" si="88"/>
        <v>0</v>
      </c>
      <c r="M353" s="565">
        <f t="shared" si="88"/>
        <v>0</v>
      </c>
      <c r="N353" s="94"/>
      <c r="O353" s="287"/>
      <c r="Q353" s="48"/>
      <c r="R353" s="48"/>
      <c r="S353" s="48"/>
      <c r="T353" s="48"/>
      <c r="U353" s="48"/>
      <c r="V353" s="48"/>
      <c r="W353" s="48"/>
      <c r="X353" s="48"/>
      <c r="Y353" s="48"/>
      <c r="Z353" s="48"/>
      <c r="AA353" s="48"/>
      <c r="AB353" s="48"/>
      <c r="AC353" s="48"/>
      <c r="AD353" s="48"/>
      <c r="AE353" s="48"/>
    </row>
    <row r="354" spans="1:31" outlineLevel="1">
      <c r="A354" s="412">
        <f>ROW()</f>
        <v>354</v>
      </c>
      <c r="B354" s="149"/>
      <c r="C354" s="96">
        <f t="shared" si="83"/>
        <v>0</v>
      </c>
      <c r="D354" s="96"/>
      <c r="E354" s="96"/>
      <c r="F354" s="96"/>
      <c r="G354" s="1780"/>
      <c r="H354" s="1780"/>
      <c r="I354" s="1780"/>
      <c r="J354" s="1780"/>
      <c r="K354" s="1780"/>
      <c r="L354" s="1780"/>
      <c r="M354" s="1780"/>
      <c r="N354" s="94"/>
      <c r="O354" s="287"/>
      <c r="Q354" s="48"/>
      <c r="R354" s="48"/>
      <c r="S354" s="48"/>
      <c r="T354" s="48"/>
      <c r="U354" s="48"/>
      <c r="V354" s="48"/>
      <c r="W354" s="48"/>
      <c r="X354" s="48"/>
      <c r="Y354" s="48"/>
      <c r="Z354" s="48"/>
      <c r="AA354" s="48"/>
      <c r="AB354" s="48"/>
      <c r="AC354" s="48"/>
      <c r="AD354" s="48"/>
      <c r="AE354" s="48"/>
    </row>
    <row r="355" spans="1:31" outlineLevel="1">
      <c r="A355" s="412">
        <f>ROW()</f>
        <v>355</v>
      </c>
      <c r="B355" s="149">
        <f>$B199</f>
        <v>0</v>
      </c>
      <c r="C355" s="96">
        <f t="shared" si="83"/>
        <v>0</v>
      </c>
      <c r="D355" s="96"/>
      <c r="E355" s="96"/>
      <c r="F355" s="96"/>
      <c r="G355" s="565">
        <f>G199*$E199</f>
        <v>0</v>
      </c>
      <c r="H355" s="565">
        <f t="shared" ref="H355:M359" si="89">(H199*$E199)</f>
        <v>0</v>
      </c>
      <c r="I355" s="565">
        <f t="shared" si="89"/>
        <v>0</v>
      </c>
      <c r="J355" s="565">
        <f t="shared" si="89"/>
        <v>0</v>
      </c>
      <c r="K355" s="565">
        <f t="shared" si="89"/>
        <v>0</v>
      </c>
      <c r="L355" s="565">
        <f t="shared" si="89"/>
        <v>0</v>
      </c>
      <c r="M355" s="565">
        <f t="shared" si="89"/>
        <v>0</v>
      </c>
      <c r="N355" s="94"/>
      <c r="O355" s="287"/>
      <c r="Q355" s="48"/>
      <c r="R355" s="48"/>
      <c r="S355" s="48"/>
      <c r="T355" s="48"/>
      <c r="U355" s="48"/>
      <c r="V355" s="48"/>
      <c r="W355" s="48"/>
      <c r="X355" s="48"/>
      <c r="Y355" s="48"/>
      <c r="Z355" s="48"/>
      <c r="AA355" s="48"/>
      <c r="AB355" s="48"/>
      <c r="AC355" s="48"/>
      <c r="AD355" s="48"/>
      <c r="AE355" s="48"/>
    </row>
    <row r="356" spans="1:31" outlineLevel="1">
      <c r="A356" s="412">
        <f>ROW()</f>
        <v>356</v>
      </c>
      <c r="B356" s="149">
        <f>$B$200</f>
        <v>0</v>
      </c>
      <c r="C356" s="96">
        <f t="shared" si="83"/>
        <v>0</v>
      </c>
      <c r="D356" s="96"/>
      <c r="E356" s="96"/>
      <c r="F356" s="96"/>
      <c r="G356" s="565">
        <f>G200*$E200</f>
        <v>0</v>
      </c>
      <c r="H356" s="565">
        <f t="shared" si="89"/>
        <v>0</v>
      </c>
      <c r="I356" s="565">
        <f t="shared" si="89"/>
        <v>0</v>
      </c>
      <c r="J356" s="565">
        <f t="shared" si="89"/>
        <v>0</v>
      </c>
      <c r="K356" s="565">
        <f t="shared" si="89"/>
        <v>0</v>
      </c>
      <c r="L356" s="565">
        <f t="shared" si="89"/>
        <v>0</v>
      </c>
      <c r="M356" s="565">
        <f t="shared" si="89"/>
        <v>0</v>
      </c>
      <c r="N356" s="94"/>
      <c r="O356" s="287"/>
      <c r="Q356" s="48"/>
      <c r="R356" s="48"/>
      <c r="S356" s="48"/>
      <c r="T356" s="48"/>
      <c r="U356" s="48"/>
      <c r="V356" s="48"/>
      <c r="W356" s="48"/>
      <c r="X356" s="48"/>
      <c r="Y356" s="48"/>
      <c r="Z356" s="48"/>
      <c r="AA356" s="48"/>
      <c r="AB356" s="48"/>
      <c r="AC356" s="48"/>
      <c r="AD356" s="48"/>
      <c r="AE356" s="48"/>
    </row>
    <row r="357" spans="1:31" outlineLevel="1">
      <c r="A357" s="412">
        <f>ROW()</f>
        <v>357</v>
      </c>
      <c r="B357" s="149">
        <f>$B$201</f>
        <v>0</v>
      </c>
      <c r="C357" s="96">
        <f t="shared" si="83"/>
        <v>0</v>
      </c>
      <c r="D357" s="96"/>
      <c r="E357" s="96"/>
      <c r="F357" s="96"/>
      <c r="G357" s="565">
        <f>G201*$E201</f>
        <v>0</v>
      </c>
      <c r="H357" s="565">
        <f t="shared" si="89"/>
        <v>0</v>
      </c>
      <c r="I357" s="565">
        <f t="shared" si="89"/>
        <v>0</v>
      </c>
      <c r="J357" s="565">
        <f t="shared" si="89"/>
        <v>0</v>
      </c>
      <c r="K357" s="565">
        <f t="shared" si="89"/>
        <v>0</v>
      </c>
      <c r="L357" s="565">
        <f t="shared" si="89"/>
        <v>0</v>
      </c>
      <c r="M357" s="565">
        <f t="shared" si="89"/>
        <v>0</v>
      </c>
      <c r="N357" s="94"/>
      <c r="O357" s="287"/>
      <c r="Q357" s="48"/>
      <c r="R357" s="48"/>
      <c r="S357" s="48"/>
      <c r="T357" s="48"/>
      <c r="U357" s="48"/>
      <c r="V357" s="48"/>
      <c r="W357" s="48"/>
      <c r="X357" s="48"/>
      <c r="Y357" s="48"/>
      <c r="Z357" s="48"/>
      <c r="AA357" s="48"/>
      <c r="AB357" s="48"/>
      <c r="AC357" s="48"/>
      <c r="AD357" s="48"/>
      <c r="AE357" s="48"/>
    </row>
    <row r="358" spans="1:31" outlineLevel="1">
      <c r="A358" s="412">
        <f>ROW()</f>
        <v>358</v>
      </c>
      <c r="B358" s="149">
        <f>$B$202</f>
        <v>0</v>
      </c>
      <c r="C358" s="96">
        <f t="shared" si="83"/>
        <v>0</v>
      </c>
      <c r="D358" s="96"/>
      <c r="E358" s="96"/>
      <c r="F358" s="96"/>
      <c r="G358" s="565">
        <f>G202*$E202</f>
        <v>0</v>
      </c>
      <c r="H358" s="565">
        <f t="shared" si="89"/>
        <v>0</v>
      </c>
      <c r="I358" s="565">
        <f t="shared" si="89"/>
        <v>0</v>
      </c>
      <c r="J358" s="565">
        <f t="shared" si="89"/>
        <v>0</v>
      </c>
      <c r="K358" s="565">
        <f t="shared" si="89"/>
        <v>0</v>
      </c>
      <c r="L358" s="565">
        <f t="shared" si="89"/>
        <v>0</v>
      </c>
      <c r="M358" s="565">
        <f t="shared" si="89"/>
        <v>0</v>
      </c>
      <c r="N358" s="94"/>
      <c r="O358" s="287"/>
      <c r="Q358" s="48"/>
      <c r="R358" s="48"/>
      <c r="S358" s="48"/>
      <c r="T358" s="48"/>
      <c r="U358" s="48"/>
      <c r="V358" s="48"/>
      <c r="W358" s="48"/>
      <c r="X358" s="48"/>
      <c r="Y358" s="48"/>
      <c r="Z358" s="48"/>
      <c r="AA358" s="48"/>
      <c r="AB358" s="48"/>
      <c r="AC358" s="48"/>
      <c r="AD358" s="48"/>
      <c r="AE358" s="48"/>
    </row>
    <row r="359" spans="1:31" outlineLevel="1">
      <c r="A359" s="412">
        <f>ROW()</f>
        <v>359</v>
      </c>
      <c r="B359" s="149">
        <f>$B$203</f>
        <v>0</v>
      </c>
      <c r="C359" s="96">
        <f t="shared" si="83"/>
        <v>0</v>
      </c>
      <c r="D359" s="96"/>
      <c r="E359" s="96"/>
      <c r="F359" s="96"/>
      <c r="G359" s="565">
        <f>G203*$E203</f>
        <v>0</v>
      </c>
      <c r="H359" s="565">
        <f t="shared" si="89"/>
        <v>0</v>
      </c>
      <c r="I359" s="565">
        <f t="shared" si="89"/>
        <v>0</v>
      </c>
      <c r="J359" s="565">
        <f t="shared" si="89"/>
        <v>0</v>
      </c>
      <c r="K359" s="565">
        <f t="shared" si="89"/>
        <v>0</v>
      </c>
      <c r="L359" s="565">
        <f t="shared" si="89"/>
        <v>0</v>
      </c>
      <c r="M359" s="565">
        <f t="shared" si="89"/>
        <v>0</v>
      </c>
      <c r="N359" s="94"/>
      <c r="O359" s="287"/>
      <c r="Q359" s="48"/>
      <c r="R359" s="48"/>
      <c r="S359" s="48"/>
      <c r="T359" s="48"/>
      <c r="U359" s="48"/>
      <c r="V359" s="48"/>
      <c r="W359" s="48"/>
      <c r="X359" s="48"/>
      <c r="Y359" s="48"/>
      <c r="Z359" s="48"/>
      <c r="AA359" s="48"/>
      <c r="AB359" s="48"/>
      <c r="AC359" s="48"/>
      <c r="AD359" s="48"/>
      <c r="AE359" s="48"/>
    </row>
    <row r="360" spans="1:31" outlineLevel="1">
      <c r="A360" s="412">
        <f>ROW()</f>
        <v>360</v>
      </c>
      <c r="B360" s="149"/>
      <c r="C360" s="96">
        <f t="shared" si="83"/>
        <v>0</v>
      </c>
      <c r="D360" s="96"/>
      <c r="E360" s="96"/>
      <c r="F360" s="96"/>
      <c r="G360" s="1780"/>
      <c r="H360" s="1780"/>
      <c r="I360" s="1780"/>
      <c r="J360" s="1780"/>
      <c r="K360" s="1780"/>
      <c r="L360" s="1780"/>
      <c r="M360" s="1780"/>
      <c r="N360" s="94"/>
      <c r="O360" s="287"/>
      <c r="Q360" s="48"/>
      <c r="R360" s="48"/>
      <c r="S360" s="48"/>
      <c r="T360" s="48"/>
      <c r="U360" s="48"/>
      <c r="V360" s="48"/>
      <c r="W360" s="48"/>
      <c r="X360" s="48"/>
      <c r="Y360" s="48"/>
      <c r="Z360" s="48"/>
      <c r="AA360" s="48"/>
      <c r="AB360" s="48"/>
      <c r="AC360" s="48"/>
      <c r="AD360" s="48"/>
      <c r="AE360" s="48"/>
    </row>
    <row r="361" spans="1:31" outlineLevel="1">
      <c r="A361" s="412">
        <f>ROW()</f>
        <v>361</v>
      </c>
      <c r="B361" s="149">
        <f>$B$205</f>
        <v>0</v>
      </c>
      <c r="C361" s="96">
        <f t="shared" si="83"/>
        <v>0</v>
      </c>
      <c r="D361" s="96"/>
      <c r="E361" s="96"/>
      <c r="F361" s="96"/>
      <c r="G361" s="565">
        <f>G205*$E205</f>
        <v>0</v>
      </c>
      <c r="H361" s="565">
        <f t="shared" ref="H361:M365" si="90">(H205*$E205)</f>
        <v>0</v>
      </c>
      <c r="I361" s="565">
        <f t="shared" si="90"/>
        <v>0</v>
      </c>
      <c r="J361" s="565">
        <f t="shared" si="90"/>
        <v>0</v>
      </c>
      <c r="K361" s="565">
        <f t="shared" si="90"/>
        <v>0</v>
      </c>
      <c r="L361" s="565">
        <f t="shared" si="90"/>
        <v>0</v>
      </c>
      <c r="M361" s="565">
        <f t="shared" si="90"/>
        <v>0</v>
      </c>
      <c r="N361" s="94"/>
      <c r="O361" s="287"/>
      <c r="Q361" s="48"/>
      <c r="R361" s="48"/>
      <c r="S361" s="48"/>
      <c r="T361" s="48"/>
      <c r="U361" s="48"/>
      <c r="V361" s="48"/>
      <c r="W361" s="48"/>
      <c r="X361" s="48"/>
      <c r="Y361" s="48"/>
      <c r="Z361" s="48"/>
      <c r="AA361" s="48"/>
      <c r="AB361" s="48"/>
      <c r="AC361" s="48"/>
      <c r="AD361" s="48"/>
      <c r="AE361" s="48"/>
    </row>
    <row r="362" spans="1:31" outlineLevel="1">
      <c r="A362" s="412">
        <f>ROW()</f>
        <v>362</v>
      </c>
      <c r="B362" s="149">
        <f>$B$206</f>
        <v>0</v>
      </c>
      <c r="C362" s="96">
        <f t="shared" si="83"/>
        <v>0</v>
      </c>
      <c r="D362" s="96"/>
      <c r="E362" s="96"/>
      <c r="F362" s="96"/>
      <c r="G362" s="565">
        <f>G206*$E206</f>
        <v>0</v>
      </c>
      <c r="H362" s="565">
        <f t="shared" si="90"/>
        <v>0</v>
      </c>
      <c r="I362" s="565">
        <f t="shared" si="90"/>
        <v>0</v>
      </c>
      <c r="J362" s="565">
        <f t="shared" si="90"/>
        <v>0</v>
      </c>
      <c r="K362" s="565">
        <f t="shared" si="90"/>
        <v>0</v>
      </c>
      <c r="L362" s="565">
        <f t="shared" si="90"/>
        <v>0</v>
      </c>
      <c r="M362" s="565">
        <f t="shared" si="90"/>
        <v>0</v>
      </c>
      <c r="N362" s="94"/>
      <c r="O362" s="287"/>
      <c r="Q362" s="48"/>
      <c r="R362" s="48"/>
      <c r="S362" s="48"/>
      <c r="T362" s="48"/>
      <c r="U362" s="48"/>
      <c r="V362" s="48"/>
      <c r="W362" s="48"/>
      <c r="X362" s="48"/>
      <c r="Y362" s="48"/>
      <c r="Z362" s="48"/>
      <c r="AA362" s="48"/>
      <c r="AB362" s="48"/>
      <c r="AC362" s="48"/>
      <c r="AD362" s="48"/>
      <c r="AE362" s="48"/>
    </row>
    <row r="363" spans="1:31" outlineLevel="1">
      <c r="A363" s="412">
        <f>ROW()</f>
        <v>363</v>
      </c>
      <c r="B363" s="149">
        <f>$B$207</f>
        <v>0</v>
      </c>
      <c r="C363" s="96">
        <f t="shared" si="83"/>
        <v>0</v>
      </c>
      <c r="D363" s="96"/>
      <c r="E363" s="96"/>
      <c r="F363" s="96"/>
      <c r="G363" s="565">
        <f>G207*$E207</f>
        <v>0</v>
      </c>
      <c r="H363" s="565">
        <f t="shared" si="90"/>
        <v>0</v>
      </c>
      <c r="I363" s="565">
        <f t="shared" si="90"/>
        <v>0</v>
      </c>
      <c r="J363" s="565">
        <f t="shared" si="90"/>
        <v>0</v>
      </c>
      <c r="K363" s="565">
        <f t="shared" si="90"/>
        <v>0</v>
      </c>
      <c r="L363" s="565">
        <f t="shared" si="90"/>
        <v>0</v>
      </c>
      <c r="M363" s="565">
        <f t="shared" si="90"/>
        <v>0</v>
      </c>
      <c r="N363" s="94"/>
      <c r="O363" s="287"/>
      <c r="Q363" s="48"/>
      <c r="R363" s="48"/>
      <c r="S363" s="48"/>
      <c r="T363" s="48"/>
      <c r="U363" s="48"/>
      <c r="V363" s="48"/>
      <c r="W363" s="48"/>
      <c r="X363" s="48"/>
      <c r="Y363" s="48"/>
      <c r="Z363" s="48"/>
      <c r="AA363" s="48"/>
      <c r="AB363" s="48"/>
      <c r="AC363" s="48"/>
      <c r="AD363" s="48"/>
      <c r="AE363" s="48"/>
    </row>
    <row r="364" spans="1:31" outlineLevel="1">
      <c r="A364" s="412">
        <f>ROW()</f>
        <v>364</v>
      </c>
      <c r="B364" s="149">
        <f>$B$208</f>
        <v>0</v>
      </c>
      <c r="C364" s="96">
        <f t="shared" si="83"/>
        <v>0</v>
      </c>
      <c r="D364" s="96"/>
      <c r="E364" s="96"/>
      <c r="F364" s="96"/>
      <c r="G364" s="565">
        <f>G208*$E208</f>
        <v>0</v>
      </c>
      <c r="H364" s="565">
        <f t="shared" si="90"/>
        <v>0</v>
      </c>
      <c r="I364" s="565">
        <f t="shared" si="90"/>
        <v>0</v>
      </c>
      <c r="J364" s="565">
        <f t="shared" si="90"/>
        <v>0</v>
      </c>
      <c r="K364" s="565">
        <f t="shared" si="90"/>
        <v>0</v>
      </c>
      <c r="L364" s="565">
        <f t="shared" si="90"/>
        <v>0</v>
      </c>
      <c r="M364" s="565">
        <f t="shared" si="90"/>
        <v>0</v>
      </c>
      <c r="N364" s="94"/>
      <c r="O364" s="287"/>
      <c r="Q364" s="48"/>
      <c r="R364" s="48"/>
      <c r="S364" s="48"/>
      <c r="T364" s="48"/>
      <c r="U364" s="48"/>
      <c r="V364" s="48"/>
      <c r="W364" s="48"/>
      <c r="X364" s="48"/>
      <c r="Y364" s="48"/>
      <c r="Z364" s="48"/>
      <c r="AA364" s="48"/>
      <c r="AB364" s="48"/>
      <c r="AC364" s="48"/>
      <c r="AD364" s="48"/>
      <c r="AE364" s="48"/>
    </row>
    <row r="365" spans="1:31" outlineLevel="1">
      <c r="A365" s="412">
        <f>ROW()</f>
        <v>365</v>
      </c>
      <c r="B365" s="149">
        <f>$B$209</f>
        <v>0</v>
      </c>
      <c r="C365" s="96">
        <f t="shared" si="83"/>
        <v>0</v>
      </c>
      <c r="D365" s="96"/>
      <c r="E365" s="96"/>
      <c r="F365" s="96"/>
      <c r="G365" s="565">
        <f>G209*$E209</f>
        <v>0</v>
      </c>
      <c r="H365" s="565">
        <f t="shared" si="90"/>
        <v>0</v>
      </c>
      <c r="I365" s="565">
        <f t="shared" si="90"/>
        <v>0</v>
      </c>
      <c r="J365" s="565">
        <f t="shared" si="90"/>
        <v>0</v>
      </c>
      <c r="K365" s="565">
        <f t="shared" si="90"/>
        <v>0</v>
      </c>
      <c r="L365" s="565">
        <f t="shared" si="90"/>
        <v>0</v>
      </c>
      <c r="M365" s="565">
        <f t="shared" si="90"/>
        <v>0</v>
      </c>
      <c r="N365" s="94"/>
      <c r="O365" s="287"/>
      <c r="Q365" s="48"/>
      <c r="R365" s="48"/>
      <c r="S365" s="48"/>
      <c r="T365" s="48"/>
      <c r="U365" s="48"/>
      <c r="V365" s="48"/>
      <c r="W365" s="48"/>
      <c r="X365" s="48"/>
      <c r="Y365" s="48"/>
      <c r="Z365" s="48"/>
      <c r="AA365" s="48"/>
      <c r="AB365" s="48"/>
      <c r="AC365" s="48"/>
      <c r="AD365" s="48"/>
      <c r="AE365" s="48"/>
    </row>
    <row r="366" spans="1:31" outlineLevel="1">
      <c r="A366" s="412">
        <f>ROW()</f>
        <v>366</v>
      </c>
      <c r="B366" s="149"/>
      <c r="C366" s="96">
        <f t="shared" ref="C366:C395" si="91">SUM(G366:M366)</f>
        <v>0</v>
      </c>
      <c r="D366" s="96"/>
      <c r="E366" s="96"/>
      <c r="F366" s="96"/>
      <c r="G366" s="1780"/>
      <c r="H366" s="1780"/>
      <c r="I366" s="1780"/>
      <c r="J366" s="1780"/>
      <c r="K366" s="1780"/>
      <c r="L366" s="1780"/>
      <c r="M366" s="1780"/>
      <c r="N366" s="94"/>
      <c r="O366" s="287"/>
      <c r="Q366" s="48"/>
      <c r="R366" s="48"/>
      <c r="S366" s="48"/>
      <c r="T366" s="48"/>
      <c r="U366" s="48"/>
      <c r="V366" s="48"/>
      <c r="W366" s="48"/>
      <c r="X366" s="48"/>
      <c r="Y366" s="48"/>
      <c r="Z366" s="48"/>
      <c r="AA366" s="48"/>
      <c r="AB366" s="48"/>
      <c r="AC366" s="48"/>
      <c r="AD366" s="48"/>
      <c r="AE366" s="48"/>
    </row>
    <row r="367" spans="1:31" outlineLevel="1">
      <c r="A367" s="412">
        <f>ROW()</f>
        <v>367</v>
      </c>
      <c r="B367" s="149">
        <f>$B$211</f>
        <v>0</v>
      </c>
      <c r="C367" s="96">
        <f t="shared" si="91"/>
        <v>0</v>
      </c>
      <c r="D367" s="96"/>
      <c r="E367" s="96"/>
      <c r="F367" s="96"/>
      <c r="G367" s="565">
        <f>G211*$E211</f>
        <v>0</v>
      </c>
      <c r="H367" s="565">
        <f t="shared" ref="H367:M371" si="92">(H211*$E211)</f>
        <v>0</v>
      </c>
      <c r="I367" s="565">
        <f t="shared" si="92"/>
        <v>0</v>
      </c>
      <c r="J367" s="565">
        <f t="shared" si="92"/>
        <v>0</v>
      </c>
      <c r="K367" s="565">
        <f t="shared" si="92"/>
        <v>0</v>
      </c>
      <c r="L367" s="565">
        <f t="shared" si="92"/>
        <v>0</v>
      </c>
      <c r="M367" s="565">
        <f t="shared" si="92"/>
        <v>0</v>
      </c>
      <c r="N367" s="94"/>
      <c r="O367" s="287"/>
      <c r="Q367" s="48"/>
      <c r="R367" s="48"/>
      <c r="S367" s="48"/>
      <c r="T367" s="48"/>
      <c r="U367" s="48"/>
      <c r="V367" s="48"/>
      <c r="W367" s="48"/>
      <c r="X367" s="48"/>
      <c r="Y367" s="48"/>
      <c r="Z367" s="48"/>
      <c r="AA367" s="48"/>
      <c r="AB367" s="48"/>
      <c r="AC367" s="48"/>
      <c r="AD367" s="48"/>
      <c r="AE367" s="48"/>
    </row>
    <row r="368" spans="1:31" outlineLevel="1">
      <c r="A368" s="412">
        <f>ROW()</f>
        <v>368</v>
      </c>
      <c r="B368" s="149">
        <f>$B$212</f>
        <v>0</v>
      </c>
      <c r="C368" s="96">
        <f t="shared" si="91"/>
        <v>0</v>
      </c>
      <c r="D368" s="96"/>
      <c r="E368" s="96"/>
      <c r="F368" s="96"/>
      <c r="G368" s="565">
        <f>G212*$E212</f>
        <v>0</v>
      </c>
      <c r="H368" s="565">
        <f t="shared" si="92"/>
        <v>0</v>
      </c>
      <c r="I368" s="565">
        <f t="shared" si="92"/>
        <v>0</v>
      </c>
      <c r="J368" s="565">
        <f t="shared" si="92"/>
        <v>0</v>
      </c>
      <c r="K368" s="565">
        <f t="shared" si="92"/>
        <v>0</v>
      </c>
      <c r="L368" s="565">
        <f t="shared" si="92"/>
        <v>0</v>
      </c>
      <c r="M368" s="565">
        <f t="shared" si="92"/>
        <v>0</v>
      </c>
      <c r="N368" s="94"/>
      <c r="O368" s="287"/>
      <c r="Q368" s="48"/>
      <c r="R368" s="48"/>
      <c r="S368" s="48"/>
      <c r="T368" s="48"/>
      <c r="U368" s="48"/>
      <c r="V368" s="48"/>
      <c r="W368" s="48"/>
      <c r="X368" s="48"/>
      <c r="Y368" s="48"/>
      <c r="Z368" s="48"/>
      <c r="AA368" s="48"/>
      <c r="AB368" s="48"/>
      <c r="AC368" s="48"/>
      <c r="AD368" s="48"/>
      <c r="AE368" s="48"/>
    </row>
    <row r="369" spans="1:31" outlineLevel="1">
      <c r="A369" s="412">
        <f>ROW()</f>
        <v>369</v>
      </c>
      <c r="B369" s="149">
        <f>$B$213</f>
        <v>0</v>
      </c>
      <c r="C369" s="96">
        <f t="shared" si="91"/>
        <v>0</v>
      </c>
      <c r="D369" s="96"/>
      <c r="E369" s="96"/>
      <c r="F369" s="96"/>
      <c r="G369" s="565">
        <f>G213*$E213</f>
        <v>0</v>
      </c>
      <c r="H369" s="565">
        <f t="shared" si="92"/>
        <v>0</v>
      </c>
      <c r="I369" s="565">
        <f t="shared" si="92"/>
        <v>0</v>
      </c>
      <c r="J369" s="565">
        <f t="shared" si="92"/>
        <v>0</v>
      </c>
      <c r="K369" s="565">
        <f t="shared" si="92"/>
        <v>0</v>
      </c>
      <c r="L369" s="565">
        <f t="shared" si="92"/>
        <v>0</v>
      </c>
      <c r="M369" s="565">
        <f t="shared" si="92"/>
        <v>0</v>
      </c>
      <c r="N369" s="94"/>
      <c r="O369" s="287"/>
      <c r="Q369" s="48"/>
      <c r="R369" s="48"/>
      <c r="S369" s="48"/>
      <c r="T369" s="48"/>
      <c r="U369" s="48"/>
      <c r="V369" s="48"/>
      <c r="W369" s="48"/>
      <c r="X369" s="48"/>
      <c r="Y369" s="48"/>
      <c r="Z369" s="48"/>
      <c r="AA369" s="48"/>
      <c r="AB369" s="48"/>
      <c r="AC369" s="48"/>
      <c r="AD369" s="48"/>
      <c r="AE369" s="48"/>
    </row>
    <row r="370" spans="1:31" outlineLevel="1">
      <c r="A370" s="412">
        <f>ROW()</f>
        <v>370</v>
      </c>
      <c r="B370" s="149">
        <f>$B$214</f>
        <v>0</v>
      </c>
      <c r="C370" s="96">
        <f t="shared" si="91"/>
        <v>0</v>
      </c>
      <c r="D370" s="96"/>
      <c r="E370" s="96"/>
      <c r="F370" s="96"/>
      <c r="G370" s="565">
        <f>G214*$E214</f>
        <v>0</v>
      </c>
      <c r="H370" s="565">
        <f t="shared" si="92"/>
        <v>0</v>
      </c>
      <c r="I370" s="565">
        <f t="shared" si="92"/>
        <v>0</v>
      </c>
      <c r="J370" s="565">
        <f t="shared" si="92"/>
        <v>0</v>
      </c>
      <c r="K370" s="565">
        <f t="shared" si="92"/>
        <v>0</v>
      </c>
      <c r="L370" s="565">
        <f t="shared" si="92"/>
        <v>0</v>
      </c>
      <c r="M370" s="565">
        <f t="shared" si="92"/>
        <v>0</v>
      </c>
      <c r="N370" s="94"/>
      <c r="O370" s="287"/>
      <c r="Q370" s="48"/>
      <c r="R370" s="48"/>
      <c r="S370" s="48"/>
      <c r="T370" s="48"/>
      <c r="U370" s="48"/>
      <c r="V370" s="48"/>
      <c r="W370" s="48"/>
      <c r="X370" s="48"/>
      <c r="Y370" s="48"/>
      <c r="Z370" s="48"/>
      <c r="AA370" s="48"/>
      <c r="AB370" s="48"/>
      <c r="AC370" s="48"/>
      <c r="AD370" s="48"/>
      <c r="AE370" s="48"/>
    </row>
    <row r="371" spans="1:31" outlineLevel="1">
      <c r="A371" s="412">
        <f>ROW()</f>
        <v>371</v>
      </c>
      <c r="B371" s="149">
        <f>$B$215</f>
        <v>0</v>
      </c>
      <c r="C371" s="96">
        <f t="shared" si="91"/>
        <v>0</v>
      </c>
      <c r="D371" s="96"/>
      <c r="E371" s="96"/>
      <c r="F371" s="96"/>
      <c r="G371" s="565">
        <f>G215*$E215</f>
        <v>0</v>
      </c>
      <c r="H371" s="565">
        <f t="shared" si="92"/>
        <v>0</v>
      </c>
      <c r="I371" s="565">
        <f t="shared" si="92"/>
        <v>0</v>
      </c>
      <c r="J371" s="565">
        <f t="shared" si="92"/>
        <v>0</v>
      </c>
      <c r="K371" s="565">
        <f t="shared" si="92"/>
        <v>0</v>
      </c>
      <c r="L371" s="565">
        <f t="shared" si="92"/>
        <v>0</v>
      </c>
      <c r="M371" s="565">
        <f t="shared" si="92"/>
        <v>0</v>
      </c>
      <c r="N371" s="94"/>
      <c r="O371" s="287"/>
      <c r="Q371" s="48"/>
      <c r="R371" s="48"/>
      <c r="S371" s="48"/>
      <c r="T371" s="48"/>
      <c r="U371" s="48"/>
      <c r="V371" s="48"/>
      <c r="W371" s="48"/>
      <c r="X371" s="48"/>
      <c r="Y371" s="48"/>
      <c r="Z371" s="48"/>
      <c r="AA371" s="48"/>
      <c r="AB371" s="48"/>
      <c r="AC371" s="48"/>
      <c r="AD371" s="48"/>
      <c r="AE371" s="48"/>
    </row>
    <row r="372" spans="1:31" outlineLevel="1">
      <c r="A372" s="412">
        <f>ROW()</f>
        <v>372</v>
      </c>
      <c r="B372" s="149"/>
      <c r="C372" s="96">
        <f t="shared" si="91"/>
        <v>0</v>
      </c>
      <c r="D372" s="96"/>
      <c r="E372" s="96"/>
      <c r="F372" s="96"/>
      <c r="G372" s="1780"/>
      <c r="H372" s="1780"/>
      <c r="I372" s="1780"/>
      <c r="J372" s="1780"/>
      <c r="K372" s="1780"/>
      <c r="L372" s="1780"/>
      <c r="M372" s="1780"/>
      <c r="N372" s="94"/>
      <c r="O372" s="287"/>
      <c r="Q372" s="48"/>
      <c r="R372" s="48"/>
      <c r="S372" s="48"/>
      <c r="T372" s="48"/>
      <c r="U372" s="48"/>
      <c r="V372" s="48"/>
      <c r="W372" s="48"/>
      <c r="X372" s="48"/>
      <c r="Y372" s="48"/>
      <c r="Z372" s="48"/>
      <c r="AA372" s="48"/>
      <c r="AB372" s="48"/>
      <c r="AC372" s="48"/>
      <c r="AD372" s="48"/>
      <c r="AE372" s="48"/>
    </row>
    <row r="373" spans="1:31" outlineLevel="1">
      <c r="A373" s="412">
        <f>ROW()</f>
        <v>373</v>
      </c>
      <c r="B373" s="149">
        <f>$B$217</f>
        <v>0</v>
      </c>
      <c r="C373" s="96">
        <f t="shared" si="91"/>
        <v>0</v>
      </c>
      <c r="D373" s="96"/>
      <c r="E373" s="96"/>
      <c r="F373" s="96"/>
      <c r="G373" s="565">
        <f>G217*$E217</f>
        <v>0</v>
      </c>
      <c r="H373" s="565">
        <f t="shared" ref="H373:M377" si="93">(H217*$E217)</f>
        <v>0</v>
      </c>
      <c r="I373" s="565">
        <f t="shared" si="93"/>
        <v>0</v>
      </c>
      <c r="J373" s="565">
        <f t="shared" si="93"/>
        <v>0</v>
      </c>
      <c r="K373" s="565">
        <f t="shared" si="93"/>
        <v>0</v>
      </c>
      <c r="L373" s="565">
        <f t="shared" si="93"/>
        <v>0</v>
      </c>
      <c r="M373" s="565">
        <f t="shared" si="93"/>
        <v>0</v>
      </c>
      <c r="N373" s="94"/>
      <c r="O373" s="287"/>
      <c r="Q373" s="48"/>
      <c r="R373" s="48"/>
      <c r="S373" s="48"/>
      <c r="T373" s="48"/>
      <c r="U373" s="48"/>
      <c r="V373" s="48"/>
      <c r="W373" s="48"/>
      <c r="X373" s="48"/>
      <c r="Y373" s="48"/>
      <c r="Z373" s="48"/>
      <c r="AA373" s="48"/>
      <c r="AB373" s="48"/>
      <c r="AC373" s="48"/>
      <c r="AD373" s="48"/>
      <c r="AE373" s="48"/>
    </row>
    <row r="374" spans="1:31" outlineLevel="1">
      <c r="A374" s="412">
        <f>ROW()</f>
        <v>374</v>
      </c>
      <c r="B374" s="149">
        <f>$B$218</f>
        <v>0</v>
      </c>
      <c r="C374" s="96">
        <f t="shared" si="91"/>
        <v>0</v>
      </c>
      <c r="D374" s="96"/>
      <c r="E374" s="96"/>
      <c r="F374" s="96"/>
      <c r="G374" s="565">
        <f>G218*$E218</f>
        <v>0</v>
      </c>
      <c r="H374" s="565">
        <f t="shared" si="93"/>
        <v>0</v>
      </c>
      <c r="I374" s="565">
        <f t="shared" si="93"/>
        <v>0</v>
      </c>
      <c r="J374" s="565">
        <f t="shared" si="93"/>
        <v>0</v>
      </c>
      <c r="K374" s="565">
        <f t="shared" si="93"/>
        <v>0</v>
      </c>
      <c r="L374" s="565">
        <f t="shared" si="93"/>
        <v>0</v>
      </c>
      <c r="M374" s="565">
        <f t="shared" si="93"/>
        <v>0</v>
      </c>
      <c r="N374" s="94"/>
      <c r="O374" s="287"/>
      <c r="Q374" s="48"/>
      <c r="R374" s="48"/>
      <c r="S374" s="48"/>
      <c r="T374" s="48"/>
      <c r="U374" s="48"/>
      <c r="V374" s="48"/>
      <c r="W374" s="48"/>
      <c r="X374" s="48"/>
      <c r="Y374" s="48"/>
      <c r="Z374" s="48"/>
      <c r="AA374" s="48"/>
      <c r="AB374" s="48"/>
      <c r="AC374" s="48"/>
      <c r="AD374" s="48"/>
      <c r="AE374" s="48"/>
    </row>
    <row r="375" spans="1:31" outlineLevel="1">
      <c r="A375" s="412">
        <f>ROW()</f>
        <v>375</v>
      </c>
      <c r="B375" s="149">
        <f>$B$219</f>
        <v>0</v>
      </c>
      <c r="C375" s="96">
        <f t="shared" si="91"/>
        <v>0</v>
      </c>
      <c r="D375" s="96"/>
      <c r="E375" s="96"/>
      <c r="F375" s="96"/>
      <c r="G375" s="565">
        <f>G219*$E219</f>
        <v>0</v>
      </c>
      <c r="H375" s="565">
        <f t="shared" si="93"/>
        <v>0</v>
      </c>
      <c r="I375" s="565">
        <f t="shared" si="93"/>
        <v>0</v>
      </c>
      <c r="J375" s="565">
        <f t="shared" si="93"/>
        <v>0</v>
      </c>
      <c r="K375" s="565">
        <f t="shared" si="93"/>
        <v>0</v>
      </c>
      <c r="L375" s="565">
        <f t="shared" si="93"/>
        <v>0</v>
      </c>
      <c r="M375" s="565">
        <f t="shared" si="93"/>
        <v>0</v>
      </c>
      <c r="N375" s="94"/>
      <c r="O375" s="287"/>
      <c r="Q375" s="48"/>
      <c r="R375" s="48"/>
      <c r="S375" s="48"/>
      <c r="T375" s="48"/>
      <c r="U375" s="48"/>
      <c r="V375" s="48"/>
      <c r="W375" s="48"/>
      <c r="X375" s="48"/>
      <c r="Y375" s="48"/>
      <c r="Z375" s="48"/>
      <c r="AA375" s="48"/>
      <c r="AB375" s="48"/>
      <c r="AC375" s="48"/>
      <c r="AD375" s="48"/>
      <c r="AE375" s="48"/>
    </row>
    <row r="376" spans="1:31" outlineLevel="1">
      <c r="A376" s="412">
        <f>ROW()</f>
        <v>376</v>
      </c>
      <c r="B376" s="149">
        <f>$B$220</f>
        <v>0</v>
      </c>
      <c r="C376" s="96">
        <f t="shared" si="91"/>
        <v>0</v>
      </c>
      <c r="D376" s="96"/>
      <c r="E376" s="96"/>
      <c r="F376" s="96"/>
      <c r="G376" s="565">
        <f>G220*$E220</f>
        <v>0</v>
      </c>
      <c r="H376" s="565">
        <f t="shared" si="93"/>
        <v>0</v>
      </c>
      <c r="I376" s="565">
        <f t="shared" si="93"/>
        <v>0</v>
      </c>
      <c r="J376" s="565">
        <f t="shared" si="93"/>
        <v>0</v>
      </c>
      <c r="K376" s="565">
        <f t="shared" si="93"/>
        <v>0</v>
      </c>
      <c r="L376" s="565">
        <f t="shared" si="93"/>
        <v>0</v>
      </c>
      <c r="M376" s="565">
        <f t="shared" si="93"/>
        <v>0</v>
      </c>
      <c r="N376" s="94"/>
      <c r="O376" s="287"/>
      <c r="Q376" s="48"/>
      <c r="R376" s="48"/>
      <c r="S376" s="48"/>
      <c r="T376" s="48"/>
      <c r="U376" s="48"/>
      <c r="V376" s="48"/>
      <c r="W376" s="48"/>
      <c r="X376" s="48"/>
      <c r="Y376" s="48"/>
      <c r="Z376" s="48"/>
      <c r="AA376" s="48"/>
      <c r="AB376" s="48"/>
      <c r="AC376" s="48"/>
      <c r="AD376" s="48"/>
      <c r="AE376" s="48"/>
    </row>
    <row r="377" spans="1:31" outlineLevel="1">
      <c r="A377" s="412">
        <f>ROW()</f>
        <v>377</v>
      </c>
      <c r="B377" s="149">
        <f>$B$221</f>
        <v>0</v>
      </c>
      <c r="C377" s="96">
        <f t="shared" si="91"/>
        <v>0</v>
      </c>
      <c r="D377" s="96"/>
      <c r="E377" s="96"/>
      <c r="F377" s="96"/>
      <c r="G377" s="565">
        <f>G221*$E221</f>
        <v>0</v>
      </c>
      <c r="H377" s="565">
        <f t="shared" si="93"/>
        <v>0</v>
      </c>
      <c r="I377" s="565">
        <f t="shared" si="93"/>
        <v>0</v>
      </c>
      <c r="J377" s="565">
        <f t="shared" si="93"/>
        <v>0</v>
      </c>
      <c r="K377" s="565">
        <f t="shared" si="93"/>
        <v>0</v>
      </c>
      <c r="L377" s="565">
        <f t="shared" si="93"/>
        <v>0</v>
      </c>
      <c r="M377" s="565">
        <f t="shared" si="93"/>
        <v>0</v>
      </c>
      <c r="N377" s="94"/>
      <c r="O377" s="287"/>
      <c r="Q377" s="48"/>
      <c r="R377" s="48"/>
      <c r="S377" s="48"/>
      <c r="T377" s="48"/>
      <c r="U377" s="48"/>
      <c r="V377" s="48"/>
      <c r="W377" s="48"/>
      <c r="X377" s="48"/>
      <c r="Y377" s="48"/>
      <c r="Z377" s="48"/>
      <c r="AA377" s="48"/>
      <c r="AB377" s="48"/>
      <c r="AC377" s="48"/>
      <c r="AD377" s="48"/>
      <c r="AE377" s="48"/>
    </row>
    <row r="378" spans="1:31" outlineLevel="1">
      <c r="A378" s="412">
        <f>ROW()</f>
        <v>378</v>
      </c>
      <c r="B378" s="149"/>
      <c r="C378" s="96">
        <f t="shared" si="91"/>
        <v>0</v>
      </c>
      <c r="D378" s="96"/>
      <c r="E378" s="96"/>
      <c r="F378" s="96"/>
      <c r="G378" s="1780"/>
      <c r="H378" s="1780"/>
      <c r="I378" s="1780"/>
      <c r="J378" s="1780"/>
      <c r="K378" s="1780"/>
      <c r="L378" s="1780"/>
      <c r="M378" s="1780"/>
      <c r="N378" s="94"/>
      <c r="O378" s="287"/>
      <c r="Q378" s="48"/>
      <c r="R378" s="48"/>
      <c r="S378" s="48"/>
      <c r="T378" s="48"/>
      <c r="U378" s="48"/>
      <c r="V378" s="48"/>
      <c r="W378" s="48"/>
      <c r="X378" s="48"/>
      <c r="Y378" s="48"/>
      <c r="Z378" s="48"/>
      <c r="AA378" s="48"/>
      <c r="AB378" s="48"/>
      <c r="AC378" s="48"/>
      <c r="AD378" s="48"/>
      <c r="AE378" s="48"/>
    </row>
    <row r="379" spans="1:31" outlineLevel="1">
      <c r="A379" s="412">
        <f>ROW()</f>
        <v>379</v>
      </c>
      <c r="B379" s="149">
        <f>$B$223</f>
        <v>0</v>
      </c>
      <c r="C379" s="96">
        <f t="shared" si="91"/>
        <v>0</v>
      </c>
      <c r="D379" s="96"/>
      <c r="E379" s="96"/>
      <c r="F379" s="96"/>
      <c r="G379" s="565">
        <f>G223*$E223</f>
        <v>0</v>
      </c>
      <c r="H379" s="565">
        <f t="shared" ref="H379:M383" si="94">(H223*$E223)</f>
        <v>0</v>
      </c>
      <c r="I379" s="565">
        <f t="shared" si="94"/>
        <v>0</v>
      </c>
      <c r="J379" s="565">
        <f t="shared" si="94"/>
        <v>0</v>
      </c>
      <c r="K379" s="565">
        <f t="shared" si="94"/>
        <v>0</v>
      </c>
      <c r="L379" s="565">
        <f t="shared" si="94"/>
        <v>0</v>
      </c>
      <c r="M379" s="565">
        <f t="shared" si="94"/>
        <v>0</v>
      </c>
      <c r="N379" s="94"/>
      <c r="O379" s="287"/>
      <c r="Q379" s="48"/>
      <c r="R379" s="48"/>
      <c r="S379" s="48"/>
      <c r="T379" s="48"/>
      <c r="U379" s="48"/>
      <c r="V379" s="48"/>
      <c r="W379" s="48"/>
      <c r="X379" s="48"/>
      <c r="Y379" s="48"/>
      <c r="Z379" s="48"/>
      <c r="AA379" s="48"/>
      <c r="AB379" s="48"/>
      <c r="AC379" s="48"/>
      <c r="AD379" s="48"/>
      <c r="AE379" s="48"/>
    </row>
    <row r="380" spans="1:31" outlineLevel="1">
      <c r="A380" s="412">
        <f>ROW()</f>
        <v>380</v>
      </c>
      <c r="B380" s="149">
        <f>$B$224</f>
        <v>0</v>
      </c>
      <c r="C380" s="96">
        <f t="shared" si="91"/>
        <v>0</v>
      </c>
      <c r="D380" s="96"/>
      <c r="E380" s="96"/>
      <c r="F380" s="96"/>
      <c r="G380" s="565">
        <f>G224*$E224</f>
        <v>0</v>
      </c>
      <c r="H380" s="565">
        <f t="shared" si="94"/>
        <v>0</v>
      </c>
      <c r="I380" s="565">
        <f t="shared" si="94"/>
        <v>0</v>
      </c>
      <c r="J380" s="565">
        <f t="shared" si="94"/>
        <v>0</v>
      </c>
      <c r="K380" s="565">
        <f t="shared" si="94"/>
        <v>0</v>
      </c>
      <c r="L380" s="565">
        <f t="shared" si="94"/>
        <v>0</v>
      </c>
      <c r="M380" s="565">
        <f t="shared" si="94"/>
        <v>0</v>
      </c>
      <c r="N380" s="94"/>
      <c r="O380" s="287"/>
      <c r="Q380" s="48"/>
      <c r="R380" s="48"/>
      <c r="S380" s="48"/>
      <c r="T380" s="48"/>
      <c r="U380" s="48"/>
      <c r="V380" s="48"/>
      <c r="W380" s="48"/>
      <c r="X380" s="48"/>
      <c r="Y380" s="48"/>
      <c r="Z380" s="48"/>
      <c r="AA380" s="48"/>
      <c r="AB380" s="48"/>
      <c r="AC380" s="48"/>
      <c r="AD380" s="48"/>
      <c r="AE380" s="48"/>
    </row>
    <row r="381" spans="1:31" outlineLevel="1">
      <c r="A381" s="412">
        <f>ROW()</f>
        <v>381</v>
      </c>
      <c r="B381" s="149">
        <f>$B$225</f>
        <v>0</v>
      </c>
      <c r="C381" s="96">
        <f t="shared" si="91"/>
        <v>0</v>
      </c>
      <c r="D381" s="96"/>
      <c r="E381" s="96"/>
      <c r="F381" s="96"/>
      <c r="G381" s="565">
        <f>G225*$E225</f>
        <v>0</v>
      </c>
      <c r="H381" s="565">
        <f t="shared" si="94"/>
        <v>0</v>
      </c>
      <c r="I381" s="565">
        <f t="shared" si="94"/>
        <v>0</v>
      </c>
      <c r="J381" s="565">
        <f t="shared" si="94"/>
        <v>0</v>
      </c>
      <c r="K381" s="565">
        <f t="shared" si="94"/>
        <v>0</v>
      </c>
      <c r="L381" s="565">
        <f t="shared" si="94"/>
        <v>0</v>
      </c>
      <c r="M381" s="565">
        <f t="shared" si="94"/>
        <v>0</v>
      </c>
      <c r="N381" s="94"/>
      <c r="O381" s="287"/>
      <c r="Q381" s="48"/>
      <c r="R381" s="48"/>
      <c r="S381" s="48"/>
      <c r="T381" s="48"/>
      <c r="U381" s="48"/>
      <c r="V381" s="48"/>
      <c r="W381" s="48"/>
      <c r="X381" s="48"/>
      <c r="Y381" s="48"/>
      <c r="Z381" s="48"/>
      <c r="AA381" s="48"/>
      <c r="AB381" s="48"/>
      <c r="AC381" s="48"/>
      <c r="AD381" s="48"/>
      <c r="AE381" s="48"/>
    </row>
    <row r="382" spans="1:31" outlineLevel="1">
      <c r="A382" s="412">
        <f>ROW()</f>
        <v>382</v>
      </c>
      <c r="B382" s="149">
        <f>$B$226</f>
        <v>0</v>
      </c>
      <c r="C382" s="96">
        <f t="shared" si="91"/>
        <v>0</v>
      </c>
      <c r="D382" s="96"/>
      <c r="E382" s="96"/>
      <c r="F382" s="96"/>
      <c r="G382" s="565">
        <f>G226*$E226</f>
        <v>0</v>
      </c>
      <c r="H382" s="565">
        <f t="shared" si="94"/>
        <v>0</v>
      </c>
      <c r="I382" s="565">
        <f t="shared" si="94"/>
        <v>0</v>
      </c>
      <c r="J382" s="565">
        <f t="shared" si="94"/>
        <v>0</v>
      </c>
      <c r="K382" s="565">
        <f t="shared" si="94"/>
        <v>0</v>
      </c>
      <c r="L382" s="565">
        <f t="shared" si="94"/>
        <v>0</v>
      </c>
      <c r="M382" s="565">
        <f t="shared" si="94"/>
        <v>0</v>
      </c>
      <c r="N382" s="94"/>
      <c r="O382" s="287"/>
      <c r="Q382" s="48"/>
      <c r="R382" s="48"/>
      <c r="S382" s="48"/>
      <c r="T382" s="48"/>
      <c r="U382" s="48"/>
      <c r="V382" s="48"/>
      <c r="W382" s="48"/>
      <c r="X382" s="48"/>
      <c r="Y382" s="48"/>
      <c r="Z382" s="48"/>
      <c r="AA382" s="48"/>
      <c r="AB382" s="48"/>
      <c r="AC382" s="48"/>
      <c r="AD382" s="48"/>
      <c r="AE382" s="48"/>
    </row>
    <row r="383" spans="1:31" outlineLevel="1">
      <c r="A383" s="412">
        <f>ROW()</f>
        <v>383</v>
      </c>
      <c r="B383" s="149">
        <f>$B$227</f>
        <v>0</v>
      </c>
      <c r="C383" s="96">
        <f t="shared" si="91"/>
        <v>0</v>
      </c>
      <c r="D383" s="96"/>
      <c r="E383" s="96"/>
      <c r="F383" s="96"/>
      <c r="G383" s="565">
        <f>G227*$E227</f>
        <v>0</v>
      </c>
      <c r="H383" s="565">
        <f t="shared" si="94"/>
        <v>0</v>
      </c>
      <c r="I383" s="565">
        <f t="shared" si="94"/>
        <v>0</v>
      </c>
      <c r="J383" s="565">
        <f t="shared" si="94"/>
        <v>0</v>
      </c>
      <c r="K383" s="565">
        <f t="shared" si="94"/>
        <v>0</v>
      </c>
      <c r="L383" s="565">
        <f t="shared" si="94"/>
        <v>0</v>
      </c>
      <c r="M383" s="565">
        <f t="shared" si="94"/>
        <v>0</v>
      </c>
      <c r="N383" s="94"/>
      <c r="O383" s="287"/>
      <c r="Q383" s="48"/>
      <c r="R383" s="48"/>
      <c r="S383" s="48"/>
      <c r="T383" s="48"/>
      <c r="U383" s="48"/>
      <c r="V383" s="48"/>
      <c r="W383" s="48"/>
      <c r="X383" s="48"/>
      <c r="Y383" s="48"/>
      <c r="Z383" s="48"/>
      <c r="AA383" s="48"/>
      <c r="AB383" s="48"/>
      <c r="AC383" s="48"/>
      <c r="AD383" s="48"/>
      <c r="AE383" s="48"/>
    </row>
    <row r="384" spans="1:31" outlineLevel="1">
      <c r="A384" s="412">
        <f>ROW()</f>
        <v>384</v>
      </c>
      <c r="B384" s="149"/>
      <c r="C384" s="96">
        <f t="shared" si="91"/>
        <v>0</v>
      </c>
      <c r="D384" s="96"/>
      <c r="E384" s="96"/>
      <c r="F384" s="96"/>
      <c r="G384" s="1780"/>
      <c r="H384" s="1780"/>
      <c r="I384" s="1780"/>
      <c r="J384" s="1780"/>
      <c r="K384" s="1780"/>
      <c r="L384" s="1780"/>
      <c r="M384" s="1780"/>
      <c r="N384" s="94"/>
      <c r="O384" s="287"/>
      <c r="Q384" s="48"/>
      <c r="R384" s="48"/>
      <c r="S384" s="48"/>
      <c r="T384" s="48"/>
      <c r="U384" s="48"/>
      <c r="V384" s="48"/>
      <c r="W384" s="48"/>
      <c r="X384" s="48"/>
      <c r="Y384" s="48"/>
      <c r="Z384" s="48"/>
      <c r="AA384" s="48"/>
      <c r="AB384" s="48"/>
      <c r="AC384" s="48"/>
      <c r="AD384" s="48"/>
      <c r="AE384" s="48"/>
    </row>
    <row r="385" spans="1:31" outlineLevel="1">
      <c r="A385" s="412">
        <f>ROW()</f>
        <v>385</v>
      </c>
      <c r="B385" s="149">
        <f>$B$229</f>
        <v>0</v>
      </c>
      <c r="C385" s="96">
        <f t="shared" si="91"/>
        <v>0</v>
      </c>
      <c r="D385" s="96"/>
      <c r="E385" s="96"/>
      <c r="F385" s="96"/>
      <c r="G385" s="565">
        <f>G229*$E229</f>
        <v>0</v>
      </c>
      <c r="H385" s="565">
        <f t="shared" ref="H385:M389" si="95">(H229*$E229)</f>
        <v>0</v>
      </c>
      <c r="I385" s="565">
        <f t="shared" si="95"/>
        <v>0</v>
      </c>
      <c r="J385" s="565">
        <f t="shared" si="95"/>
        <v>0</v>
      </c>
      <c r="K385" s="565">
        <f t="shared" si="95"/>
        <v>0</v>
      </c>
      <c r="L385" s="565">
        <f t="shared" si="95"/>
        <v>0</v>
      </c>
      <c r="M385" s="565">
        <f t="shared" si="95"/>
        <v>0</v>
      </c>
      <c r="N385" s="94"/>
      <c r="O385" s="287"/>
      <c r="Q385" s="48"/>
      <c r="R385" s="48"/>
      <c r="S385" s="48"/>
      <c r="T385" s="48"/>
      <c r="U385" s="48"/>
      <c r="V385" s="48"/>
      <c r="W385" s="48"/>
      <c r="X385" s="48"/>
      <c r="Y385" s="48"/>
      <c r="Z385" s="48"/>
      <c r="AA385" s="48"/>
      <c r="AB385" s="48"/>
      <c r="AC385" s="48"/>
      <c r="AD385" s="48"/>
      <c r="AE385" s="48"/>
    </row>
    <row r="386" spans="1:31" outlineLevel="1">
      <c r="A386" s="412">
        <f>ROW()</f>
        <v>386</v>
      </c>
      <c r="B386" s="149">
        <f>$B$230</f>
        <v>0</v>
      </c>
      <c r="C386" s="96">
        <f t="shared" si="91"/>
        <v>0</v>
      </c>
      <c r="D386" s="96"/>
      <c r="E386" s="96"/>
      <c r="F386" s="96"/>
      <c r="G386" s="565">
        <f>G230*$E230</f>
        <v>0</v>
      </c>
      <c r="H386" s="565">
        <f t="shared" si="95"/>
        <v>0</v>
      </c>
      <c r="I386" s="565">
        <f t="shared" si="95"/>
        <v>0</v>
      </c>
      <c r="J386" s="565">
        <f t="shared" si="95"/>
        <v>0</v>
      </c>
      <c r="K386" s="565">
        <f t="shared" si="95"/>
        <v>0</v>
      </c>
      <c r="L386" s="565">
        <f t="shared" si="95"/>
        <v>0</v>
      </c>
      <c r="M386" s="565">
        <f t="shared" si="95"/>
        <v>0</v>
      </c>
      <c r="N386" s="94"/>
      <c r="O386" s="287"/>
      <c r="Q386" s="48"/>
      <c r="R386" s="48"/>
      <c r="S386" s="48"/>
      <c r="T386" s="48"/>
      <c r="U386" s="48"/>
      <c r="V386" s="48"/>
      <c r="W386" s="48"/>
      <c r="X386" s="48"/>
      <c r="Y386" s="48"/>
      <c r="Z386" s="48"/>
      <c r="AA386" s="48"/>
      <c r="AB386" s="48"/>
      <c r="AC386" s="48"/>
      <c r="AD386" s="48"/>
      <c r="AE386" s="48"/>
    </row>
    <row r="387" spans="1:31" outlineLevel="1">
      <c r="A387" s="412">
        <f>ROW()</f>
        <v>387</v>
      </c>
      <c r="B387" s="149">
        <f>$B$231</f>
        <v>0</v>
      </c>
      <c r="C387" s="96">
        <f t="shared" si="91"/>
        <v>0</v>
      </c>
      <c r="D387" s="96"/>
      <c r="E387" s="96"/>
      <c r="F387" s="96"/>
      <c r="G387" s="565">
        <f>G231*$E231</f>
        <v>0</v>
      </c>
      <c r="H387" s="565">
        <f t="shared" si="95"/>
        <v>0</v>
      </c>
      <c r="I387" s="565">
        <f t="shared" si="95"/>
        <v>0</v>
      </c>
      <c r="J387" s="565">
        <f t="shared" si="95"/>
        <v>0</v>
      </c>
      <c r="K387" s="565">
        <f t="shared" si="95"/>
        <v>0</v>
      </c>
      <c r="L387" s="565">
        <f t="shared" si="95"/>
        <v>0</v>
      </c>
      <c r="M387" s="565">
        <f t="shared" si="95"/>
        <v>0</v>
      </c>
      <c r="N387" s="94"/>
      <c r="O387" s="287"/>
      <c r="Q387" s="48"/>
      <c r="R387" s="48"/>
      <c r="S387" s="48"/>
      <c r="T387" s="48"/>
      <c r="U387" s="48"/>
      <c r="V387" s="48"/>
      <c r="W387" s="48"/>
      <c r="X387" s="48"/>
      <c r="Y387" s="48"/>
      <c r="Z387" s="48"/>
      <c r="AA387" s="48"/>
      <c r="AB387" s="48"/>
      <c r="AC387" s="48"/>
      <c r="AD387" s="48"/>
      <c r="AE387" s="48"/>
    </row>
    <row r="388" spans="1:31" outlineLevel="1">
      <c r="A388" s="412">
        <f>ROW()</f>
        <v>388</v>
      </c>
      <c r="B388" s="149">
        <f>$B$232</f>
        <v>0</v>
      </c>
      <c r="C388" s="96">
        <f t="shared" si="91"/>
        <v>0</v>
      </c>
      <c r="D388" s="96"/>
      <c r="E388" s="96"/>
      <c r="F388" s="96"/>
      <c r="G388" s="565">
        <f>G232*$E232</f>
        <v>0</v>
      </c>
      <c r="H388" s="565">
        <f t="shared" si="95"/>
        <v>0</v>
      </c>
      <c r="I388" s="565">
        <f t="shared" si="95"/>
        <v>0</v>
      </c>
      <c r="J388" s="565">
        <f t="shared" si="95"/>
        <v>0</v>
      </c>
      <c r="K388" s="565">
        <f t="shared" si="95"/>
        <v>0</v>
      </c>
      <c r="L388" s="565">
        <f t="shared" si="95"/>
        <v>0</v>
      </c>
      <c r="M388" s="565">
        <f t="shared" si="95"/>
        <v>0</v>
      </c>
      <c r="N388" s="94"/>
      <c r="O388" s="287"/>
      <c r="Q388" s="48"/>
      <c r="R388" s="48"/>
      <c r="S388" s="48"/>
      <c r="T388" s="48"/>
      <c r="U388" s="48"/>
      <c r="V388" s="48"/>
      <c r="W388" s="48"/>
      <c r="X388" s="48"/>
      <c r="Y388" s="48"/>
      <c r="Z388" s="48"/>
      <c r="AA388" s="48"/>
      <c r="AB388" s="48"/>
      <c r="AC388" s="48"/>
      <c r="AD388" s="48"/>
      <c r="AE388" s="48"/>
    </row>
    <row r="389" spans="1:31" outlineLevel="1">
      <c r="A389" s="412">
        <f>ROW()</f>
        <v>389</v>
      </c>
      <c r="B389" s="149">
        <f>$B$233</f>
        <v>0</v>
      </c>
      <c r="C389" s="96">
        <f t="shared" si="91"/>
        <v>0</v>
      </c>
      <c r="D389" s="96"/>
      <c r="E389" s="96"/>
      <c r="F389" s="96"/>
      <c r="G389" s="565">
        <f>G233*$E233</f>
        <v>0</v>
      </c>
      <c r="H389" s="565">
        <f t="shared" si="95"/>
        <v>0</v>
      </c>
      <c r="I389" s="565">
        <f t="shared" si="95"/>
        <v>0</v>
      </c>
      <c r="J389" s="565">
        <f t="shared" si="95"/>
        <v>0</v>
      </c>
      <c r="K389" s="565">
        <f t="shared" si="95"/>
        <v>0</v>
      </c>
      <c r="L389" s="565">
        <f t="shared" si="95"/>
        <v>0</v>
      </c>
      <c r="M389" s="565">
        <f t="shared" si="95"/>
        <v>0</v>
      </c>
      <c r="N389" s="94"/>
      <c r="O389" s="287"/>
      <c r="Q389" s="48"/>
      <c r="R389" s="48"/>
      <c r="S389" s="48"/>
      <c r="T389" s="48"/>
      <c r="U389" s="48"/>
      <c r="V389" s="48"/>
      <c r="W389" s="48"/>
      <c r="X389" s="48"/>
      <c r="Y389" s="48"/>
      <c r="Z389" s="48"/>
      <c r="AA389" s="48"/>
      <c r="AB389" s="48"/>
      <c r="AC389" s="48"/>
      <c r="AD389" s="48"/>
      <c r="AE389" s="48"/>
    </row>
    <row r="390" spans="1:31" outlineLevel="1">
      <c r="A390" s="412">
        <f>ROW()</f>
        <v>390</v>
      </c>
      <c r="B390" s="149"/>
      <c r="C390" s="96">
        <f t="shared" si="91"/>
        <v>0</v>
      </c>
      <c r="D390" s="96"/>
      <c r="E390" s="96"/>
      <c r="F390" s="96"/>
      <c r="G390" s="1780"/>
      <c r="H390" s="1780"/>
      <c r="I390" s="1780"/>
      <c r="J390" s="1780"/>
      <c r="K390" s="1780"/>
      <c r="L390" s="1780"/>
      <c r="M390" s="1780"/>
      <c r="N390" s="94"/>
      <c r="O390" s="287"/>
      <c r="Q390" s="48"/>
      <c r="R390" s="48"/>
      <c r="S390" s="48"/>
      <c r="T390" s="48"/>
      <c r="U390" s="48"/>
      <c r="V390" s="48"/>
      <c r="W390" s="48"/>
      <c r="X390" s="48"/>
      <c r="Y390" s="48"/>
      <c r="Z390" s="48"/>
      <c r="AA390" s="48"/>
      <c r="AB390" s="48"/>
      <c r="AC390" s="48"/>
      <c r="AD390" s="48"/>
      <c r="AE390" s="48"/>
    </row>
    <row r="391" spans="1:31" outlineLevel="1">
      <c r="A391" s="412">
        <f>ROW()</f>
        <v>391</v>
      </c>
      <c r="B391" s="149">
        <f>$B$235</f>
        <v>0</v>
      </c>
      <c r="C391" s="96">
        <f t="shared" si="91"/>
        <v>0</v>
      </c>
      <c r="D391" s="96"/>
      <c r="E391" s="96"/>
      <c r="F391" s="96"/>
      <c r="G391" s="565">
        <f>G235*$E235</f>
        <v>0</v>
      </c>
      <c r="H391" s="565">
        <f t="shared" ref="H391:M395" si="96">(H235*$E235)</f>
        <v>0</v>
      </c>
      <c r="I391" s="565">
        <f t="shared" si="96"/>
        <v>0</v>
      </c>
      <c r="J391" s="565">
        <f t="shared" si="96"/>
        <v>0</v>
      </c>
      <c r="K391" s="565">
        <f t="shared" si="96"/>
        <v>0</v>
      </c>
      <c r="L391" s="565">
        <f t="shared" si="96"/>
        <v>0</v>
      </c>
      <c r="M391" s="565">
        <f t="shared" si="96"/>
        <v>0</v>
      </c>
      <c r="N391" s="94"/>
      <c r="O391" s="287"/>
      <c r="Q391" s="48"/>
      <c r="R391" s="48"/>
      <c r="S391" s="48"/>
      <c r="T391" s="48"/>
      <c r="U391" s="48"/>
      <c r="V391" s="48"/>
      <c r="W391" s="48"/>
      <c r="X391" s="48"/>
      <c r="Y391" s="48"/>
      <c r="Z391" s="48"/>
      <c r="AA391" s="48"/>
      <c r="AB391" s="48"/>
      <c r="AC391" s="48"/>
      <c r="AD391" s="48"/>
      <c r="AE391" s="48"/>
    </row>
    <row r="392" spans="1:31" outlineLevel="1">
      <c r="A392" s="412">
        <f>ROW()</f>
        <v>392</v>
      </c>
      <c r="B392" s="149">
        <f>$B$236</f>
        <v>0</v>
      </c>
      <c r="C392" s="96">
        <f t="shared" si="91"/>
        <v>0</v>
      </c>
      <c r="D392" s="96"/>
      <c r="E392" s="96"/>
      <c r="F392" s="96"/>
      <c r="G392" s="565">
        <f>G236*$E236</f>
        <v>0</v>
      </c>
      <c r="H392" s="565">
        <f t="shared" si="96"/>
        <v>0</v>
      </c>
      <c r="I392" s="565">
        <f t="shared" si="96"/>
        <v>0</v>
      </c>
      <c r="J392" s="565">
        <f t="shared" si="96"/>
        <v>0</v>
      </c>
      <c r="K392" s="565">
        <f t="shared" si="96"/>
        <v>0</v>
      </c>
      <c r="L392" s="565">
        <f t="shared" si="96"/>
        <v>0</v>
      </c>
      <c r="M392" s="565">
        <f t="shared" si="96"/>
        <v>0</v>
      </c>
      <c r="N392" s="94"/>
      <c r="O392" s="287"/>
      <c r="Q392" s="48"/>
      <c r="R392" s="48"/>
      <c r="S392" s="48"/>
      <c r="T392" s="48"/>
      <c r="U392" s="48"/>
      <c r="V392" s="48"/>
      <c r="W392" s="48"/>
      <c r="X392" s="48"/>
      <c r="Y392" s="48"/>
      <c r="Z392" s="48"/>
      <c r="AA392" s="48"/>
      <c r="AB392" s="48"/>
      <c r="AC392" s="48"/>
      <c r="AD392" s="48"/>
      <c r="AE392" s="48"/>
    </row>
    <row r="393" spans="1:31" outlineLevel="1">
      <c r="A393" s="412">
        <f>ROW()</f>
        <v>393</v>
      </c>
      <c r="B393" s="149">
        <f>$B$237</f>
        <v>0</v>
      </c>
      <c r="C393" s="96">
        <f t="shared" si="91"/>
        <v>0</v>
      </c>
      <c r="D393" s="96"/>
      <c r="E393" s="96"/>
      <c r="F393" s="96"/>
      <c r="G393" s="565">
        <f>G237*$E237</f>
        <v>0</v>
      </c>
      <c r="H393" s="565">
        <f t="shared" si="96"/>
        <v>0</v>
      </c>
      <c r="I393" s="565">
        <f t="shared" si="96"/>
        <v>0</v>
      </c>
      <c r="J393" s="565">
        <f t="shared" si="96"/>
        <v>0</v>
      </c>
      <c r="K393" s="565">
        <f t="shared" si="96"/>
        <v>0</v>
      </c>
      <c r="L393" s="565">
        <f t="shared" si="96"/>
        <v>0</v>
      </c>
      <c r="M393" s="565">
        <f t="shared" si="96"/>
        <v>0</v>
      </c>
      <c r="N393" s="94"/>
      <c r="O393" s="287"/>
      <c r="Q393" s="48"/>
      <c r="R393" s="48"/>
      <c r="S393" s="48"/>
      <c r="T393" s="48"/>
      <c r="U393" s="48"/>
      <c r="V393" s="48"/>
      <c r="W393" s="48"/>
      <c r="X393" s="48"/>
      <c r="Y393" s="48"/>
      <c r="Z393" s="48"/>
      <c r="AA393" s="48"/>
      <c r="AB393" s="48"/>
      <c r="AC393" s="48"/>
      <c r="AD393" s="48"/>
      <c r="AE393" s="48"/>
    </row>
    <row r="394" spans="1:31" outlineLevel="1">
      <c r="A394" s="412">
        <f>ROW()</f>
        <v>394</v>
      </c>
      <c r="B394" s="149">
        <f>$B$238</f>
        <v>0</v>
      </c>
      <c r="C394" s="96">
        <f t="shared" si="91"/>
        <v>0</v>
      </c>
      <c r="D394" s="96"/>
      <c r="E394" s="96"/>
      <c r="F394" s="96"/>
      <c r="G394" s="565">
        <f>G238*$E238</f>
        <v>0</v>
      </c>
      <c r="H394" s="565">
        <f t="shared" si="96"/>
        <v>0</v>
      </c>
      <c r="I394" s="565">
        <f t="shared" si="96"/>
        <v>0</v>
      </c>
      <c r="J394" s="565">
        <f t="shared" si="96"/>
        <v>0</v>
      </c>
      <c r="K394" s="565">
        <f t="shared" si="96"/>
        <v>0</v>
      </c>
      <c r="L394" s="565">
        <f t="shared" si="96"/>
        <v>0</v>
      </c>
      <c r="M394" s="565">
        <f t="shared" si="96"/>
        <v>0</v>
      </c>
      <c r="N394" s="94"/>
      <c r="O394" s="287"/>
      <c r="Q394" s="48"/>
      <c r="R394" s="48"/>
      <c r="S394" s="48"/>
      <c r="T394" s="48"/>
      <c r="U394" s="48"/>
      <c r="V394" s="48"/>
      <c r="W394" s="48"/>
      <c r="X394" s="48"/>
      <c r="Y394" s="48"/>
      <c r="Z394" s="48"/>
      <c r="AA394" s="48"/>
      <c r="AB394" s="48"/>
      <c r="AC394" s="48"/>
      <c r="AD394" s="48"/>
      <c r="AE394" s="48"/>
    </row>
    <row r="395" spans="1:31" outlineLevel="1">
      <c r="A395" s="412">
        <f>ROW()</f>
        <v>395</v>
      </c>
      <c r="B395" s="149">
        <f>$B$239</f>
        <v>0</v>
      </c>
      <c r="C395" s="96">
        <f t="shared" si="91"/>
        <v>0</v>
      </c>
      <c r="D395" s="96"/>
      <c r="E395" s="96"/>
      <c r="F395" s="96"/>
      <c r="G395" s="565">
        <f>G239*$E239</f>
        <v>0</v>
      </c>
      <c r="H395" s="565">
        <f t="shared" si="96"/>
        <v>0</v>
      </c>
      <c r="I395" s="565">
        <f t="shared" si="96"/>
        <v>0</v>
      </c>
      <c r="J395" s="565">
        <f t="shared" si="96"/>
        <v>0</v>
      </c>
      <c r="K395" s="565">
        <f t="shared" si="96"/>
        <v>0</v>
      </c>
      <c r="L395" s="565">
        <f t="shared" si="96"/>
        <v>0</v>
      </c>
      <c r="M395" s="565">
        <f t="shared" si="96"/>
        <v>0</v>
      </c>
      <c r="N395" s="94"/>
      <c r="O395" s="287"/>
      <c r="Q395" s="48"/>
      <c r="R395" s="48"/>
      <c r="S395" s="48"/>
      <c r="T395" s="48"/>
      <c r="U395" s="48"/>
      <c r="V395" s="48"/>
      <c r="W395" s="48"/>
      <c r="X395" s="48"/>
      <c r="Y395" s="48"/>
      <c r="Z395" s="48"/>
      <c r="AA395" s="48"/>
      <c r="AB395" s="48"/>
      <c r="AC395" s="48"/>
      <c r="AD395" s="48"/>
      <c r="AE395" s="48"/>
    </row>
    <row r="396" spans="1:31" hidden="1" outlineLevel="1">
      <c r="A396" s="412">
        <f>ROW()</f>
        <v>396</v>
      </c>
      <c r="B396" s="94"/>
      <c r="C396" s="96"/>
      <c r="D396" s="96"/>
      <c r="E396" s="96"/>
      <c r="F396" s="96"/>
      <c r="G396" s="1781"/>
      <c r="H396" s="1781"/>
      <c r="I396" s="1781"/>
      <c r="J396" s="1781"/>
      <c r="K396" s="1781"/>
      <c r="L396" s="1781"/>
      <c r="M396" s="1781"/>
      <c r="N396" s="94"/>
      <c r="O396" s="287"/>
      <c r="Q396" s="48"/>
      <c r="R396" s="48"/>
      <c r="S396" s="48"/>
      <c r="T396" s="48"/>
      <c r="U396" s="48"/>
      <c r="V396" s="48"/>
      <c r="W396" s="48"/>
      <c r="X396" s="48"/>
      <c r="Y396" s="48"/>
      <c r="Z396" s="48"/>
      <c r="AA396" s="48"/>
      <c r="AB396" s="48"/>
      <c r="AC396" s="48"/>
      <c r="AD396" s="48"/>
      <c r="AE396" s="48"/>
    </row>
    <row r="397" spans="1:31" ht="15.6" outlineLevel="1">
      <c r="A397" s="412">
        <f>ROW()</f>
        <v>397</v>
      </c>
      <c r="B397" s="147" t="s">
        <v>503</v>
      </c>
      <c r="C397" s="1656">
        <f>SUM(G397:M397)</f>
        <v>5940000</v>
      </c>
      <c r="D397" s="147"/>
      <c r="E397" s="147"/>
      <c r="F397" s="147"/>
      <c r="G397" s="1656">
        <f t="shared" ref="G397:M397" si="97">SUM(G302:G395)</f>
        <v>0</v>
      </c>
      <c r="H397" s="1656">
        <f t="shared" si="97"/>
        <v>540000</v>
      </c>
      <c r="I397" s="1656">
        <f>SUM(I302:I395)</f>
        <v>840000</v>
      </c>
      <c r="J397" s="1656">
        <f t="shared" si="97"/>
        <v>960000</v>
      </c>
      <c r="K397" s="1656">
        <f t="shared" si="97"/>
        <v>1200000</v>
      </c>
      <c r="L397" s="1656">
        <f t="shared" si="97"/>
        <v>1200000</v>
      </c>
      <c r="M397" s="1656">
        <f t="shared" si="97"/>
        <v>1200000</v>
      </c>
      <c r="O397" s="287"/>
      <c r="Q397" s="48"/>
      <c r="R397" s="48"/>
      <c r="S397" s="48"/>
      <c r="T397" s="48"/>
      <c r="U397" s="48"/>
      <c r="V397" s="48"/>
      <c r="W397" s="48"/>
      <c r="X397" s="48"/>
      <c r="Y397" s="48"/>
      <c r="Z397" s="48"/>
      <c r="AA397" s="48"/>
      <c r="AB397" s="48"/>
      <c r="AC397" s="48"/>
      <c r="AD397" s="48"/>
      <c r="AE397" s="48"/>
    </row>
    <row r="398" spans="1:31" outlineLevel="1">
      <c r="A398" s="412">
        <f>ROW()</f>
        <v>398</v>
      </c>
      <c r="C398" s="49"/>
      <c r="D398" s="49"/>
      <c r="E398" s="49"/>
      <c r="F398" s="49"/>
      <c r="G398" s="117"/>
      <c r="H398" s="109"/>
      <c r="I398" s="109"/>
      <c r="J398" s="109"/>
      <c r="K398" s="109"/>
      <c r="L398" s="109"/>
      <c r="M398" s="109"/>
      <c r="O398" s="287"/>
      <c r="Q398" s="48"/>
      <c r="R398" s="48"/>
      <c r="S398" s="48"/>
      <c r="T398" s="48"/>
      <c r="U398" s="48"/>
      <c r="V398" s="48"/>
      <c r="W398" s="48"/>
      <c r="X398" s="48"/>
      <c r="Y398" s="48"/>
      <c r="Z398" s="48"/>
      <c r="AA398" s="48"/>
      <c r="AB398" s="48"/>
      <c r="AC398" s="48"/>
      <c r="AD398" s="48"/>
      <c r="AE398" s="48"/>
    </row>
    <row r="399" spans="1:31" outlineLevel="1">
      <c r="A399" s="412">
        <f>ROW()</f>
        <v>399</v>
      </c>
      <c r="B399" s="30" t="s">
        <v>504</v>
      </c>
      <c r="C399" s="117"/>
      <c r="D399" s="49"/>
      <c r="E399" s="49"/>
      <c r="F399" s="49"/>
      <c r="G399" s="583">
        <v>0</v>
      </c>
      <c r="H399" s="583">
        <v>0</v>
      </c>
      <c r="I399" s="583">
        <v>0</v>
      </c>
      <c r="J399" s="583">
        <v>0</v>
      </c>
      <c r="K399" s="583">
        <v>0</v>
      </c>
      <c r="L399" s="583">
        <v>0</v>
      </c>
      <c r="M399" s="583">
        <v>0</v>
      </c>
      <c r="O399" s="287"/>
      <c r="Q399" s="48"/>
      <c r="R399" s="48"/>
      <c r="S399" s="48"/>
      <c r="T399" s="48"/>
      <c r="U399" s="48"/>
      <c r="V399" s="48"/>
      <c r="W399" s="48"/>
      <c r="X399" s="48"/>
      <c r="Y399" s="48"/>
      <c r="Z399" s="48"/>
      <c r="AA399" s="48"/>
      <c r="AB399" s="48"/>
      <c r="AC399" s="48"/>
      <c r="AD399" s="48"/>
      <c r="AE399" s="48"/>
    </row>
    <row r="400" spans="1:31" outlineLevel="1">
      <c r="A400" s="412">
        <f>ROW()</f>
        <v>400</v>
      </c>
      <c r="C400" s="49"/>
      <c r="D400" s="49"/>
      <c r="E400" s="49"/>
      <c r="F400" s="49"/>
      <c r="G400" s="587"/>
      <c r="H400" s="767"/>
      <c r="I400" s="767"/>
      <c r="J400" s="767"/>
      <c r="K400" s="767"/>
      <c r="L400" s="767"/>
      <c r="M400" s="767"/>
      <c r="O400" s="287"/>
      <c r="Q400" s="48"/>
      <c r="R400" s="48"/>
      <c r="S400" s="48"/>
      <c r="T400" s="48"/>
      <c r="U400" s="48"/>
      <c r="V400" s="48"/>
      <c r="W400" s="48"/>
      <c r="X400" s="48"/>
      <c r="Y400" s="48"/>
      <c r="Z400" s="48"/>
      <c r="AA400" s="48"/>
      <c r="AB400" s="48"/>
      <c r="AC400" s="48"/>
      <c r="AD400" s="48"/>
      <c r="AE400" s="48"/>
    </row>
    <row r="401" spans="1:31" ht="15.6" outlineLevel="1">
      <c r="A401" s="412">
        <f>ROW()</f>
        <v>401</v>
      </c>
      <c r="B401" s="348" t="s">
        <v>474</v>
      </c>
      <c r="C401" s="1657"/>
      <c r="D401" s="348"/>
      <c r="E401" s="348"/>
      <c r="F401" s="348"/>
      <c r="G401" s="1658">
        <f>SUM(G397,G286,G261,G274,G300,G399)*($C$69)</f>
        <v>0</v>
      </c>
      <c r="H401" s="1658">
        <f t="shared" ref="H401:M401" si="98">SUM(H397,H286,H261,H274,H300,H399)*($C$69)</f>
        <v>8700</v>
      </c>
      <c r="I401" s="1657">
        <f t="shared" si="98"/>
        <v>13200</v>
      </c>
      <c r="J401" s="1657">
        <f t="shared" si="98"/>
        <v>15300</v>
      </c>
      <c r="K401" s="1657">
        <f t="shared" si="98"/>
        <v>18300</v>
      </c>
      <c r="L401" s="1657">
        <f t="shared" si="98"/>
        <v>18900</v>
      </c>
      <c r="M401" s="1657">
        <f t="shared" si="98"/>
        <v>18900</v>
      </c>
      <c r="O401" s="287"/>
      <c r="Q401" s="48"/>
      <c r="R401" s="48"/>
      <c r="S401" s="48"/>
      <c r="T401" s="48"/>
      <c r="U401" s="48"/>
      <c r="V401" s="48"/>
      <c r="W401" s="48"/>
      <c r="X401" s="48"/>
      <c r="Y401" s="48"/>
      <c r="Z401" s="48"/>
      <c r="AA401" s="48"/>
      <c r="AB401" s="48"/>
      <c r="AC401" s="48"/>
      <c r="AD401" s="48"/>
      <c r="AE401" s="48"/>
    </row>
    <row r="402" spans="1:31" ht="14.4" outlineLevel="1" thickBot="1">
      <c r="A402" s="412">
        <f>ROW()</f>
        <v>402</v>
      </c>
      <c r="B402" s="74" t="s">
        <v>1239</v>
      </c>
      <c r="C402" s="49"/>
      <c r="D402" s="49"/>
      <c r="E402" s="49"/>
      <c r="F402" s="49"/>
      <c r="G402" s="550" t="e">
        <f>+G401/G403</f>
        <v>#DIV/0!</v>
      </c>
      <c r="H402" s="550">
        <f t="shared" ref="H402:M402" si="99">+H401/H403</f>
        <v>9.9009900990099011E-3</v>
      </c>
      <c r="I402" s="550">
        <f t="shared" si="99"/>
        <v>9.9009900990099011E-3</v>
      </c>
      <c r="J402" s="550">
        <f t="shared" si="99"/>
        <v>9.9009900990099011E-3</v>
      </c>
      <c r="K402" s="550">
        <f t="shared" si="99"/>
        <v>9.9009900990099011E-3</v>
      </c>
      <c r="L402" s="550">
        <f t="shared" si="99"/>
        <v>9.9009900990099011E-3</v>
      </c>
      <c r="M402" s="550">
        <f t="shared" si="99"/>
        <v>9.9009900990099011E-3</v>
      </c>
      <c r="O402" s="287"/>
      <c r="Q402" s="48"/>
      <c r="R402" s="48"/>
      <c r="S402" s="48"/>
      <c r="T402" s="48"/>
      <c r="U402" s="48"/>
      <c r="V402" s="48"/>
      <c r="W402" s="48"/>
      <c r="X402" s="48"/>
      <c r="Y402" s="48"/>
      <c r="Z402" s="48"/>
      <c r="AA402" s="48"/>
      <c r="AB402" s="48"/>
      <c r="AC402" s="48"/>
      <c r="AD402" s="48"/>
      <c r="AE402" s="48"/>
    </row>
    <row r="403" spans="1:31" ht="14.4" thickBot="1">
      <c r="A403" s="412">
        <f>ROW()</f>
        <v>403</v>
      </c>
      <c r="B403" s="730" t="s">
        <v>441</v>
      </c>
      <c r="C403" s="731">
        <f>SUM(G403:M403)</f>
        <v>9423300</v>
      </c>
      <c r="D403" s="1659"/>
      <c r="E403" s="1659"/>
      <c r="F403" s="1659"/>
      <c r="G403" s="731">
        <f t="shared" ref="G403:M403" si="100">G397+G286+G261+G274+G300+G399+G401</f>
        <v>0</v>
      </c>
      <c r="H403" s="731">
        <f t="shared" si="100"/>
        <v>878700</v>
      </c>
      <c r="I403" s="731">
        <f t="shared" si="100"/>
        <v>1333200</v>
      </c>
      <c r="J403" s="731">
        <f t="shared" si="100"/>
        <v>1545300</v>
      </c>
      <c r="K403" s="731">
        <f t="shared" si="100"/>
        <v>1848300</v>
      </c>
      <c r="L403" s="731">
        <f t="shared" si="100"/>
        <v>1908900</v>
      </c>
      <c r="M403" s="731">
        <f t="shared" si="100"/>
        <v>1908900</v>
      </c>
      <c r="O403" s="287"/>
      <c r="Q403" s="48"/>
      <c r="R403" s="48"/>
      <c r="S403" s="48"/>
      <c r="T403" s="48"/>
      <c r="U403" s="48"/>
      <c r="V403" s="48"/>
      <c r="W403" s="48"/>
      <c r="X403" s="48"/>
      <c r="Y403" s="48"/>
      <c r="Z403" s="48"/>
      <c r="AA403" s="48"/>
      <c r="AB403" s="48"/>
      <c r="AC403" s="48"/>
      <c r="AD403" s="48"/>
      <c r="AE403" s="48"/>
    </row>
    <row r="404" spans="1:31">
      <c r="A404" s="412">
        <f>ROW()</f>
        <v>404</v>
      </c>
      <c r="C404" s="109"/>
      <c r="G404" s="429"/>
      <c r="H404" s="588"/>
      <c r="I404" s="588"/>
      <c r="J404" s="588"/>
      <c r="K404" s="588"/>
      <c r="L404" s="588"/>
      <c r="M404" s="588"/>
      <c r="N404" s="49"/>
      <c r="O404" s="287"/>
      <c r="Q404" s="48"/>
      <c r="R404" s="48"/>
      <c r="S404" s="48"/>
      <c r="T404" s="48"/>
      <c r="U404" s="48"/>
      <c r="V404" s="48"/>
      <c r="W404" s="48"/>
      <c r="X404" s="48"/>
      <c r="Y404" s="48"/>
      <c r="Z404" s="48"/>
      <c r="AA404" s="48"/>
      <c r="AB404" s="48"/>
      <c r="AC404" s="48"/>
      <c r="AD404" s="48"/>
      <c r="AE404" s="48"/>
    </row>
    <row r="405" spans="1:31" ht="15.6">
      <c r="A405" s="412">
        <f>ROW()</f>
        <v>405</v>
      </c>
      <c r="B405" s="1653" t="s">
        <v>442</v>
      </c>
      <c r="C405" s="1660"/>
      <c r="D405" s="1653"/>
      <c r="E405" s="1653"/>
      <c r="F405" s="1653"/>
      <c r="G405" s="1661"/>
      <c r="H405" s="1662"/>
      <c r="I405" s="1662"/>
      <c r="J405" s="1662"/>
      <c r="K405" s="1662"/>
      <c r="L405" s="1662"/>
      <c r="M405" s="1662"/>
      <c r="N405" s="163"/>
      <c r="O405" s="287"/>
      <c r="Q405" s="48"/>
      <c r="R405" s="48"/>
      <c r="S405" s="48"/>
      <c r="T405" s="48"/>
      <c r="U405" s="48"/>
      <c r="V405" s="48"/>
      <c r="W405" s="48"/>
      <c r="X405" s="48"/>
      <c r="Y405" s="48"/>
      <c r="Z405" s="48"/>
      <c r="AA405" s="48"/>
      <c r="AB405" s="48"/>
      <c r="AC405" s="48"/>
      <c r="AD405" s="48"/>
      <c r="AE405" s="48"/>
    </row>
    <row r="406" spans="1:31" ht="15.6">
      <c r="A406" s="412">
        <f>ROW()</f>
        <v>406</v>
      </c>
      <c r="B406" s="94"/>
      <c r="C406" s="110"/>
      <c r="D406" s="94"/>
      <c r="E406" s="94"/>
      <c r="F406" s="94"/>
      <c r="G406" s="429"/>
      <c r="H406" s="588"/>
      <c r="I406" s="588"/>
      <c r="J406" s="588"/>
      <c r="K406" s="588"/>
      <c r="L406" s="588"/>
      <c r="M406" s="588"/>
      <c r="N406" s="163"/>
      <c r="O406" s="287"/>
      <c r="Q406" s="48"/>
      <c r="R406" s="48"/>
      <c r="S406" s="48"/>
      <c r="T406" s="48"/>
      <c r="U406" s="48"/>
      <c r="V406" s="48"/>
      <c r="W406" s="48"/>
      <c r="X406" s="48"/>
      <c r="Y406" s="48"/>
      <c r="Z406" s="48"/>
      <c r="AA406" s="48"/>
      <c r="AB406" s="48"/>
      <c r="AC406" s="48"/>
      <c r="AD406" s="48"/>
      <c r="AE406" s="48"/>
    </row>
    <row r="407" spans="1:31" ht="15.6">
      <c r="A407" s="412">
        <f>ROW()</f>
        <v>407</v>
      </c>
      <c r="B407" s="348" t="s">
        <v>443</v>
      </c>
      <c r="C407" s="1657"/>
      <c r="D407" s="348"/>
      <c r="E407" s="348"/>
      <c r="F407" s="348"/>
      <c r="G407" s="1663"/>
      <c r="H407" s="1664"/>
      <c r="I407" s="1664"/>
      <c r="J407" s="1664"/>
      <c r="K407" s="1664"/>
      <c r="L407" s="1664"/>
      <c r="M407" s="1664"/>
      <c r="N407" s="163"/>
      <c r="O407" s="287"/>
      <c r="Q407" s="48"/>
      <c r="R407" s="48"/>
      <c r="S407" s="48"/>
      <c r="T407" s="48"/>
      <c r="U407" s="48"/>
      <c r="V407" s="48"/>
      <c r="W407" s="48"/>
      <c r="X407" s="48"/>
      <c r="Y407" s="48"/>
      <c r="Z407" s="48"/>
      <c r="AA407" s="48"/>
      <c r="AB407" s="48"/>
      <c r="AC407" s="48"/>
      <c r="AD407" s="48"/>
      <c r="AE407" s="48"/>
    </row>
    <row r="408" spans="1:31" ht="15.6">
      <c r="A408" s="412">
        <f>ROW()</f>
        <v>408</v>
      </c>
      <c r="B408" s="106" t="s">
        <v>505</v>
      </c>
      <c r="C408" s="148"/>
      <c r="D408" s="106"/>
      <c r="E408" s="104"/>
      <c r="F408" s="104"/>
      <c r="G408" s="546">
        <f t="shared" ref="G408:M408" si="101">IFERROR((G24*$C$59*((1+$C$69)^(G$10-$G$10))),0)</f>
        <v>0</v>
      </c>
      <c r="H408" s="742">
        <f t="shared" si="101"/>
        <v>65902.5</v>
      </c>
      <c r="I408" s="546">
        <f t="shared" si="101"/>
        <v>98694.675000000003</v>
      </c>
      <c r="J408" s="546">
        <f t="shared" si="101"/>
        <v>115908.86249999999</v>
      </c>
      <c r="K408" s="546">
        <f t="shared" si="101"/>
        <v>140481.54135000001</v>
      </c>
      <c r="L408" s="546">
        <f t="shared" si="101"/>
        <v>146615.90198894998</v>
      </c>
      <c r="M408" s="546">
        <f t="shared" si="101"/>
        <v>148082.06100883952</v>
      </c>
      <c r="N408" s="163"/>
      <c r="O408" s="287"/>
      <c r="Q408" s="48"/>
      <c r="R408" s="48"/>
      <c r="S408" s="48"/>
      <c r="T408" s="48"/>
      <c r="U408" s="48"/>
      <c r="V408" s="48"/>
      <c r="W408" s="48"/>
      <c r="X408" s="48"/>
      <c r="Y408" s="48"/>
      <c r="Z408" s="48"/>
      <c r="AA408" s="48"/>
      <c r="AB408" s="48"/>
      <c r="AC408" s="48"/>
      <c r="AD408" s="48"/>
      <c r="AE408" s="48"/>
    </row>
    <row r="409" spans="1:31" ht="15.6">
      <c r="A409" s="412">
        <f>ROW()</f>
        <v>409</v>
      </c>
      <c r="B409" s="94"/>
      <c r="C409" s="111"/>
      <c r="D409" s="95"/>
      <c r="E409" s="94"/>
      <c r="F409" s="94"/>
      <c r="G409" s="1401">
        <f>IFERROR(G408/G$403,0)</f>
        <v>0</v>
      </c>
      <c r="H409" s="1401">
        <f>IFERROR(H408/H$403,0)</f>
        <v>7.4999999999999997E-2</v>
      </c>
      <c r="I409" s="1401">
        <f t="shared" ref="I409:M409" si="102">IFERROR(I408/I$403,0)</f>
        <v>7.4028409090909089E-2</v>
      </c>
      <c r="J409" s="1401">
        <f t="shared" si="102"/>
        <v>7.5007352941176469E-2</v>
      </c>
      <c r="K409" s="1401">
        <f t="shared" si="102"/>
        <v>7.6005811475409843E-2</v>
      </c>
      <c r="L409" s="1401">
        <f t="shared" si="102"/>
        <v>7.6806486452380945E-2</v>
      </c>
      <c r="M409" s="1401">
        <f t="shared" si="102"/>
        <v>7.7574551316904772E-2</v>
      </c>
      <c r="N409" s="163"/>
      <c r="O409" s="287"/>
      <c r="Q409" s="48"/>
      <c r="R409" s="48"/>
      <c r="S409" s="48"/>
      <c r="T409" s="48"/>
      <c r="U409" s="48"/>
      <c r="V409" s="48"/>
      <c r="W409" s="48"/>
      <c r="X409" s="48"/>
      <c r="Y409" s="48"/>
      <c r="Z409" s="48"/>
      <c r="AA409" s="48"/>
      <c r="AB409" s="48"/>
      <c r="AC409" s="48"/>
      <c r="AD409" s="48"/>
      <c r="AE409" s="48"/>
    </row>
    <row r="410" spans="1:31" ht="15.6">
      <c r="A410" s="412">
        <f>ROW()</f>
        <v>410</v>
      </c>
      <c r="B410" s="348" t="s">
        <v>506</v>
      </c>
      <c r="C410" s="1657"/>
      <c r="D410" s="348"/>
      <c r="E410" s="348"/>
      <c r="F410" s="348"/>
      <c r="G410" s="1663"/>
      <c r="H410" s="1664"/>
      <c r="I410" s="1664"/>
      <c r="J410" s="1664"/>
      <c r="K410" s="1664"/>
      <c r="L410" s="1664"/>
      <c r="M410" s="1664"/>
      <c r="N410" s="163"/>
      <c r="O410" s="287"/>
      <c r="Q410" s="48"/>
      <c r="R410" s="48"/>
      <c r="S410" s="48"/>
      <c r="T410" s="48"/>
      <c r="U410" s="48"/>
      <c r="V410" s="48"/>
      <c r="W410" s="48"/>
      <c r="X410" s="48"/>
      <c r="Y410" s="48"/>
      <c r="Z410" s="48"/>
      <c r="AA410" s="48"/>
      <c r="AB410" s="48"/>
      <c r="AC410" s="48"/>
      <c r="AD410" s="48"/>
      <c r="AE410" s="48"/>
    </row>
    <row r="411" spans="1:31" ht="15.6">
      <c r="A411" s="412">
        <f>ROW()</f>
        <v>411</v>
      </c>
      <c r="B411" s="1665" t="s">
        <v>507</v>
      </c>
      <c r="C411" s="1666"/>
      <c r="D411" s="1665"/>
      <c r="E411" s="1667"/>
      <c r="F411" s="1667"/>
      <c r="G411" s="546">
        <f t="shared" ref="G411:M411" si="103">G403*$C$60</f>
        <v>0</v>
      </c>
      <c r="H411" s="546">
        <f t="shared" si="103"/>
        <v>12741.150000000001</v>
      </c>
      <c r="I411" s="546">
        <f t="shared" si="103"/>
        <v>19331.400000000001</v>
      </c>
      <c r="J411" s="546">
        <f t="shared" si="103"/>
        <v>22406.850000000002</v>
      </c>
      <c r="K411" s="546">
        <f t="shared" si="103"/>
        <v>26800.350000000002</v>
      </c>
      <c r="L411" s="546">
        <f t="shared" si="103"/>
        <v>27679.050000000003</v>
      </c>
      <c r="M411" s="546">
        <f t="shared" si="103"/>
        <v>27679.050000000003</v>
      </c>
      <c r="N411" s="163"/>
      <c r="O411" s="287"/>
      <c r="Q411" s="48"/>
      <c r="R411" s="48"/>
      <c r="S411" s="48"/>
      <c r="T411" s="48"/>
      <c r="U411" s="48"/>
      <c r="V411" s="48"/>
      <c r="W411" s="48"/>
      <c r="X411" s="48"/>
      <c r="Y411" s="48"/>
      <c r="Z411" s="48"/>
      <c r="AA411" s="48"/>
      <c r="AB411" s="48"/>
      <c r="AC411" s="48"/>
      <c r="AD411" s="48"/>
      <c r="AE411" s="48"/>
    </row>
    <row r="412" spans="1:31" ht="15.6">
      <c r="A412" s="412">
        <f>ROW()</f>
        <v>412</v>
      </c>
      <c r="B412" s="94"/>
      <c r="C412" s="111"/>
      <c r="D412" s="95"/>
      <c r="E412" s="94"/>
      <c r="F412" s="94"/>
      <c r="G412" s="1401">
        <f>IFERROR(G411/G$403,0)</f>
        <v>0</v>
      </c>
      <c r="H412" s="1401">
        <f>IFERROR(H411/H$403,0)</f>
        <v>1.4500000000000002E-2</v>
      </c>
      <c r="I412" s="1401">
        <f t="shared" ref="I412:M412" si="104">IFERROR(I411/I$403,0)</f>
        <v>1.4500000000000001E-2</v>
      </c>
      <c r="J412" s="1401">
        <f t="shared" si="104"/>
        <v>1.4500000000000001E-2</v>
      </c>
      <c r="K412" s="1401">
        <f t="shared" si="104"/>
        <v>1.4500000000000001E-2</v>
      </c>
      <c r="L412" s="1401">
        <f t="shared" si="104"/>
        <v>1.4500000000000001E-2</v>
      </c>
      <c r="M412" s="1401">
        <f t="shared" si="104"/>
        <v>1.4500000000000001E-2</v>
      </c>
      <c r="N412" s="163"/>
      <c r="O412" s="287"/>
      <c r="Q412" s="48"/>
      <c r="R412" s="48"/>
      <c r="S412" s="48"/>
      <c r="T412" s="48"/>
      <c r="U412" s="48"/>
      <c r="V412" s="48"/>
      <c r="W412" s="48"/>
      <c r="X412" s="48"/>
      <c r="Y412" s="48"/>
      <c r="Z412" s="48"/>
      <c r="AA412" s="48"/>
      <c r="AB412" s="48"/>
      <c r="AC412" s="48"/>
      <c r="AD412" s="48"/>
      <c r="AE412" s="48"/>
    </row>
    <row r="413" spans="1:31" ht="15.6">
      <c r="A413" s="412">
        <f>ROW()</f>
        <v>413</v>
      </c>
      <c r="B413" s="348" t="s">
        <v>508</v>
      </c>
      <c r="C413" s="1657"/>
      <c r="D413" s="348"/>
      <c r="E413" s="348"/>
      <c r="F413" s="348"/>
      <c r="G413" s="1663"/>
      <c r="H413" s="1664"/>
      <c r="I413" s="1664"/>
      <c r="J413" s="1664"/>
      <c r="K413" s="1664"/>
      <c r="L413" s="1664"/>
      <c r="M413" s="1664"/>
      <c r="N413" s="163"/>
      <c r="O413" s="287"/>
      <c r="Q413" s="48"/>
      <c r="R413" s="48"/>
      <c r="S413" s="48"/>
      <c r="T413" s="48"/>
      <c r="U413" s="48"/>
      <c r="V413" s="48"/>
      <c r="W413" s="48"/>
      <c r="X413" s="48"/>
      <c r="Y413" s="48"/>
      <c r="Z413" s="48"/>
      <c r="AA413" s="48"/>
      <c r="AB413" s="48"/>
      <c r="AC413" s="48"/>
      <c r="AD413" s="48"/>
      <c r="AE413" s="48"/>
    </row>
    <row r="414" spans="1:31" ht="15.6">
      <c r="A414" s="412">
        <f>ROW()</f>
        <v>414</v>
      </c>
      <c r="B414" s="1665" t="s">
        <v>509</v>
      </c>
      <c r="C414" s="1666"/>
      <c r="D414" s="1665"/>
      <c r="E414" s="1667"/>
      <c r="F414" s="1667"/>
      <c r="G414" s="546">
        <f t="shared" ref="G414:M414" si="105">G403*$C$61</f>
        <v>0</v>
      </c>
      <c r="H414" s="546">
        <f t="shared" si="105"/>
        <v>153772.5</v>
      </c>
      <c r="I414" s="546">
        <f t="shared" si="105"/>
        <v>233309.99999999997</v>
      </c>
      <c r="J414" s="546">
        <f t="shared" si="105"/>
        <v>270427.5</v>
      </c>
      <c r="K414" s="546">
        <f t="shared" si="105"/>
        <v>323452.5</v>
      </c>
      <c r="L414" s="546">
        <f t="shared" si="105"/>
        <v>334057.5</v>
      </c>
      <c r="M414" s="546">
        <f t="shared" si="105"/>
        <v>334057.5</v>
      </c>
      <c r="N414" s="163"/>
      <c r="O414" s="287"/>
      <c r="Q414" s="48"/>
      <c r="R414" s="48"/>
      <c r="S414" s="48"/>
      <c r="T414" s="48"/>
      <c r="U414" s="48"/>
      <c r="V414" s="48"/>
      <c r="W414" s="48"/>
      <c r="X414" s="48"/>
      <c r="Y414" s="48"/>
      <c r="Z414" s="48"/>
      <c r="AA414" s="48"/>
      <c r="AB414" s="48"/>
      <c r="AC414" s="48"/>
      <c r="AD414" s="48"/>
      <c r="AE414" s="48"/>
    </row>
    <row r="415" spans="1:31" ht="15.6">
      <c r="A415" s="412">
        <f>ROW()</f>
        <v>415</v>
      </c>
      <c r="B415" s="94"/>
      <c r="C415" s="111"/>
      <c r="D415" s="95"/>
      <c r="E415" s="94"/>
      <c r="F415" s="94"/>
      <c r="G415" s="1401">
        <f>IFERROR(G414/G$403,0)</f>
        <v>0</v>
      </c>
      <c r="H415" s="1401">
        <f>IFERROR(H414/H$403,0)</f>
        <v>0.17499999999999999</v>
      </c>
      <c r="I415" s="1401">
        <f t="shared" ref="I415:M415" si="106">IFERROR(I414/I$403,0)</f>
        <v>0.17499999999999999</v>
      </c>
      <c r="J415" s="1401">
        <f t="shared" si="106"/>
        <v>0.17499999999999999</v>
      </c>
      <c r="K415" s="1401">
        <f t="shared" si="106"/>
        <v>0.17499999999999999</v>
      </c>
      <c r="L415" s="1401">
        <f t="shared" si="106"/>
        <v>0.17499999999999999</v>
      </c>
      <c r="M415" s="1401">
        <f t="shared" si="106"/>
        <v>0.17499999999999999</v>
      </c>
      <c r="N415" s="163"/>
      <c r="O415" s="287"/>
      <c r="Q415" s="48"/>
      <c r="R415" s="48"/>
      <c r="S415" s="48"/>
      <c r="T415" s="48"/>
      <c r="U415" s="48"/>
      <c r="V415" s="48"/>
      <c r="W415" s="48"/>
      <c r="X415" s="48"/>
      <c r="Y415" s="48"/>
      <c r="Z415" s="48"/>
      <c r="AA415" s="48"/>
      <c r="AB415" s="48"/>
      <c r="AC415" s="48"/>
      <c r="AD415" s="48"/>
      <c r="AE415" s="48"/>
    </row>
    <row r="416" spans="1:31" ht="15.6">
      <c r="A416" s="412">
        <f>ROW()</f>
        <v>416</v>
      </c>
      <c r="B416" s="348" t="s">
        <v>466</v>
      </c>
      <c r="C416" s="1657"/>
      <c r="D416" s="348"/>
      <c r="E416" s="348"/>
      <c r="F416" s="348"/>
      <c r="G416" s="1663"/>
      <c r="H416" s="1664"/>
      <c r="I416" s="1664"/>
      <c r="J416" s="1664"/>
      <c r="K416" s="1664"/>
      <c r="L416" s="1664"/>
      <c r="M416" s="1664"/>
      <c r="N416" s="163"/>
      <c r="O416" s="287"/>
      <c r="Q416" s="48"/>
      <c r="R416" s="48"/>
      <c r="S416" s="48"/>
      <c r="T416" s="48"/>
      <c r="U416" s="48"/>
      <c r="V416" s="48"/>
      <c r="W416" s="48"/>
      <c r="X416" s="48"/>
      <c r="Y416" s="48"/>
      <c r="Z416" s="48"/>
      <c r="AA416" s="48"/>
      <c r="AB416" s="48"/>
      <c r="AC416" s="48"/>
      <c r="AD416" s="48"/>
      <c r="AE416" s="48"/>
    </row>
    <row r="417" spans="1:31" ht="15.6">
      <c r="A417" s="412">
        <f>ROW()</f>
        <v>417</v>
      </c>
      <c r="B417" s="1665" t="s">
        <v>510</v>
      </c>
      <c r="C417" s="1666"/>
      <c r="D417" s="1665"/>
      <c r="E417" s="1667"/>
      <c r="F417" s="1667"/>
      <c r="G417" s="546">
        <f t="shared" ref="G417:M417" si="107">G403*$C$62</f>
        <v>0</v>
      </c>
      <c r="H417" s="546">
        <f t="shared" si="107"/>
        <v>8787</v>
      </c>
      <c r="I417" s="546">
        <f t="shared" si="107"/>
        <v>13332</v>
      </c>
      <c r="J417" s="546">
        <f t="shared" si="107"/>
        <v>15453</v>
      </c>
      <c r="K417" s="546">
        <f t="shared" si="107"/>
        <v>18483</v>
      </c>
      <c r="L417" s="546">
        <f t="shared" si="107"/>
        <v>19089</v>
      </c>
      <c r="M417" s="546">
        <f t="shared" si="107"/>
        <v>19089</v>
      </c>
      <c r="N417" s="163"/>
      <c r="O417" s="287"/>
      <c r="Q417" s="48"/>
      <c r="R417" s="48"/>
      <c r="S417" s="48"/>
      <c r="T417" s="48"/>
      <c r="U417" s="48"/>
      <c r="V417" s="48"/>
      <c r="W417" s="48"/>
      <c r="X417" s="48"/>
      <c r="Y417" s="48"/>
      <c r="Z417" s="48"/>
      <c r="AA417" s="48"/>
      <c r="AB417" s="48"/>
      <c r="AC417" s="48"/>
      <c r="AD417" s="48"/>
      <c r="AE417" s="48"/>
    </row>
    <row r="418" spans="1:31" ht="15.6">
      <c r="A418" s="412">
        <f>ROW()</f>
        <v>418</v>
      </c>
      <c r="B418" s="30"/>
      <c r="C418" s="112"/>
      <c r="D418" s="30"/>
      <c r="G418" s="1401">
        <f>IFERROR(G417/G$403,0)</f>
        <v>0</v>
      </c>
      <c r="H418" s="1401">
        <f>IFERROR(H417/H$403,0)</f>
        <v>0.01</v>
      </c>
      <c r="I418" s="1401">
        <f t="shared" ref="I418:M418" si="108">IFERROR(I417/I$403,0)</f>
        <v>0.01</v>
      </c>
      <c r="J418" s="1401">
        <f t="shared" si="108"/>
        <v>0.01</v>
      </c>
      <c r="K418" s="1401">
        <f t="shared" si="108"/>
        <v>0.01</v>
      </c>
      <c r="L418" s="1401">
        <f t="shared" si="108"/>
        <v>0.01</v>
      </c>
      <c r="M418" s="1401">
        <f t="shared" si="108"/>
        <v>0.01</v>
      </c>
      <c r="N418" s="163"/>
      <c r="O418" s="287"/>
      <c r="Q418" s="48"/>
      <c r="R418" s="48"/>
      <c r="S418" s="48"/>
      <c r="T418" s="48"/>
      <c r="U418" s="48"/>
      <c r="V418" s="48"/>
      <c r="W418" s="48"/>
      <c r="X418" s="48"/>
      <c r="Y418" s="48"/>
      <c r="Z418" s="48"/>
      <c r="AA418" s="48"/>
      <c r="AB418" s="48"/>
      <c r="AC418" s="48"/>
      <c r="AD418" s="48"/>
      <c r="AE418" s="48"/>
    </row>
    <row r="419" spans="1:31" ht="15.6">
      <c r="A419" s="412">
        <f>ROW()</f>
        <v>419</v>
      </c>
      <c r="B419" s="348" t="s">
        <v>1205</v>
      </c>
      <c r="C419" s="1657"/>
      <c r="D419" s="348"/>
      <c r="E419" s="348"/>
      <c r="F419" s="348"/>
      <c r="G419" s="1663"/>
      <c r="H419" s="1664"/>
      <c r="I419" s="1664"/>
      <c r="J419" s="1664"/>
      <c r="K419" s="1664"/>
      <c r="L419" s="1664"/>
      <c r="M419" s="1664"/>
      <c r="N419" s="163"/>
      <c r="O419" s="287"/>
      <c r="Q419" s="48"/>
      <c r="R419" s="48"/>
      <c r="S419" s="48"/>
      <c r="T419" s="48"/>
      <c r="U419" s="48"/>
      <c r="V419" s="48"/>
      <c r="W419" s="48"/>
      <c r="X419" s="48"/>
      <c r="Y419" s="48"/>
      <c r="Z419" s="48"/>
      <c r="AA419" s="48"/>
      <c r="AB419" s="48"/>
      <c r="AC419" s="48"/>
      <c r="AD419" s="48"/>
      <c r="AE419" s="48"/>
    </row>
    <row r="420" spans="1:31" ht="15.6">
      <c r="A420" s="412">
        <f>ROW()</f>
        <v>420</v>
      </c>
      <c r="B420" s="147" t="s">
        <v>1206</v>
      </c>
      <c r="C420" s="148"/>
      <c r="D420" s="106"/>
      <c r="E420" s="104"/>
      <c r="F420" s="104"/>
      <c r="G420" s="546">
        <f t="shared" ref="G420:M420" si="109">G24*$C$63</f>
        <v>0</v>
      </c>
      <c r="H420" s="546">
        <f t="shared" si="109"/>
        <v>0</v>
      </c>
      <c r="I420" s="546">
        <f t="shared" si="109"/>
        <v>0</v>
      </c>
      <c r="J420" s="546">
        <f t="shared" si="109"/>
        <v>0</v>
      </c>
      <c r="K420" s="546">
        <f t="shared" si="109"/>
        <v>0</v>
      </c>
      <c r="L420" s="546">
        <f t="shared" si="109"/>
        <v>0</v>
      </c>
      <c r="M420" s="546">
        <f t="shared" si="109"/>
        <v>0</v>
      </c>
      <c r="N420" s="163"/>
      <c r="O420" s="287"/>
      <c r="Q420" s="48"/>
      <c r="R420" s="48"/>
      <c r="S420" s="48"/>
      <c r="T420" s="48"/>
      <c r="U420" s="48"/>
      <c r="V420" s="48"/>
      <c r="W420" s="48"/>
      <c r="X420" s="48"/>
      <c r="Y420" s="48"/>
      <c r="Z420" s="48"/>
      <c r="AA420" s="48"/>
      <c r="AB420" s="48"/>
      <c r="AC420" s="48"/>
      <c r="AD420" s="48"/>
      <c r="AE420" s="48"/>
    </row>
    <row r="421" spans="1:31" ht="15.6">
      <c r="A421" s="412">
        <f>ROW()</f>
        <v>421</v>
      </c>
      <c r="B421" s="30"/>
      <c r="C421" s="112"/>
      <c r="D421" s="30"/>
      <c r="G421" s="1401">
        <f>IFERROR(G420/G$403,0)</f>
        <v>0</v>
      </c>
      <c r="H421" s="1401">
        <f>IFERROR(H420/H$403,0)</f>
        <v>0</v>
      </c>
      <c r="I421" s="1401">
        <f t="shared" ref="I421:M421" si="110">IFERROR(I420/I$403,0)</f>
        <v>0</v>
      </c>
      <c r="J421" s="1401">
        <f t="shared" si="110"/>
        <v>0</v>
      </c>
      <c r="K421" s="1401">
        <f t="shared" si="110"/>
        <v>0</v>
      </c>
      <c r="L421" s="1401">
        <f t="shared" si="110"/>
        <v>0</v>
      </c>
      <c r="M421" s="1401">
        <f t="shared" si="110"/>
        <v>0</v>
      </c>
      <c r="N421" s="163"/>
      <c r="O421" s="287"/>
      <c r="Q421" s="48"/>
      <c r="R421" s="48"/>
      <c r="S421" s="48"/>
      <c r="T421" s="48"/>
      <c r="U421" s="48"/>
      <c r="V421" s="48"/>
      <c r="W421" s="48"/>
      <c r="X421" s="48"/>
      <c r="Y421" s="48"/>
      <c r="Z421" s="48"/>
      <c r="AA421" s="48"/>
      <c r="AB421" s="48"/>
      <c r="AC421" s="48"/>
      <c r="AD421" s="48"/>
      <c r="AE421" s="48"/>
    </row>
    <row r="422" spans="1:31" ht="15.6">
      <c r="A422" s="412">
        <f>ROW()</f>
        <v>422</v>
      </c>
      <c r="B422" s="348" t="s">
        <v>469</v>
      </c>
      <c r="C422" s="1657"/>
      <c r="D422" s="348"/>
      <c r="E422" s="348"/>
      <c r="F422" s="348"/>
      <c r="G422" s="1663"/>
      <c r="H422" s="1664"/>
      <c r="I422" s="1664"/>
      <c r="J422" s="1664"/>
      <c r="K422" s="1664"/>
      <c r="L422" s="1664"/>
      <c r="M422" s="1664"/>
      <c r="N422" s="163"/>
      <c r="O422" s="287"/>
      <c r="Q422" s="48"/>
      <c r="R422" s="48"/>
      <c r="S422" s="48"/>
      <c r="T422" s="48"/>
      <c r="U422" s="48"/>
      <c r="V422" s="48"/>
      <c r="W422" s="48"/>
      <c r="X422" s="48"/>
      <c r="Y422" s="48"/>
      <c r="Z422" s="48"/>
      <c r="AA422" s="48"/>
      <c r="AB422" s="48"/>
      <c r="AC422" s="48"/>
      <c r="AD422" s="48"/>
      <c r="AE422" s="48"/>
    </row>
    <row r="423" spans="1:31" ht="15.6">
      <c r="A423" s="412">
        <f>ROW()</f>
        <v>423</v>
      </c>
      <c r="B423" s="106" t="s">
        <v>511</v>
      </c>
      <c r="C423" s="148"/>
      <c r="D423" s="106"/>
      <c r="E423" s="104"/>
      <c r="F423" s="104"/>
      <c r="G423" s="546">
        <f>G403*$C$64</f>
        <v>0</v>
      </c>
      <c r="H423" s="546">
        <f t="shared" ref="H423:M423" si="111">H403*$C$64</f>
        <v>25921.649999999998</v>
      </c>
      <c r="I423" s="546">
        <f t="shared" si="111"/>
        <v>39329.4</v>
      </c>
      <c r="J423" s="546">
        <f t="shared" si="111"/>
        <v>45586.35</v>
      </c>
      <c r="K423" s="546">
        <f t="shared" si="111"/>
        <v>54524.85</v>
      </c>
      <c r="L423" s="546">
        <f t="shared" si="111"/>
        <v>56312.549999999996</v>
      </c>
      <c r="M423" s="546">
        <f t="shared" si="111"/>
        <v>56312.549999999996</v>
      </c>
      <c r="N423" s="163"/>
      <c r="O423" s="287"/>
      <c r="Q423" s="48"/>
      <c r="R423" s="48"/>
      <c r="S423" s="48"/>
      <c r="T423" s="48"/>
      <c r="U423" s="48"/>
      <c r="V423" s="48"/>
      <c r="W423" s="48"/>
      <c r="X423" s="48"/>
      <c r="Y423" s="48"/>
      <c r="Z423" s="48"/>
      <c r="AA423" s="48"/>
      <c r="AB423" s="48"/>
      <c r="AC423" s="48"/>
      <c r="AD423" s="48"/>
      <c r="AE423" s="48"/>
    </row>
    <row r="424" spans="1:31">
      <c r="A424" s="412">
        <f>ROW()</f>
        <v>424</v>
      </c>
      <c r="B424" s="30"/>
      <c r="C424" s="112"/>
      <c r="D424" s="30"/>
      <c r="G424" s="1401">
        <f>IFERROR(G423/G$403,0)</f>
        <v>0</v>
      </c>
      <c r="H424" s="1401">
        <f>IFERROR(H423/H$403,0)</f>
        <v>2.9499999999999998E-2</v>
      </c>
      <c r="I424" s="1401">
        <f t="shared" ref="I424:M424" si="112">IFERROR(I423/I$403,0)</f>
        <v>2.9500000000000002E-2</v>
      </c>
      <c r="J424" s="1401">
        <f t="shared" si="112"/>
        <v>2.9499999999999998E-2</v>
      </c>
      <c r="K424" s="1401">
        <f t="shared" si="112"/>
        <v>2.9499999999999998E-2</v>
      </c>
      <c r="L424" s="1401">
        <f t="shared" si="112"/>
        <v>2.9499999999999998E-2</v>
      </c>
      <c r="M424" s="1401">
        <f t="shared" si="112"/>
        <v>2.9499999999999998E-2</v>
      </c>
      <c r="O424" s="287"/>
      <c r="Q424" s="48"/>
      <c r="R424" s="48"/>
      <c r="S424" s="48"/>
      <c r="T424" s="48"/>
      <c r="U424" s="48"/>
      <c r="V424" s="48"/>
      <c r="W424" s="48"/>
      <c r="X424" s="48"/>
      <c r="Y424" s="48"/>
      <c r="Z424" s="48"/>
      <c r="AA424" s="48"/>
      <c r="AB424" s="48"/>
      <c r="AC424" s="48"/>
      <c r="AD424" s="48"/>
      <c r="AE424" s="48"/>
    </row>
    <row r="425" spans="1:31" ht="15.6">
      <c r="A425" s="412">
        <f>ROW()</f>
        <v>425</v>
      </c>
      <c r="B425" s="348" t="s">
        <v>470</v>
      </c>
      <c r="C425" s="1657"/>
      <c r="D425" s="348"/>
      <c r="E425" s="348"/>
      <c r="F425" s="348"/>
      <c r="G425" s="1663"/>
      <c r="H425" s="1664"/>
      <c r="I425" s="1664"/>
      <c r="J425" s="1664"/>
      <c r="K425" s="1664"/>
      <c r="L425" s="1664"/>
      <c r="M425" s="1664"/>
      <c r="O425" s="287"/>
      <c r="Q425" s="48"/>
      <c r="R425" s="48"/>
      <c r="S425" s="48"/>
      <c r="T425" s="48"/>
      <c r="U425" s="48"/>
      <c r="V425" s="48"/>
      <c r="W425" s="48"/>
      <c r="X425" s="48"/>
      <c r="Y425" s="48"/>
      <c r="Z425" s="48"/>
      <c r="AA425" s="48"/>
      <c r="AB425" s="48"/>
      <c r="AC425" s="48"/>
      <c r="AD425" s="48"/>
      <c r="AE425" s="48"/>
    </row>
    <row r="426" spans="1:31">
      <c r="A426" s="412">
        <f>ROW()</f>
        <v>426</v>
      </c>
      <c r="B426" s="106" t="s">
        <v>512</v>
      </c>
      <c r="C426" s="148"/>
      <c r="D426" s="106"/>
      <c r="E426" s="104"/>
      <c r="F426" s="104"/>
      <c r="G426" s="546">
        <f>G403*$C$65</f>
        <v>0</v>
      </c>
      <c r="H426" s="546">
        <f t="shared" ref="H426:M426" si="113">H403*$C$65</f>
        <v>7820.43</v>
      </c>
      <c r="I426" s="546">
        <f t="shared" si="113"/>
        <v>11865.48</v>
      </c>
      <c r="J426" s="546">
        <f t="shared" si="113"/>
        <v>13753.17</v>
      </c>
      <c r="K426" s="546">
        <f t="shared" si="113"/>
        <v>16449.87</v>
      </c>
      <c r="L426" s="546">
        <f t="shared" si="113"/>
        <v>16989.21</v>
      </c>
      <c r="M426" s="546">
        <f t="shared" si="113"/>
        <v>16989.21</v>
      </c>
      <c r="O426" s="287"/>
      <c r="Q426" s="48"/>
      <c r="R426" s="48"/>
      <c r="S426" s="48"/>
      <c r="T426" s="48"/>
      <c r="U426" s="48"/>
      <c r="V426" s="48"/>
      <c r="W426" s="48"/>
      <c r="X426" s="48"/>
      <c r="Y426" s="48"/>
      <c r="Z426" s="48"/>
      <c r="AA426" s="48"/>
      <c r="AB426" s="48"/>
      <c r="AC426" s="48"/>
      <c r="AD426" s="48"/>
      <c r="AE426" s="48"/>
    </row>
    <row r="427" spans="1:31" ht="14.4" thickBot="1">
      <c r="A427" s="412">
        <f>ROW()</f>
        <v>427</v>
      </c>
      <c r="C427" s="109"/>
      <c r="E427" s="58"/>
      <c r="F427" s="58"/>
      <c r="G427" s="1401">
        <f>IFERROR(G426/G$403,0)</f>
        <v>0</v>
      </c>
      <c r="H427" s="1401">
        <f>IFERROR(H426/H$403,0)</f>
        <v>8.8999999999999999E-3</v>
      </c>
      <c r="I427" s="1401">
        <f t="shared" ref="I427:M427" si="114">IFERROR(I426/I$403,0)</f>
        <v>8.8999999999999999E-3</v>
      </c>
      <c r="J427" s="1401">
        <f t="shared" si="114"/>
        <v>8.8999999999999999E-3</v>
      </c>
      <c r="K427" s="1401">
        <f t="shared" si="114"/>
        <v>8.8999999999999999E-3</v>
      </c>
      <c r="L427" s="1401">
        <f t="shared" si="114"/>
        <v>8.8999999999999999E-3</v>
      </c>
      <c r="M427" s="1401">
        <f t="shared" si="114"/>
        <v>8.8999999999999999E-3</v>
      </c>
      <c r="O427" s="287"/>
      <c r="Q427" s="48"/>
      <c r="R427" s="48"/>
      <c r="S427" s="48"/>
      <c r="T427" s="48"/>
      <c r="U427" s="48"/>
      <c r="V427" s="48"/>
      <c r="W427" s="48"/>
      <c r="X427" s="48"/>
      <c r="Y427" s="48"/>
      <c r="Z427" s="48"/>
      <c r="AA427" s="48"/>
      <c r="AB427" s="48"/>
      <c r="AC427" s="48"/>
      <c r="AD427" s="48"/>
      <c r="AE427" s="48"/>
    </row>
    <row r="428" spans="1:31" ht="14.4" thickBot="1">
      <c r="A428" s="412">
        <f>ROW()</f>
        <v>428</v>
      </c>
      <c r="B428" s="730" t="s">
        <v>513</v>
      </c>
      <c r="C428" s="731"/>
      <c r="D428" s="1659"/>
      <c r="E428" s="1659"/>
      <c r="F428" s="1659"/>
      <c r="G428" s="731">
        <f t="shared" ref="G428:M428" si="115">G423+G420+G417+G414+G411+G408+G426</f>
        <v>0</v>
      </c>
      <c r="H428" s="731">
        <f t="shared" si="115"/>
        <v>274945.23</v>
      </c>
      <c r="I428" s="731">
        <f t="shared" si="115"/>
        <v>415862.95499999996</v>
      </c>
      <c r="J428" s="731">
        <f t="shared" si="115"/>
        <v>483535.73249999993</v>
      </c>
      <c r="K428" s="731">
        <f t="shared" si="115"/>
        <v>580192.11135000002</v>
      </c>
      <c r="L428" s="731">
        <f t="shared" si="115"/>
        <v>600743.21198894992</v>
      </c>
      <c r="M428" s="731">
        <f t="shared" si="115"/>
        <v>602209.37100883946</v>
      </c>
      <c r="O428" s="287"/>
      <c r="Q428" s="48"/>
      <c r="R428" s="48"/>
      <c r="S428" s="48"/>
      <c r="T428" s="48"/>
      <c r="U428" s="48"/>
      <c r="V428" s="48"/>
      <c r="W428" s="48"/>
      <c r="X428" s="48"/>
      <c r="Y428" s="48"/>
      <c r="Z428" s="48"/>
      <c r="AA428" s="48"/>
      <c r="AB428" s="48"/>
      <c r="AC428" s="48"/>
      <c r="AD428" s="48"/>
      <c r="AE428" s="48"/>
    </row>
    <row r="429" spans="1:31">
      <c r="A429" s="412">
        <f>ROW()</f>
        <v>429</v>
      </c>
      <c r="B429" s="74" t="s">
        <v>514</v>
      </c>
      <c r="C429" s="113"/>
      <c r="D429" s="74"/>
      <c r="E429" s="74"/>
      <c r="F429" s="74"/>
      <c r="G429" s="1668">
        <f>IFERROR(G428/G$403,0)</f>
        <v>0</v>
      </c>
      <c r="H429" s="1668">
        <f>IFERROR(H428/H$403,0)</f>
        <v>0.31289999999999996</v>
      </c>
      <c r="I429" s="1668">
        <f t="shared" ref="I429:M429" si="116">IFERROR(I428/I$403,0)</f>
        <v>0.31192840909090908</v>
      </c>
      <c r="J429" s="1668">
        <f t="shared" si="116"/>
        <v>0.31290735294117644</v>
      </c>
      <c r="K429" s="1668">
        <f t="shared" si="116"/>
        <v>0.31390581147540986</v>
      </c>
      <c r="L429" s="1668">
        <f t="shared" si="116"/>
        <v>0.31470648645238092</v>
      </c>
      <c r="M429" s="1668">
        <f t="shared" si="116"/>
        <v>0.31547455131690472</v>
      </c>
      <c r="N429" s="74"/>
      <c r="O429" s="287"/>
      <c r="Q429" s="48"/>
      <c r="R429" s="48"/>
      <c r="S429" s="48"/>
      <c r="T429" s="48"/>
      <c r="U429" s="48"/>
      <c r="V429" s="48"/>
      <c r="W429" s="48"/>
      <c r="X429" s="48"/>
      <c r="Y429" s="48"/>
      <c r="Z429" s="48"/>
      <c r="AA429" s="48"/>
      <c r="AB429" s="48"/>
      <c r="AC429" s="48"/>
      <c r="AD429" s="48"/>
      <c r="AE429" s="48"/>
    </row>
    <row r="430" spans="1:31">
      <c r="A430" s="412">
        <f>ROW()</f>
        <v>430</v>
      </c>
      <c r="C430" s="109"/>
      <c r="G430" s="48"/>
      <c r="H430" s="48"/>
      <c r="I430" s="48"/>
      <c r="J430" s="48"/>
      <c r="K430" s="48"/>
      <c r="L430" s="48"/>
      <c r="M430" s="48"/>
      <c r="O430" s="287"/>
      <c r="Q430" s="48"/>
      <c r="R430" s="48"/>
      <c r="S430" s="48"/>
      <c r="T430" s="48"/>
      <c r="U430" s="48"/>
      <c r="V430" s="48"/>
      <c r="W430" s="48"/>
      <c r="X430" s="48"/>
      <c r="Y430" s="48"/>
      <c r="Z430" s="48"/>
      <c r="AA430" s="48"/>
      <c r="AB430" s="48"/>
      <c r="AC430" s="48"/>
      <c r="AD430" s="48"/>
      <c r="AE430" s="48"/>
    </row>
    <row r="431" spans="1:31">
      <c r="A431" s="412">
        <f>ROW()</f>
        <v>431</v>
      </c>
      <c r="B431" s="1307" t="s">
        <v>1231</v>
      </c>
      <c r="C431" s="116"/>
      <c r="D431" s="58"/>
      <c r="E431" s="58"/>
      <c r="F431" s="58"/>
      <c r="G431" s="1669"/>
      <c r="H431" s="1669"/>
      <c r="I431" s="1669"/>
      <c r="J431" s="1669"/>
      <c r="K431" s="1669"/>
      <c r="L431" s="1669"/>
      <c r="M431" s="1669"/>
      <c r="O431" s="287"/>
      <c r="Q431" s="48"/>
      <c r="R431" s="48"/>
      <c r="S431" s="48"/>
      <c r="T431" s="48"/>
      <c r="U431" s="48"/>
      <c r="V431" s="48"/>
      <c r="W431" s="48"/>
      <c r="X431" s="48"/>
      <c r="Y431" s="48"/>
      <c r="Z431" s="48"/>
      <c r="AA431" s="48"/>
      <c r="AB431" s="48"/>
      <c r="AC431" s="48"/>
      <c r="AD431" s="48"/>
      <c r="AE431" s="48"/>
    </row>
    <row r="432" spans="1:31">
      <c r="A432" s="412">
        <f>ROW()</f>
        <v>432</v>
      </c>
      <c r="C432" s="109"/>
      <c r="G432" s="48"/>
      <c r="H432" s="48"/>
      <c r="I432" s="48"/>
      <c r="J432" s="48"/>
      <c r="K432" s="48"/>
      <c r="L432" s="48"/>
      <c r="M432" s="48"/>
      <c r="O432" s="287"/>
      <c r="Q432" s="48"/>
      <c r="R432" s="48"/>
      <c r="S432" s="48"/>
      <c r="T432" s="48"/>
      <c r="U432" s="48"/>
      <c r="V432" s="48"/>
      <c r="W432" s="48"/>
      <c r="X432" s="48"/>
      <c r="Y432" s="48"/>
      <c r="Z432" s="48"/>
      <c r="AA432" s="48"/>
      <c r="AB432" s="48"/>
      <c r="AC432" s="48"/>
      <c r="AD432" s="48"/>
      <c r="AE432" s="48"/>
    </row>
    <row r="433" spans="1:31">
      <c r="A433" s="412">
        <f>ROW()</f>
        <v>433</v>
      </c>
      <c r="B433" s="30" t="s">
        <v>1233</v>
      </c>
      <c r="C433" s="109"/>
      <c r="G433" s="48"/>
      <c r="H433" s="48"/>
      <c r="I433" s="48"/>
      <c r="J433" s="48"/>
      <c r="K433" s="48"/>
      <c r="L433" s="48"/>
      <c r="M433" s="48"/>
      <c r="O433" s="287"/>
      <c r="Q433" s="48"/>
      <c r="R433" s="48"/>
      <c r="S433" s="48"/>
      <c r="T433" s="48"/>
      <c r="U433" s="48"/>
      <c r="V433" s="48"/>
      <c r="W433" s="48"/>
      <c r="X433" s="48"/>
      <c r="Y433" s="48"/>
      <c r="Z433" s="48"/>
      <c r="AA433" s="48"/>
      <c r="AB433" s="48"/>
      <c r="AC433" s="48"/>
      <c r="AD433" s="48"/>
      <c r="AE433" s="48"/>
    </row>
    <row r="434" spans="1:31">
      <c r="A434" s="412">
        <f>ROW()</f>
        <v>434</v>
      </c>
      <c r="B434" s="32" t="s">
        <v>1232</v>
      </c>
      <c r="C434" s="109"/>
      <c r="G434" s="1406">
        <v>0</v>
      </c>
      <c r="H434" s="1406">
        <v>0</v>
      </c>
      <c r="I434" s="1406">
        <v>0</v>
      </c>
      <c r="J434" s="1406">
        <v>0</v>
      </c>
      <c r="K434" s="1406">
        <v>0</v>
      </c>
      <c r="L434" s="1406">
        <v>0</v>
      </c>
      <c r="M434" s="1406">
        <v>0</v>
      </c>
      <c r="O434" s="287"/>
      <c r="Q434" s="48"/>
      <c r="R434" s="48"/>
      <c r="S434" s="48"/>
      <c r="T434" s="48"/>
      <c r="U434" s="48"/>
      <c r="V434" s="48"/>
      <c r="W434" s="48"/>
      <c r="X434" s="48"/>
      <c r="Y434" s="48"/>
      <c r="Z434" s="48"/>
      <c r="AA434" s="48"/>
      <c r="AB434" s="48"/>
      <c r="AC434" s="48"/>
      <c r="AD434" s="48"/>
      <c r="AE434" s="48"/>
    </row>
    <row r="435" spans="1:31">
      <c r="A435" s="412">
        <f>ROW()</f>
        <v>435</v>
      </c>
      <c r="B435" s="32" t="s">
        <v>1236</v>
      </c>
      <c r="C435" s="109"/>
      <c r="G435" s="1405">
        <v>0</v>
      </c>
      <c r="H435" s="1405">
        <v>0</v>
      </c>
      <c r="I435" s="1405">
        <v>0</v>
      </c>
      <c r="J435" s="1405">
        <v>0</v>
      </c>
      <c r="K435" s="1405">
        <v>0</v>
      </c>
      <c r="L435" s="1405">
        <v>0</v>
      </c>
      <c r="M435" s="1405">
        <v>0</v>
      </c>
      <c r="O435" s="287"/>
      <c r="Q435" s="48"/>
      <c r="R435" s="48"/>
      <c r="S435" s="48"/>
      <c r="T435" s="48"/>
      <c r="U435" s="48"/>
      <c r="V435" s="48"/>
      <c r="W435" s="48"/>
      <c r="X435" s="48"/>
      <c r="Y435" s="48"/>
      <c r="Z435" s="48"/>
      <c r="AA435" s="48"/>
      <c r="AB435" s="48"/>
      <c r="AC435" s="48"/>
      <c r="AD435" s="48"/>
      <c r="AE435" s="48"/>
    </row>
    <row r="436" spans="1:31">
      <c r="A436" s="412">
        <f>ROW()</f>
        <v>436</v>
      </c>
      <c r="B436" s="32" t="s">
        <v>1237</v>
      </c>
      <c r="C436" s="1407">
        <v>0</v>
      </c>
      <c r="D436" s="74"/>
      <c r="G436" s="1408">
        <f>+G435*$C$436</f>
        <v>0</v>
      </c>
      <c r="H436" s="1408">
        <f t="shared" ref="H436:M436" si="117">+H435*$C$436</f>
        <v>0</v>
      </c>
      <c r="I436" s="1408">
        <f t="shared" si="117"/>
        <v>0</v>
      </c>
      <c r="J436" s="1408">
        <f t="shared" si="117"/>
        <v>0</v>
      </c>
      <c r="K436" s="1408">
        <f t="shared" si="117"/>
        <v>0</v>
      </c>
      <c r="L436" s="1408">
        <f t="shared" si="117"/>
        <v>0</v>
      </c>
      <c r="M436" s="1408">
        <f t="shared" si="117"/>
        <v>0</v>
      </c>
      <c r="O436" s="287"/>
      <c r="Q436" s="48"/>
      <c r="R436" s="48"/>
      <c r="S436" s="48"/>
      <c r="T436" s="48"/>
      <c r="U436" s="48"/>
      <c r="V436" s="48"/>
      <c r="W436" s="48"/>
      <c r="X436" s="48"/>
      <c r="Y436" s="48"/>
      <c r="Z436" s="48"/>
      <c r="AA436" s="48"/>
      <c r="AB436" s="48"/>
      <c r="AC436" s="48"/>
      <c r="AD436" s="48"/>
      <c r="AE436" s="48"/>
    </row>
    <row r="437" spans="1:31">
      <c r="A437" s="412">
        <f>ROW()</f>
        <v>437</v>
      </c>
      <c r="B437" s="32" t="s">
        <v>1235</v>
      </c>
      <c r="C437" s="109"/>
      <c r="G437" s="1410">
        <f>+G435+G436</f>
        <v>0</v>
      </c>
      <c r="H437" s="1410">
        <f t="shared" ref="H437:M437" si="118">+H435+H436</f>
        <v>0</v>
      </c>
      <c r="I437" s="1410">
        <f t="shared" si="118"/>
        <v>0</v>
      </c>
      <c r="J437" s="1410">
        <f t="shared" si="118"/>
        <v>0</v>
      </c>
      <c r="K437" s="1410">
        <f t="shared" si="118"/>
        <v>0</v>
      </c>
      <c r="L437" s="1410">
        <f t="shared" si="118"/>
        <v>0</v>
      </c>
      <c r="M437" s="1410">
        <f t="shared" si="118"/>
        <v>0</v>
      </c>
      <c r="O437" s="287"/>
      <c r="Q437" s="48"/>
      <c r="R437" s="48"/>
      <c r="S437" s="48"/>
      <c r="T437" s="48"/>
      <c r="U437" s="48"/>
      <c r="V437" s="48"/>
      <c r="W437" s="48"/>
      <c r="X437" s="48"/>
      <c r="Y437" s="48"/>
      <c r="Z437" s="48"/>
      <c r="AA437" s="48"/>
      <c r="AB437" s="48"/>
      <c r="AC437" s="48"/>
      <c r="AD437" s="48"/>
      <c r="AE437" s="48"/>
    </row>
    <row r="438" spans="1:31" ht="14.4" thickBot="1">
      <c r="A438" s="412">
        <f>ROW()</f>
        <v>438</v>
      </c>
      <c r="C438" s="109"/>
      <c r="G438" s="1409"/>
      <c r="H438" s="1409"/>
      <c r="I438" s="1409"/>
      <c r="J438" s="1409"/>
      <c r="K438" s="1409"/>
      <c r="L438" s="1409"/>
      <c r="M438" s="1409"/>
      <c r="O438" s="287"/>
      <c r="Q438" s="48"/>
      <c r="R438" s="48"/>
      <c r="S438" s="48"/>
      <c r="T438" s="48"/>
      <c r="U438" s="48"/>
      <c r="V438" s="48"/>
      <c r="W438" s="48"/>
      <c r="X438" s="48"/>
      <c r="Y438" s="48"/>
      <c r="Z438" s="48"/>
      <c r="AA438" s="48"/>
      <c r="AB438" s="48"/>
      <c r="AC438" s="48"/>
      <c r="AD438" s="48"/>
      <c r="AE438" s="48"/>
    </row>
    <row r="439" spans="1:31" ht="14.4" thickBot="1">
      <c r="A439" s="412">
        <f>ROW()</f>
        <v>439</v>
      </c>
      <c r="B439" s="730" t="s">
        <v>1234</v>
      </c>
      <c r="C439" s="731"/>
      <c r="D439" s="637"/>
      <c r="E439" s="637"/>
      <c r="F439" s="637"/>
      <c r="G439" s="731">
        <f>G437*G434</f>
        <v>0</v>
      </c>
      <c r="H439" s="731">
        <f t="shared" ref="H439:M439" si="119">H437*H434</f>
        <v>0</v>
      </c>
      <c r="I439" s="731">
        <f t="shared" si="119"/>
        <v>0</v>
      </c>
      <c r="J439" s="731">
        <f t="shared" si="119"/>
        <v>0</v>
      </c>
      <c r="K439" s="731">
        <f t="shared" si="119"/>
        <v>0</v>
      </c>
      <c r="L439" s="731">
        <f t="shared" si="119"/>
        <v>0</v>
      </c>
      <c r="M439" s="731">
        <f t="shared" si="119"/>
        <v>0</v>
      </c>
      <c r="O439" s="287"/>
      <c r="Q439" s="48"/>
      <c r="R439" s="48"/>
      <c r="S439" s="48"/>
      <c r="T439" s="48"/>
      <c r="U439" s="48"/>
      <c r="V439" s="48"/>
      <c r="W439" s="48"/>
      <c r="X439" s="48"/>
      <c r="Y439" s="48"/>
      <c r="Z439" s="48"/>
      <c r="AA439" s="48"/>
      <c r="AB439" s="48"/>
      <c r="AC439" s="48"/>
      <c r="AD439" s="48"/>
      <c r="AE439" s="48"/>
    </row>
    <row r="440" spans="1:31">
      <c r="A440" s="412">
        <f>ROW()</f>
        <v>440</v>
      </c>
      <c r="C440" s="109"/>
      <c r="G440" s="48"/>
      <c r="H440" s="48"/>
      <c r="I440" s="48"/>
      <c r="J440" s="48"/>
      <c r="K440" s="48"/>
      <c r="L440" s="48"/>
      <c r="M440" s="48"/>
      <c r="O440" s="287"/>
      <c r="Q440" s="48"/>
      <c r="R440" s="48"/>
      <c r="S440" s="48"/>
      <c r="T440" s="48"/>
      <c r="U440" s="48"/>
      <c r="V440" s="48"/>
      <c r="W440" s="48"/>
      <c r="X440" s="48"/>
      <c r="Y440" s="48"/>
      <c r="Z440" s="48"/>
      <c r="AA440" s="48"/>
      <c r="AB440" s="48"/>
      <c r="AC440" s="48"/>
      <c r="AD440" s="48"/>
      <c r="AE440" s="48"/>
    </row>
    <row r="441" spans="1:31">
      <c r="A441" s="412">
        <f>ROW()</f>
        <v>441</v>
      </c>
      <c r="B441" s="1509" t="s">
        <v>515</v>
      </c>
      <c r="C441" s="1670"/>
      <c r="D441" s="1445"/>
      <c r="E441" s="1445"/>
      <c r="F441" s="1445"/>
      <c r="G441" s="1671"/>
      <c r="H441" s="1671"/>
      <c r="I441" s="1671"/>
      <c r="J441" s="1671"/>
      <c r="K441" s="1671"/>
      <c r="L441" s="1671"/>
      <c r="M441" s="1671"/>
      <c r="O441" s="287"/>
      <c r="Q441" s="48"/>
      <c r="R441" s="48"/>
      <c r="S441" s="48"/>
      <c r="T441" s="48"/>
      <c r="U441" s="48"/>
      <c r="V441" s="48"/>
      <c r="W441" s="48"/>
      <c r="X441" s="48"/>
      <c r="Y441" s="48"/>
      <c r="Z441" s="48"/>
      <c r="AA441" s="48"/>
      <c r="AB441" s="48"/>
      <c r="AC441" s="48"/>
      <c r="AD441" s="48"/>
      <c r="AE441" s="48"/>
    </row>
    <row r="442" spans="1:31">
      <c r="A442" s="412">
        <f>ROW()</f>
        <v>442</v>
      </c>
      <c r="C442" s="109" t="s">
        <v>516</v>
      </c>
      <c r="G442" s="48"/>
      <c r="H442" s="48"/>
      <c r="I442" s="48"/>
      <c r="J442" s="48"/>
      <c r="K442" s="48"/>
      <c r="L442" s="48"/>
      <c r="M442" s="48"/>
      <c r="O442" s="287"/>
      <c r="Q442" s="48"/>
      <c r="R442" s="48"/>
      <c r="S442" s="48"/>
      <c r="T442" s="48"/>
      <c r="U442" s="48"/>
      <c r="V442" s="48"/>
      <c r="W442" s="48"/>
      <c r="X442" s="48"/>
      <c r="Y442" s="48"/>
      <c r="Z442" s="48"/>
      <c r="AA442" s="48"/>
      <c r="AB442" s="48"/>
      <c r="AC442" s="48"/>
      <c r="AD442" s="48"/>
      <c r="AE442" s="48"/>
    </row>
    <row r="443" spans="1:31">
      <c r="A443" s="412">
        <f>ROW()</f>
        <v>443</v>
      </c>
      <c r="B443" s="32" t="s">
        <v>517</v>
      </c>
      <c r="C443" s="109"/>
      <c r="G443" s="48"/>
      <c r="H443" s="48"/>
      <c r="I443" s="48"/>
      <c r="J443" s="48"/>
      <c r="K443" s="48"/>
      <c r="L443" s="48"/>
      <c r="M443" s="48"/>
      <c r="O443" s="287"/>
      <c r="Q443" s="48"/>
      <c r="R443" s="48"/>
      <c r="S443" s="48"/>
      <c r="T443" s="48"/>
      <c r="U443" s="48"/>
      <c r="V443" s="48"/>
      <c r="W443" s="48"/>
      <c r="X443" s="48"/>
      <c r="Y443" s="48"/>
      <c r="Z443" s="48"/>
      <c r="AA443" s="48"/>
      <c r="AB443" s="48"/>
      <c r="AC443" s="48"/>
      <c r="AD443" s="48"/>
      <c r="AE443" s="48"/>
    </row>
    <row r="444" spans="1:31">
      <c r="A444" s="412">
        <f>ROW()</f>
        <v>444</v>
      </c>
      <c r="B444" s="32" t="s">
        <v>518</v>
      </c>
      <c r="C444" s="109"/>
      <c r="G444" s="585">
        <v>0</v>
      </c>
      <c r="H444" s="585">
        <v>0</v>
      </c>
      <c r="I444" s="585">
        <v>0</v>
      </c>
      <c r="J444" s="585">
        <v>0</v>
      </c>
      <c r="K444" s="585">
        <v>0</v>
      </c>
      <c r="L444" s="585">
        <v>0</v>
      </c>
      <c r="M444" s="585">
        <v>0</v>
      </c>
      <c r="O444" s="287"/>
      <c r="Q444" s="48"/>
      <c r="R444" s="48"/>
      <c r="S444" s="48"/>
      <c r="T444" s="48"/>
      <c r="U444" s="48"/>
      <c r="V444" s="48"/>
      <c r="W444" s="48"/>
      <c r="X444" s="48"/>
      <c r="Y444" s="48"/>
      <c r="Z444" s="48"/>
      <c r="AA444" s="48"/>
      <c r="AB444" s="48"/>
      <c r="AC444" s="48"/>
      <c r="AD444" s="48"/>
      <c r="AE444" s="48"/>
    </row>
    <row r="445" spans="1:31">
      <c r="A445" s="412">
        <f>ROW()</f>
        <v>445</v>
      </c>
      <c r="B445" s="32" t="s">
        <v>519</v>
      </c>
      <c r="C445" s="114">
        <v>0</v>
      </c>
      <c r="G445" s="490">
        <f>$C$445*G444</f>
        <v>0</v>
      </c>
      <c r="H445" s="490">
        <f t="shared" ref="H445:M445" si="120">$C$445*H444</f>
        <v>0</v>
      </c>
      <c r="I445" s="490">
        <f t="shared" si="120"/>
        <v>0</v>
      </c>
      <c r="J445" s="490">
        <f t="shared" si="120"/>
        <v>0</v>
      </c>
      <c r="K445" s="490">
        <f t="shared" si="120"/>
        <v>0</v>
      </c>
      <c r="L445" s="490">
        <f t="shared" si="120"/>
        <v>0</v>
      </c>
      <c r="M445" s="490">
        <f t="shared" si="120"/>
        <v>0</v>
      </c>
      <c r="O445" s="287"/>
      <c r="Q445" s="48"/>
      <c r="R445" s="48"/>
      <c r="S445" s="48"/>
      <c r="T445" s="48"/>
      <c r="U445" s="48"/>
      <c r="V445" s="48"/>
      <c r="W445" s="48"/>
      <c r="X445" s="48"/>
      <c r="Y445" s="48"/>
      <c r="Z445" s="48"/>
      <c r="AA445" s="48"/>
      <c r="AB445" s="48"/>
      <c r="AC445" s="48"/>
      <c r="AD445" s="48"/>
      <c r="AE445" s="48"/>
    </row>
    <row r="446" spans="1:31">
      <c r="A446" s="412">
        <f>ROW()</f>
        <v>446</v>
      </c>
      <c r="C446" s="112"/>
      <c r="D446" s="1388"/>
      <c r="G446" s="117"/>
      <c r="H446" s="117"/>
      <c r="I446" s="117"/>
      <c r="J446" s="117"/>
      <c r="K446" s="117"/>
      <c r="L446" s="117"/>
      <c r="M446" s="117"/>
      <c r="O446" s="287"/>
      <c r="Q446" s="48"/>
      <c r="R446" s="48"/>
      <c r="S446" s="48"/>
      <c r="T446" s="48"/>
      <c r="U446" s="48"/>
      <c r="V446" s="48"/>
      <c r="W446" s="48"/>
      <c r="X446" s="48"/>
      <c r="Y446" s="48"/>
      <c r="Z446" s="48"/>
      <c r="AA446" s="48"/>
      <c r="AB446" s="48"/>
      <c r="AC446" s="48"/>
      <c r="AD446" s="48"/>
      <c r="AE446" s="48"/>
    </row>
    <row r="447" spans="1:31">
      <c r="A447" s="412">
        <f>ROW()</f>
        <v>447</v>
      </c>
      <c r="B447" s="32" t="s">
        <v>520</v>
      </c>
      <c r="C447" s="109"/>
      <c r="G447" s="117"/>
      <c r="H447" s="117"/>
      <c r="I447" s="117"/>
      <c r="J447" s="117"/>
      <c r="K447" s="117"/>
      <c r="L447" s="117"/>
      <c r="M447" s="117"/>
      <c r="O447" s="287"/>
      <c r="Q447" s="48"/>
      <c r="R447" s="48"/>
      <c r="S447" s="48"/>
      <c r="T447" s="48"/>
      <c r="U447" s="48"/>
      <c r="V447" s="48"/>
      <c r="W447" s="48"/>
      <c r="X447" s="48"/>
      <c r="Y447" s="48"/>
      <c r="Z447" s="48"/>
      <c r="AA447" s="48"/>
      <c r="AB447" s="48"/>
      <c r="AC447" s="48"/>
      <c r="AD447" s="48"/>
      <c r="AE447" s="48"/>
    </row>
    <row r="448" spans="1:31">
      <c r="A448" s="412">
        <f>ROW()</f>
        <v>448</v>
      </c>
      <c r="B448" s="32" t="s">
        <v>521</v>
      </c>
      <c r="C448" s="109"/>
      <c r="G448" s="586">
        <v>0</v>
      </c>
      <c r="H448" s="586">
        <v>0</v>
      </c>
      <c r="I448" s="586">
        <v>0</v>
      </c>
      <c r="J448" s="586">
        <v>0</v>
      </c>
      <c r="K448" s="586">
        <v>0</v>
      </c>
      <c r="L448" s="586">
        <v>0</v>
      </c>
      <c r="M448" s="586">
        <v>0</v>
      </c>
      <c r="O448" s="287"/>
      <c r="Q448" s="48"/>
      <c r="R448" s="48"/>
      <c r="S448" s="48"/>
      <c r="T448" s="48"/>
      <c r="U448" s="48"/>
      <c r="V448" s="48"/>
      <c r="W448" s="48"/>
      <c r="X448" s="48"/>
      <c r="Y448" s="48"/>
      <c r="Z448" s="48"/>
      <c r="AA448" s="48"/>
      <c r="AB448" s="48"/>
      <c r="AC448" s="48"/>
      <c r="AD448" s="48"/>
      <c r="AE448" s="48"/>
    </row>
    <row r="449" spans="1:31">
      <c r="A449" s="412">
        <f>ROW()</f>
        <v>449</v>
      </c>
      <c r="B449" s="32" t="s">
        <v>519</v>
      </c>
      <c r="C449" s="114">
        <v>0</v>
      </c>
      <c r="G449" s="490">
        <f t="shared" ref="G449:M449" si="121">$C$449*G448</f>
        <v>0</v>
      </c>
      <c r="H449" s="490">
        <f t="shared" si="121"/>
        <v>0</v>
      </c>
      <c r="I449" s="490">
        <f t="shared" si="121"/>
        <v>0</v>
      </c>
      <c r="J449" s="490">
        <f t="shared" si="121"/>
        <v>0</v>
      </c>
      <c r="K449" s="490">
        <f t="shared" si="121"/>
        <v>0</v>
      </c>
      <c r="L449" s="490">
        <f t="shared" si="121"/>
        <v>0</v>
      </c>
      <c r="M449" s="490">
        <f t="shared" si="121"/>
        <v>0</v>
      </c>
      <c r="O449" s="287"/>
      <c r="Q449" s="48"/>
      <c r="R449" s="48"/>
      <c r="S449" s="48"/>
      <c r="T449" s="48"/>
      <c r="U449" s="48"/>
      <c r="V449" s="48"/>
      <c r="W449" s="48"/>
      <c r="X449" s="48"/>
      <c r="Y449" s="48"/>
      <c r="Z449" s="48"/>
      <c r="AA449" s="48"/>
      <c r="AB449" s="48"/>
      <c r="AC449" s="48"/>
      <c r="AD449" s="48"/>
      <c r="AE449" s="48"/>
    </row>
    <row r="450" spans="1:31">
      <c r="A450" s="412">
        <f>ROW()</f>
        <v>450</v>
      </c>
      <c r="C450" s="109"/>
      <c r="G450" s="117"/>
      <c r="H450" s="117"/>
      <c r="I450" s="117"/>
      <c r="J450" s="117"/>
      <c r="K450" s="117"/>
      <c r="L450" s="117"/>
      <c r="M450" s="117"/>
      <c r="O450" s="287"/>
      <c r="Q450" s="48"/>
      <c r="R450" s="48"/>
      <c r="S450" s="48"/>
      <c r="T450" s="48"/>
      <c r="U450" s="48"/>
      <c r="V450" s="48"/>
      <c r="W450" s="48"/>
      <c r="X450" s="48"/>
      <c r="Y450" s="48"/>
      <c r="Z450" s="48"/>
      <c r="AA450" s="48"/>
      <c r="AB450" s="48"/>
      <c r="AC450" s="48"/>
      <c r="AD450" s="48"/>
      <c r="AE450" s="48"/>
    </row>
    <row r="451" spans="1:31">
      <c r="A451" s="412">
        <f>ROW()</f>
        <v>451</v>
      </c>
      <c r="B451" s="32" t="s">
        <v>522</v>
      </c>
      <c r="C451" s="109"/>
      <c r="G451" s="117"/>
      <c r="H451" s="117"/>
      <c r="I451" s="117"/>
      <c r="J451" s="117"/>
      <c r="K451" s="117"/>
      <c r="L451" s="117"/>
      <c r="M451" s="117"/>
      <c r="O451" s="287"/>
      <c r="Q451" s="48"/>
      <c r="R451" s="48"/>
      <c r="S451" s="48"/>
      <c r="T451" s="48"/>
      <c r="U451" s="48"/>
      <c r="V451" s="48"/>
      <c r="W451" s="48"/>
      <c r="X451" s="48"/>
      <c r="Y451" s="48"/>
      <c r="Z451" s="48"/>
      <c r="AA451" s="48"/>
      <c r="AB451" s="48"/>
      <c r="AC451" s="48"/>
      <c r="AD451" s="48"/>
      <c r="AE451" s="48"/>
    </row>
    <row r="452" spans="1:31">
      <c r="A452" s="412">
        <f>ROW()</f>
        <v>452</v>
      </c>
      <c r="B452" s="32" t="s">
        <v>521</v>
      </c>
      <c r="C452" s="109"/>
      <c r="G452" s="586">
        <v>0</v>
      </c>
      <c r="H452" s="586">
        <v>0</v>
      </c>
      <c r="I452" s="586">
        <v>0</v>
      </c>
      <c r="J452" s="586">
        <v>0</v>
      </c>
      <c r="K452" s="586">
        <v>0</v>
      </c>
      <c r="L452" s="586">
        <v>0</v>
      </c>
      <c r="M452" s="586">
        <v>0</v>
      </c>
      <c r="O452" s="287"/>
      <c r="Q452" s="48"/>
      <c r="R452" s="48"/>
      <c r="S452" s="48"/>
      <c r="T452" s="48"/>
      <c r="U452" s="48"/>
      <c r="V452" s="48"/>
      <c r="W452" s="48"/>
      <c r="X452" s="48"/>
      <c r="Y452" s="48"/>
      <c r="Z452" s="48"/>
      <c r="AA452" s="48"/>
      <c r="AB452" s="48"/>
      <c r="AC452" s="48"/>
      <c r="AD452" s="48"/>
      <c r="AE452" s="48"/>
    </row>
    <row r="453" spans="1:31">
      <c r="A453" s="412">
        <f>ROW()</f>
        <v>453</v>
      </c>
      <c r="B453" s="32" t="s">
        <v>519</v>
      </c>
      <c r="C453" s="114">
        <v>0</v>
      </c>
      <c r="G453" s="490">
        <f>$C$453*G452</f>
        <v>0</v>
      </c>
      <c r="H453" s="490">
        <f>$C$453*H452</f>
        <v>0</v>
      </c>
      <c r="I453" s="490">
        <f>$C$453*I452</f>
        <v>0</v>
      </c>
      <c r="J453" s="490">
        <f>I453*' Enrol &amp; Rev'!$C$97</f>
        <v>0</v>
      </c>
      <c r="K453" s="490">
        <f>J453*' Enrol &amp; Rev'!$C$97</f>
        <v>0</v>
      </c>
      <c r="L453" s="490">
        <f>K453*' Enrol &amp; Rev'!$C$97</f>
        <v>0</v>
      </c>
      <c r="M453" s="490">
        <f>L453*' Enrol &amp; Rev'!$C$97</f>
        <v>0</v>
      </c>
      <c r="O453" s="287"/>
      <c r="Q453" s="48"/>
      <c r="R453" s="48"/>
      <c r="S453" s="48"/>
      <c r="T453" s="48"/>
      <c r="U453" s="48"/>
      <c r="V453" s="48"/>
      <c r="W453" s="48"/>
      <c r="X453" s="48"/>
      <c r="Y453" s="48"/>
      <c r="Z453" s="48"/>
      <c r="AA453" s="48"/>
      <c r="AB453" s="48"/>
      <c r="AC453" s="48"/>
      <c r="AD453" s="48"/>
      <c r="AE453" s="48"/>
    </row>
    <row r="454" spans="1:31">
      <c r="A454" s="412">
        <f>ROW()</f>
        <v>454</v>
      </c>
      <c r="C454" s="109"/>
      <c r="G454" s="117"/>
      <c r="H454" s="117"/>
      <c r="I454" s="117"/>
      <c r="J454" s="117"/>
      <c r="K454" s="117"/>
      <c r="L454" s="117"/>
      <c r="M454" s="117"/>
      <c r="O454" s="287"/>
      <c r="Q454" s="48"/>
      <c r="R454" s="48"/>
      <c r="S454" s="48"/>
      <c r="T454" s="48"/>
      <c r="U454" s="48"/>
      <c r="V454" s="48"/>
      <c r="W454" s="48"/>
      <c r="X454" s="48"/>
      <c r="Y454" s="48"/>
      <c r="Z454" s="48"/>
      <c r="AA454" s="48"/>
      <c r="AB454" s="48"/>
      <c r="AC454" s="48"/>
      <c r="AD454" s="48"/>
      <c r="AE454" s="48"/>
    </row>
    <row r="455" spans="1:31">
      <c r="A455" s="412">
        <f>ROW()</f>
        <v>455</v>
      </c>
      <c r="B455" s="32" t="s">
        <v>523</v>
      </c>
      <c r="C455" s="109"/>
      <c r="G455" s="117"/>
      <c r="H455" s="117"/>
      <c r="I455" s="117"/>
      <c r="J455" s="117"/>
      <c r="K455" s="117"/>
      <c r="L455" s="117"/>
      <c r="M455" s="117"/>
      <c r="O455" s="287"/>
      <c r="Q455" s="48"/>
      <c r="R455" s="48"/>
      <c r="S455" s="48"/>
      <c r="T455" s="48"/>
      <c r="U455" s="48"/>
      <c r="V455" s="48"/>
      <c r="W455" s="48"/>
      <c r="X455" s="48"/>
      <c r="Y455" s="48"/>
      <c r="Z455" s="48"/>
      <c r="AA455" s="48"/>
      <c r="AB455" s="48"/>
      <c r="AC455" s="48"/>
      <c r="AD455" s="48"/>
      <c r="AE455" s="48"/>
    </row>
    <row r="456" spans="1:31">
      <c r="A456" s="412">
        <f>ROW()</f>
        <v>456</v>
      </c>
      <c r="B456" s="32" t="s">
        <v>521</v>
      </c>
      <c r="C456" s="109"/>
      <c r="G456" s="586">
        <v>0</v>
      </c>
      <c r="H456" s="586">
        <v>0</v>
      </c>
      <c r="I456" s="586">
        <v>0</v>
      </c>
      <c r="J456" s="586">
        <v>0</v>
      </c>
      <c r="K456" s="586">
        <v>0</v>
      </c>
      <c r="L456" s="586">
        <v>0</v>
      </c>
      <c r="M456" s="586">
        <v>0</v>
      </c>
      <c r="O456" s="287"/>
      <c r="Q456" s="48"/>
      <c r="R456" s="48"/>
      <c r="S456" s="48"/>
      <c r="T456" s="48"/>
      <c r="U456" s="48"/>
      <c r="V456" s="48"/>
      <c r="W456" s="48"/>
      <c r="X456" s="48"/>
      <c r="Y456" s="48"/>
      <c r="Z456" s="48"/>
      <c r="AA456" s="48"/>
      <c r="AB456" s="48"/>
      <c r="AC456" s="48"/>
      <c r="AD456" s="48"/>
      <c r="AE456" s="48"/>
    </row>
    <row r="457" spans="1:31">
      <c r="A457" s="412">
        <f>ROW()</f>
        <v>457</v>
      </c>
      <c r="B457" s="32" t="s">
        <v>519</v>
      </c>
      <c r="C457" s="114">
        <v>0</v>
      </c>
      <c r="G457" s="490">
        <f t="shared" ref="G457:M457" si="122">$C$457*G456</f>
        <v>0</v>
      </c>
      <c r="H457" s="490">
        <f t="shared" si="122"/>
        <v>0</v>
      </c>
      <c r="I457" s="490">
        <f t="shared" si="122"/>
        <v>0</v>
      </c>
      <c r="J457" s="490">
        <f t="shared" si="122"/>
        <v>0</v>
      </c>
      <c r="K457" s="490">
        <f t="shared" si="122"/>
        <v>0</v>
      </c>
      <c r="L457" s="490">
        <f t="shared" si="122"/>
        <v>0</v>
      </c>
      <c r="M457" s="490">
        <f t="shared" si="122"/>
        <v>0</v>
      </c>
      <c r="O457" s="287"/>
      <c r="Q457" s="48"/>
      <c r="R457" s="48"/>
      <c r="S457" s="48"/>
      <c r="T457" s="48"/>
      <c r="U457" s="48"/>
      <c r="V457" s="48"/>
      <c r="W457" s="48"/>
      <c r="X457" s="48"/>
      <c r="Y457" s="48"/>
      <c r="Z457" s="48"/>
      <c r="AA457" s="48"/>
      <c r="AB457" s="48"/>
      <c r="AC457" s="48"/>
      <c r="AD457" s="48"/>
      <c r="AE457" s="48"/>
    </row>
    <row r="458" spans="1:31">
      <c r="A458" s="412">
        <f>ROW()</f>
        <v>458</v>
      </c>
      <c r="C458" s="109"/>
      <c r="G458" s="117"/>
      <c r="H458" s="117"/>
      <c r="I458" s="117"/>
      <c r="J458" s="117"/>
      <c r="K458" s="117"/>
      <c r="L458" s="117"/>
      <c r="M458" s="117"/>
      <c r="O458" s="287"/>
      <c r="Q458" s="48"/>
      <c r="R458" s="48"/>
      <c r="S458" s="48"/>
      <c r="T458" s="48"/>
      <c r="U458" s="48"/>
      <c r="V458" s="48"/>
      <c r="W458" s="48"/>
      <c r="X458" s="48"/>
      <c r="Y458" s="48"/>
      <c r="Z458" s="48"/>
      <c r="AA458" s="48"/>
      <c r="AB458" s="48"/>
      <c r="AC458" s="48"/>
      <c r="AD458" s="48"/>
      <c r="AE458" s="48"/>
    </row>
    <row r="459" spans="1:31">
      <c r="A459" s="412">
        <f>ROW()</f>
        <v>459</v>
      </c>
      <c r="B459" s="32" t="s">
        <v>524</v>
      </c>
      <c r="C459" s="109"/>
      <c r="G459" s="117"/>
      <c r="H459" s="117"/>
      <c r="I459" s="117"/>
      <c r="J459" s="117"/>
      <c r="K459" s="117"/>
      <c r="L459" s="117"/>
      <c r="M459" s="117"/>
      <c r="O459" s="287"/>
      <c r="Q459" s="48"/>
      <c r="R459" s="48"/>
      <c r="S459" s="48"/>
      <c r="T459" s="48"/>
      <c r="U459" s="48"/>
      <c r="V459" s="48"/>
      <c r="W459" s="48"/>
      <c r="X459" s="48"/>
      <c r="Y459" s="48"/>
      <c r="Z459" s="48"/>
      <c r="AA459" s="48"/>
      <c r="AB459" s="48"/>
      <c r="AC459" s="48"/>
      <c r="AD459" s="48"/>
      <c r="AE459" s="48"/>
    </row>
    <row r="460" spans="1:31">
      <c r="A460" s="412">
        <f>ROW()</f>
        <v>460</v>
      </c>
      <c r="B460" s="32" t="s">
        <v>521</v>
      </c>
      <c r="C460" s="109"/>
      <c r="G460" s="586">
        <v>0</v>
      </c>
      <c r="H460" s="586">
        <v>0</v>
      </c>
      <c r="I460" s="586">
        <v>0</v>
      </c>
      <c r="J460" s="586">
        <v>0</v>
      </c>
      <c r="K460" s="586">
        <v>0</v>
      </c>
      <c r="L460" s="586">
        <v>0</v>
      </c>
      <c r="M460" s="586">
        <v>0</v>
      </c>
      <c r="O460" s="287"/>
      <c r="Q460" s="48"/>
      <c r="R460" s="48"/>
      <c r="S460" s="48"/>
      <c r="T460" s="48"/>
      <c r="U460" s="48"/>
      <c r="V460" s="48"/>
      <c r="W460" s="48"/>
      <c r="X460" s="48"/>
      <c r="Y460" s="48"/>
      <c r="Z460" s="48"/>
      <c r="AA460" s="48"/>
      <c r="AB460" s="48"/>
      <c r="AC460" s="48"/>
      <c r="AD460" s="48"/>
      <c r="AE460" s="48"/>
    </row>
    <row r="461" spans="1:31">
      <c r="A461" s="412">
        <f>ROW()</f>
        <v>461</v>
      </c>
      <c r="B461" s="32" t="s">
        <v>519</v>
      </c>
      <c r="C461" s="114">
        <v>0</v>
      </c>
      <c r="G461" s="490">
        <f t="shared" ref="G461:M461" si="123">$C$461*G460</f>
        <v>0</v>
      </c>
      <c r="H461" s="490">
        <f t="shared" si="123"/>
        <v>0</v>
      </c>
      <c r="I461" s="490">
        <f t="shared" si="123"/>
        <v>0</v>
      </c>
      <c r="J461" s="490">
        <f t="shared" si="123"/>
        <v>0</v>
      </c>
      <c r="K461" s="490">
        <f t="shared" si="123"/>
        <v>0</v>
      </c>
      <c r="L461" s="490">
        <f t="shared" si="123"/>
        <v>0</v>
      </c>
      <c r="M461" s="490">
        <f t="shared" si="123"/>
        <v>0</v>
      </c>
      <c r="O461" s="287"/>
      <c r="Q461" s="48"/>
      <c r="R461" s="48"/>
      <c r="S461" s="48"/>
      <c r="T461" s="48"/>
      <c r="U461" s="48"/>
      <c r="V461" s="48"/>
      <c r="W461" s="48"/>
      <c r="X461" s="48"/>
      <c r="Y461" s="48"/>
      <c r="Z461" s="48"/>
      <c r="AA461" s="48"/>
      <c r="AB461" s="48"/>
      <c r="AC461" s="48"/>
      <c r="AD461" s="48"/>
      <c r="AE461" s="48"/>
    </row>
    <row r="462" spans="1:31">
      <c r="A462" s="412">
        <f>ROW()</f>
        <v>462</v>
      </c>
      <c r="C462" s="109"/>
      <c r="G462" s="117"/>
      <c r="H462" s="117"/>
      <c r="I462" s="117"/>
      <c r="J462" s="117"/>
      <c r="K462" s="117"/>
      <c r="L462" s="117"/>
      <c r="M462" s="117"/>
      <c r="O462" s="287"/>
      <c r="Q462" s="48"/>
      <c r="R462" s="48"/>
      <c r="S462" s="48"/>
      <c r="T462" s="48"/>
      <c r="U462" s="48"/>
      <c r="V462" s="48"/>
      <c r="W462" s="48"/>
      <c r="X462" s="48"/>
      <c r="Y462" s="48"/>
      <c r="Z462" s="48"/>
      <c r="AA462" s="48"/>
      <c r="AB462" s="48"/>
      <c r="AC462" s="48"/>
      <c r="AD462" s="48"/>
      <c r="AE462" s="48"/>
    </row>
    <row r="463" spans="1:31">
      <c r="A463" s="412">
        <f>ROW()</f>
        <v>463</v>
      </c>
      <c r="B463" s="32" t="s">
        <v>525</v>
      </c>
      <c r="C463" s="109"/>
      <c r="G463" s="587">
        <f>G461+G457+G453+G449+G445</f>
        <v>0</v>
      </c>
      <c r="H463" s="587">
        <f>H461+H457+H453+H449+H445</f>
        <v>0</v>
      </c>
      <c r="I463" s="587">
        <f t="shared" ref="I463:M463" si="124">I461+I457+I453+I449+I445</f>
        <v>0</v>
      </c>
      <c r="J463" s="587">
        <f t="shared" si="124"/>
        <v>0</v>
      </c>
      <c r="K463" s="587">
        <f t="shared" si="124"/>
        <v>0</v>
      </c>
      <c r="L463" s="587">
        <f t="shared" si="124"/>
        <v>0</v>
      </c>
      <c r="M463" s="587">
        <f t="shared" si="124"/>
        <v>0</v>
      </c>
      <c r="O463" s="287"/>
      <c r="Q463" s="48"/>
      <c r="R463" s="48"/>
      <c r="S463" s="48"/>
      <c r="T463" s="48"/>
      <c r="U463" s="48"/>
      <c r="V463" s="48"/>
      <c r="W463" s="48"/>
      <c r="X463" s="48"/>
      <c r="Y463" s="48"/>
      <c r="Z463" s="48"/>
      <c r="AA463" s="48"/>
      <c r="AB463" s="48"/>
      <c r="AC463" s="48"/>
      <c r="AD463" s="48"/>
      <c r="AE463" s="48"/>
    </row>
    <row r="464" spans="1:31">
      <c r="A464" s="412">
        <f>ROW()</f>
        <v>464</v>
      </c>
      <c r="C464" s="109"/>
      <c r="G464" s="117"/>
      <c r="H464" s="117"/>
      <c r="I464" s="117"/>
      <c r="J464" s="117"/>
      <c r="K464" s="117"/>
      <c r="L464" s="117"/>
      <c r="M464" s="117"/>
      <c r="O464" s="287"/>
      <c r="Q464" s="48"/>
      <c r="R464" s="48"/>
      <c r="S464" s="48"/>
      <c r="T464" s="48"/>
      <c r="U464" s="48"/>
      <c r="V464" s="48"/>
      <c r="W464" s="48"/>
      <c r="X464" s="48"/>
      <c r="Y464" s="48"/>
      <c r="Z464" s="48"/>
      <c r="AA464" s="48"/>
      <c r="AB464" s="48"/>
      <c r="AC464" s="48"/>
      <c r="AD464" s="48"/>
      <c r="AE464" s="48"/>
    </row>
    <row r="465" spans="1:31">
      <c r="A465" s="412">
        <f>ROW()</f>
        <v>465</v>
      </c>
      <c r="B465" s="32" t="s">
        <v>526</v>
      </c>
      <c r="C465" s="1041">
        <v>7.6499999999999999E-2</v>
      </c>
      <c r="G465" s="117">
        <f>+$C$465*G463</f>
        <v>0</v>
      </c>
      <c r="H465" s="117">
        <f>+$C$465*H463</f>
        <v>0</v>
      </c>
      <c r="I465" s="117">
        <f t="shared" ref="I465:M465" si="125">+$C$465*I463</f>
        <v>0</v>
      </c>
      <c r="J465" s="117">
        <f t="shared" si="125"/>
        <v>0</v>
      </c>
      <c r="K465" s="117">
        <f t="shared" si="125"/>
        <v>0</v>
      </c>
      <c r="L465" s="117">
        <f t="shared" si="125"/>
        <v>0</v>
      </c>
      <c r="M465" s="117">
        <f t="shared" si="125"/>
        <v>0</v>
      </c>
      <c r="O465" s="287"/>
      <c r="Q465" s="48"/>
      <c r="R465" s="48"/>
      <c r="S465" s="48"/>
      <c r="T465" s="48"/>
      <c r="U465" s="48"/>
      <c r="V465" s="48"/>
      <c r="W465" s="48"/>
      <c r="X465" s="48"/>
      <c r="Y465" s="48"/>
      <c r="Z465" s="48"/>
      <c r="AA465" s="48"/>
      <c r="AB465" s="48"/>
      <c r="AC465" s="48"/>
      <c r="AD465" s="48"/>
      <c r="AE465" s="48"/>
    </row>
    <row r="466" spans="1:31">
      <c r="A466" s="412"/>
      <c r="C466" s="109"/>
      <c r="G466" s="117"/>
      <c r="H466" s="117"/>
      <c r="I466" s="117"/>
      <c r="J466" s="117"/>
      <c r="K466" s="117"/>
      <c r="L466" s="117"/>
      <c r="M466" s="117"/>
      <c r="O466" s="287"/>
      <c r="Q466" s="48"/>
      <c r="R466" s="48"/>
      <c r="S466" s="48"/>
      <c r="T466" s="48"/>
      <c r="U466" s="48"/>
      <c r="V466" s="48"/>
      <c r="W466" s="48"/>
      <c r="X466" s="48"/>
      <c r="Y466" s="48"/>
      <c r="Z466" s="48"/>
      <c r="AA466" s="48"/>
      <c r="AB466" s="48"/>
      <c r="AC466" s="48"/>
      <c r="AD466" s="48"/>
      <c r="AE466" s="48"/>
    </row>
    <row r="467" spans="1:31">
      <c r="A467" s="412"/>
      <c r="C467" s="109"/>
      <c r="G467" s="117"/>
      <c r="H467" s="117"/>
      <c r="I467" s="117"/>
      <c r="J467" s="117"/>
      <c r="K467" s="117"/>
      <c r="L467" s="117"/>
      <c r="M467" s="117"/>
      <c r="O467" s="287"/>
      <c r="Q467" s="48"/>
      <c r="R467" s="48"/>
      <c r="S467" s="48"/>
      <c r="T467" s="48"/>
      <c r="U467" s="48"/>
      <c r="V467" s="48"/>
      <c r="W467" s="48"/>
      <c r="X467" s="48"/>
      <c r="Y467" s="48"/>
      <c r="Z467" s="48"/>
      <c r="AA467" s="48"/>
      <c r="AB467" s="48"/>
      <c r="AC467" s="48"/>
      <c r="AD467" s="48"/>
      <c r="AE467" s="48"/>
    </row>
    <row r="468" spans="1:31">
      <c r="A468" s="412">
        <f>ROW()</f>
        <v>468</v>
      </c>
      <c r="B468" s="30" t="s">
        <v>527</v>
      </c>
      <c r="C468" s="112">
        <f>SUM(G468:M468)</f>
        <v>0</v>
      </c>
      <c r="D468" s="30"/>
      <c r="E468" s="30"/>
      <c r="F468" s="30"/>
      <c r="G468" s="112">
        <f t="shared" ref="G468:M468" si="126">G461+G457+G453+G449+G445</f>
        <v>0</v>
      </c>
      <c r="H468" s="112">
        <f t="shared" si="126"/>
        <v>0</v>
      </c>
      <c r="I468" s="112">
        <f t="shared" si="126"/>
        <v>0</v>
      </c>
      <c r="J468" s="112">
        <f t="shared" si="126"/>
        <v>0</v>
      </c>
      <c r="K468" s="112">
        <f t="shared" si="126"/>
        <v>0</v>
      </c>
      <c r="L468" s="112">
        <f t="shared" si="126"/>
        <v>0</v>
      </c>
      <c r="M468" s="112">
        <f t="shared" si="126"/>
        <v>0</v>
      </c>
      <c r="O468" s="287"/>
      <c r="Q468" s="48"/>
      <c r="R468" s="48"/>
      <c r="S468" s="48"/>
      <c r="T468" s="48"/>
      <c r="U468" s="48"/>
      <c r="V468" s="48"/>
      <c r="W468" s="48"/>
      <c r="X468" s="48"/>
      <c r="Y468" s="48"/>
      <c r="Z468" s="48"/>
      <c r="AA468" s="48"/>
      <c r="AB468" s="48"/>
      <c r="AC468" s="48"/>
      <c r="AD468" s="48"/>
      <c r="AE468" s="48"/>
    </row>
    <row r="469" spans="1:31">
      <c r="A469" s="412">
        <f>ROW()</f>
        <v>469</v>
      </c>
      <c r="B469" s="30"/>
      <c r="C469" s="112"/>
      <c r="D469" s="30"/>
      <c r="E469" s="30"/>
      <c r="F469" s="30"/>
      <c r="G469" s="433"/>
      <c r="H469" s="433"/>
      <c r="I469" s="433"/>
      <c r="J469" s="433"/>
      <c r="K469" s="433"/>
      <c r="L469" s="433"/>
      <c r="M469" s="433"/>
      <c r="O469" s="287"/>
      <c r="Q469" s="48"/>
      <c r="R469" s="48"/>
      <c r="S469" s="48"/>
      <c r="T469" s="48"/>
      <c r="U469" s="48"/>
      <c r="V469" s="48"/>
      <c r="W469" s="48"/>
      <c r="X469" s="48"/>
      <c r="Y469" s="48"/>
      <c r="Z469" s="48"/>
      <c r="AA469" s="48"/>
      <c r="AB469" s="48"/>
      <c r="AC469" s="48"/>
      <c r="AD469" s="48"/>
      <c r="AE469" s="48"/>
    </row>
    <row r="470" spans="1:31" ht="14.4">
      <c r="A470" s="412">
        <f>ROW()</f>
        <v>470</v>
      </c>
      <c r="B470" s="154" t="s">
        <v>528</v>
      </c>
      <c r="C470" s="112"/>
      <c r="D470" s="30"/>
      <c r="E470" s="30"/>
      <c r="F470" s="30"/>
      <c r="G470" s="1672">
        <f t="shared" ref="G470:M470" si="127">SUM(G444,G448,G452,G456,G460)</f>
        <v>0</v>
      </c>
      <c r="H470" s="1672">
        <f t="shared" si="127"/>
        <v>0</v>
      </c>
      <c r="I470" s="1672">
        <f t="shared" si="127"/>
        <v>0</v>
      </c>
      <c r="J470" s="1672">
        <f t="shared" si="127"/>
        <v>0</v>
      </c>
      <c r="K470" s="1672">
        <f t="shared" si="127"/>
        <v>0</v>
      </c>
      <c r="L470" s="1672">
        <f t="shared" si="127"/>
        <v>0</v>
      </c>
      <c r="M470" s="1672">
        <f t="shared" si="127"/>
        <v>0</v>
      </c>
      <c r="O470" s="287"/>
      <c r="Q470" s="48"/>
      <c r="R470" s="48"/>
      <c r="S470" s="48"/>
      <c r="T470" s="48"/>
      <c r="U470" s="48"/>
      <c r="V470" s="48"/>
      <c r="W470" s="48"/>
      <c r="X470" s="48"/>
      <c r="Y470" s="48"/>
      <c r="Z470" s="48"/>
      <c r="AA470" s="48"/>
      <c r="AB470" s="48"/>
      <c r="AC470" s="48"/>
      <c r="AD470" s="48"/>
      <c r="AE470" s="48"/>
    </row>
    <row r="471" spans="1:31">
      <c r="A471" s="412">
        <f>ROW()</f>
        <v>471</v>
      </c>
      <c r="B471" s="30"/>
      <c r="C471" s="112"/>
      <c r="D471" s="30"/>
      <c r="E471" s="30"/>
      <c r="F471" s="30"/>
      <c r="G471" s="433"/>
      <c r="H471" s="433"/>
      <c r="I471" s="433"/>
      <c r="J471" s="433"/>
      <c r="K471" s="433"/>
      <c r="L471" s="433"/>
      <c r="M471" s="433"/>
      <c r="O471" s="287"/>
      <c r="Q471" s="48"/>
      <c r="R471" s="48"/>
      <c r="S471" s="48"/>
      <c r="T471" s="48"/>
      <c r="U471" s="48"/>
      <c r="V471" s="48"/>
      <c r="W471" s="48"/>
      <c r="X471" s="48"/>
      <c r="Y471" s="48"/>
      <c r="Z471" s="48"/>
      <c r="AA471" s="48"/>
      <c r="AB471" s="48"/>
      <c r="AC471" s="48"/>
      <c r="AD471" s="48"/>
      <c r="AE471" s="48"/>
    </row>
    <row r="472" spans="1:31">
      <c r="A472" s="412">
        <f>ROW()</f>
        <v>472</v>
      </c>
      <c r="B472" s="30" t="s">
        <v>529</v>
      </c>
      <c r="C472" s="112">
        <f>SUM(G472:M472)</f>
        <v>0</v>
      </c>
      <c r="G472" s="112">
        <f t="shared" ref="G472:M472" si="128">G24*$C$67*12</f>
        <v>0</v>
      </c>
      <c r="H472" s="112">
        <f t="shared" si="128"/>
        <v>0</v>
      </c>
      <c r="I472" s="112">
        <f t="shared" si="128"/>
        <v>0</v>
      </c>
      <c r="J472" s="112">
        <f t="shared" si="128"/>
        <v>0</v>
      </c>
      <c r="K472" s="112">
        <f t="shared" si="128"/>
        <v>0</v>
      </c>
      <c r="L472" s="112">
        <f t="shared" si="128"/>
        <v>0</v>
      </c>
      <c r="M472" s="112">
        <f t="shared" si="128"/>
        <v>0</v>
      </c>
      <c r="O472" s="287"/>
      <c r="Q472" s="48"/>
      <c r="R472" s="48"/>
      <c r="S472" s="48"/>
      <c r="T472" s="48"/>
      <c r="U472" s="48"/>
      <c r="V472" s="48"/>
      <c r="W472" s="48"/>
      <c r="X472" s="48"/>
      <c r="Y472" s="48"/>
      <c r="Z472" s="48"/>
      <c r="AA472" s="48"/>
      <c r="AB472" s="48"/>
      <c r="AC472" s="48"/>
      <c r="AD472" s="48"/>
      <c r="AE472" s="48"/>
    </row>
    <row r="473" spans="1:31">
      <c r="A473" s="412">
        <f>ROW()</f>
        <v>473</v>
      </c>
      <c r="O473" s="287"/>
      <c r="Q473" s="48"/>
      <c r="R473" s="48"/>
      <c r="S473" s="48"/>
      <c r="T473" s="48"/>
      <c r="U473" s="48"/>
      <c r="V473" s="48"/>
      <c r="W473" s="48"/>
      <c r="X473" s="48"/>
      <c r="Y473" s="48"/>
      <c r="Z473" s="48"/>
      <c r="AA473" s="48"/>
      <c r="AB473" s="48"/>
      <c r="AC473" s="48"/>
      <c r="AD473" s="48"/>
      <c r="AE473" s="48"/>
    </row>
    <row r="474" spans="1:31">
      <c r="A474" s="412">
        <f>ROW()</f>
        <v>474</v>
      </c>
      <c r="B474" s="30" t="s">
        <v>530</v>
      </c>
      <c r="C474" s="112">
        <f>SUM(G474:M474)</f>
        <v>12380788.61184779</v>
      </c>
      <c r="D474" s="30"/>
      <c r="E474" s="30"/>
      <c r="F474" s="30"/>
      <c r="G474" s="112">
        <f>Staff!G403+Staff!G428+Staff!G468+Staff!G472+G439</f>
        <v>0</v>
      </c>
      <c r="H474" s="112">
        <f>Staff!H403+Staff!H428+Staff!H468+Staff!H472+H439</f>
        <v>1153645.23</v>
      </c>
      <c r="I474" s="112">
        <f>Staff!I403+Staff!I428+Staff!I468+Staff!I472+I439</f>
        <v>1749062.9550000001</v>
      </c>
      <c r="J474" s="112">
        <f>Staff!J403+Staff!J428+Staff!J468+Staff!J472+J439</f>
        <v>2028835.7324999999</v>
      </c>
      <c r="K474" s="112">
        <f>Staff!K403+Staff!K428+Staff!K468+Staff!K472+K439</f>
        <v>2428492.1113499999</v>
      </c>
      <c r="L474" s="112">
        <f>Staff!L403+Staff!L428+Staff!L468+Staff!L472+L439</f>
        <v>2509643.2119889501</v>
      </c>
      <c r="M474" s="112">
        <f>Staff!M403+Staff!M428+Staff!M468+Staff!M472+M439</f>
        <v>2511109.3710088395</v>
      </c>
      <c r="O474" s="287"/>
      <c r="Q474" s="48"/>
      <c r="R474" s="48"/>
      <c r="S474" s="48"/>
      <c r="T474" s="48"/>
      <c r="U474" s="48"/>
      <c r="V474" s="48"/>
      <c r="W474" s="48"/>
      <c r="X474" s="48"/>
      <c r="Y474" s="48"/>
      <c r="Z474" s="48"/>
      <c r="AA474" s="48"/>
      <c r="AB474" s="48"/>
      <c r="AC474" s="48"/>
      <c r="AD474" s="48"/>
      <c r="AE474" s="48"/>
    </row>
    <row r="477" spans="1:31">
      <c r="B477" s="30"/>
    </row>
    <row r="478" spans="1:31">
      <c r="C478" s="429"/>
      <c r="D478" s="429"/>
      <c r="E478" s="429"/>
      <c r="F478" s="429"/>
      <c r="G478" s="429"/>
    </row>
    <row r="479" spans="1:31">
      <c r="C479" s="1673"/>
      <c r="D479" s="1673"/>
      <c r="E479" s="1673"/>
      <c r="F479" s="1673"/>
      <c r="G479" s="1673"/>
    </row>
    <row r="480" spans="1:31">
      <c r="C480" s="1673"/>
      <c r="D480" s="1673"/>
      <c r="E480" s="1673"/>
      <c r="F480" s="1673"/>
      <c r="G480" s="1673"/>
    </row>
    <row r="481" spans="3:7">
      <c r="C481" s="1107"/>
      <c r="D481" s="1107"/>
      <c r="E481" s="1107"/>
      <c r="F481" s="1107"/>
      <c r="G481" s="1107"/>
    </row>
    <row r="482" spans="3:7">
      <c r="C482" s="1107"/>
      <c r="D482" s="1107"/>
      <c r="E482" s="1107"/>
      <c r="F482" s="1107"/>
      <c r="G482" s="1107"/>
    </row>
    <row r="483" spans="3:7">
      <c r="C483" s="1107"/>
      <c r="D483" s="1107"/>
      <c r="E483" s="1107"/>
      <c r="F483" s="1107"/>
      <c r="G483" s="1107"/>
    </row>
    <row r="484" spans="3:7">
      <c r="C484" s="1674"/>
      <c r="D484" s="1675"/>
      <c r="E484" s="1675"/>
      <c r="F484" s="1675"/>
      <c r="G484" s="1675"/>
    </row>
    <row r="485" spans="3:7">
      <c r="C485" s="1107"/>
      <c r="D485" s="1107"/>
      <c r="E485" s="1107"/>
      <c r="F485" s="1107"/>
      <c r="G485" s="1107"/>
    </row>
    <row r="486" spans="3:7">
      <c r="C486" s="1673"/>
      <c r="D486" s="1673"/>
      <c r="E486" s="1673"/>
      <c r="F486" s="1673"/>
      <c r="G486" s="1673"/>
    </row>
    <row r="487" spans="3:7">
      <c r="C487" s="1673"/>
      <c r="D487" s="1673"/>
      <c r="E487" s="1673"/>
      <c r="F487" s="1673"/>
      <c r="G487" s="1673"/>
    </row>
    <row r="488" spans="3:7">
      <c r="C488" s="48"/>
      <c r="D488" s="48"/>
      <c r="E488" s="48"/>
      <c r="F488" s="48"/>
      <c r="G488" s="48"/>
    </row>
    <row r="489" spans="3:7">
      <c r="C489" s="1391"/>
      <c r="D489" s="1391"/>
      <c r="E489" s="1391"/>
      <c r="F489" s="1391"/>
      <c r="G489" s="1391"/>
    </row>
  </sheetData>
  <sheetProtection sheet="1" objects="1" scenarios="1"/>
  <mergeCells count="14">
    <mergeCell ref="E67:M67"/>
    <mergeCell ref="E68:M68"/>
    <mergeCell ref="E61:M61"/>
    <mergeCell ref="E62:M62"/>
    <mergeCell ref="E63:M63"/>
    <mergeCell ref="E64:M64"/>
    <mergeCell ref="E65:M65"/>
    <mergeCell ref="E66:M66"/>
    <mergeCell ref="E60:M60"/>
    <mergeCell ref="E55:M55"/>
    <mergeCell ref="E56:M56"/>
    <mergeCell ref="E57:M57"/>
    <mergeCell ref="E58:M58"/>
    <mergeCell ref="E59:M59"/>
  </mergeCells>
  <conditionalFormatting sqref="D1">
    <cfRule type="expression" dxfId="56" priority="13" stopIfTrue="1">
      <formula>MOD(ROW(),2)=0</formula>
    </cfRule>
  </conditionalFormatting>
  <conditionalFormatting sqref="G17:M24">
    <cfRule type="cellIs" dxfId="55" priority="15" stopIfTrue="1" operator="equal">
      <formula>0</formula>
    </cfRule>
  </conditionalFormatting>
  <conditionalFormatting sqref="G26:M26">
    <cfRule type="cellIs" dxfId="54" priority="42" stopIfTrue="1" operator="equal">
      <formula>0</formula>
    </cfRule>
  </conditionalFormatting>
  <conditionalFormatting sqref="G28:M28">
    <cfRule type="cellIs" dxfId="53" priority="41" stopIfTrue="1" operator="equal">
      <formula>0</formula>
    </cfRule>
  </conditionalFormatting>
  <conditionalFormatting sqref="G31:M33 G35:M36">
    <cfRule type="cellIs" dxfId="52" priority="38" stopIfTrue="1" operator="equal">
      <formula>0</formula>
    </cfRule>
  </conditionalFormatting>
  <conditionalFormatting sqref="G38:M41">
    <cfRule type="cellIs" dxfId="51" priority="14" stopIfTrue="1" operator="equal">
      <formula>0</formula>
    </cfRule>
  </conditionalFormatting>
  <conditionalFormatting sqref="G43:M48">
    <cfRule type="cellIs" dxfId="50" priority="37" stopIfTrue="1" operator="equal">
      <formula>0</formula>
    </cfRule>
  </conditionalFormatting>
  <conditionalFormatting sqref="G89:M89">
    <cfRule type="cellIs" dxfId="49" priority="31" stopIfTrue="1" operator="equal">
      <formula>0</formula>
    </cfRule>
  </conditionalFormatting>
  <conditionalFormatting sqref="G97:M97">
    <cfRule type="cellIs" dxfId="48" priority="32" stopIfTrue="1" operator="equal">
      <formula>0</formula>
    </cfRule>
  </conditionalFormatting>
  <conditionalFormatting sqref="G109:M109">
    <cfRule type="cellIs" dxfId="47" priority="33" stopIfTrue="1" operator="equal">
      <formula>0</formula>
    </cfRule>
  </conditionalFormatting>
  <conditionalFormatting sqref="G123:M123">
    <cfRule type="cellIs" dxfId="46" priority="34" stopIfTrue="1" operator="equal">
      <formula>0</formula>
    </cfRule>
  </conditionalFormatting>
  <conditionalFormatting sqref="G137:M137">
    <cfRule type="cellIs" dxfId="45" priority="35" stopIfTrue="1" operator="equal">
      <formula>0</formula>
    </cfRule>
  </conditionalFormatting>
  <conditionalFormatting sqref="G139:M140">
    <cfRule type="cellIs" dxfId="44" priority="36" stopIfTrue="1" operator="equal">
      <formula>0</formula>
    </cfRule>
  </conditionalFormatting>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9"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99"/>
  </sheetPr>
  <dimension ref="A1:Z104"/>
  <sheetViews>
    <sheetView zoomScale="68" workbookViewId="0">
      <selection activeCell="G51" sqref="G51"/>
    </sheetView>
  </sheetViews>
  <sheetFormatPr defaultColWidth="8.6640625" defaultRowHeight="13.8" outlineLevelRow="1"/>
  <cols>
    <col min="1" max="1" width="6.33203125" style="32" customWidth="1"/>
    <col min="2" max="2" width="40.44140625" style="32" customWidth="1"/>
    <col min="3" max="3" width="19.33203125" style="32" customWidth="1"/>
    <col min="4" max="4" width="11.44140625" style="32" customWidth="1"/>
    <col min="5" max="5" width="17.6640625" style="32" customWidth="1"/>
    <col min="6" max="6" width="15.33203125" style="32" bestFit="1" customWidth="1"/>
    <col min="7" max="10" width="16" style="32" bestFit="1" customWidth="1"/>
    <col min="11" max="11" width="13.6640625" style="32" bestFit="1" customWidth="1"/>
    <col min="12" max="12" width="15.6640625" style="32" bestFit="1" customWidth="1"/>
    <col min="13" max="13" width="7.33203125" style="32" customWidth="1"/>
    <col min="14" max="14" width="59.6640625" style="257" customWidth="1"/>
    <col min="15" max="15" width="8.6640625" style="32"/>
    <col min="16" max="16" width="9.44140625" style="32" customWidth="1"/>
    <col min="17" max="16384" width="8.6640625" style="32"/>
  </cols>
  <sheetData>
    <row r="1" spans="1:26" ht="15.6">
      <c r="A1" s="1701" t="s">
        <v>45</v>
      </c>
      <c r="B1" s="1702"/>
      <c r="D1" s="347"/>
      <c r="G1" s="1307" t="s">
        <v>1273</v>
      </c>
      <c r="H1" s="1307"/>
      <c r="I1" s="1307"/>
      <c r="J1" s="58"/>
      <c r="K1" s="58"/>
      <c r="Z1" s="1444"/>
    </row>
    <row r="2" spans="1:26" ht="15.6">
      <c r="A2" s="35" t="str">
        <f>SchoolName</f>
        <v>Game Changers Sports Academy</v>
      </c>
      <c r="B2" s="36"/>
      <c r="G2" s="1851" t="str">
        <f>+'Cover &amp; Loc'!C14</f>
        <v>2400 N. Rancho Drive</v>
      </c>
      <c r="H2" s="1851"/>
      <c r="I2" s="1851"/>
      <c r="J2" s="1851"/>
      <c r="K2" s="1851"/>
      <c r="Z2" s="1444"/>
    </row>
    <row r="3" spans="1:26">
      <c r="A3" s="37"/>
      <c r="G3" s="1852">
        <f>+'Cover &amp; Loc'!C15</f>
        <v>0</v>
      </c>
      <c r="H3" s="1852"/>
      <c r="I3" s="1852"/>
      <c r="J3" s="1852"/>
      <c r="K3" s="1852"/>
      <c r="Z3" s="1444"/>
    </row>
    <row r="4" spans="1:26">
      <c r="A4" s="29"/>
      <c r="Z4" s="1444"/>
    </row>
    <row r="5" spans="1:26">
      <c r="Z5" s="1444"/>
    </row>
    <row r="6" spans="1:26" s="30" customFormat="1" outlineLevel="1">
      <c r="F6" s="1510">
        <f>' Enrol &amp; Rev'!F9</f>
        <v>0</v>
      </c>
      <c r="G6" s="1511">
        <f>' Enrol &amp; Rev'!G9</f>
        <v>1</v>
      </c>
      <c r="H6" s="1511">
        <f>' Enrol &amp; Rev'!H9</f>
        <v>2</v>
      </c>
      <c r="I6" s="1511">
        <f>' Enrol &amp; Rev'!I9</f>
        <v>3</v>
      </c>
      <c r="J6" s="1511">
        <f>' Enrol &amp; Rev'!J9</f>
        <v>4</v>
      </c>
      <c r="K6" s="1511">
        <f>' Enrol &amp; Rev'!K9</f>
        <v>5</v>
      </c>
      <c r="L6" s="1512">
        <f>' Enrol &amp; Rev'!L9</f>
        <v>6</v>
      </c>
      <c r="N6" s="1425" t="s">
        <v>1253</v>
      </c>
      <c r="Z6" s="1444"/>
    </row>
    <row r="7" spans="1:26" outlineLevel="1">
      <c r="B7" s="60" t="s">
        <v>1306</v>
      </c>
      <c r="C7" s="1688" t="s">
        <v>1409</v>
      </c>
      <c r="D7" s="30"/>
      <c r="F7" s="1513">
        <f>+G7-1</f>
        <v>2025</v>
      </c>
      <c r="G7" s="1514">
        <f>' Enrol &amp; Rev'!G10</f>
        <v>2026</v>
      </c>
      <c r="H7" s="1514">
        <f>' Enrol &amp; Rev'!H10</f>
        <v>2027</v>
      </c>
      <c r="I7" s="1514">
        <f>' Enrol &amp; Rev'!I10</f>
        <v>2028</v>
      </c>
      <c r="J7" s="1514">
        <f>' Enrol &amp; Rev'!J10</f>
        <v>2029</v>
      </c>
      <c r="K7" s="1514">
        <f>' Enrol &amp; Rev'!K10</f>
        <v>2030</v>
      </c>
      <c r="L7" s="1515">
        <f>' Enrol &amp; Rev'!L10</f>
        <v>2031</v>
      </c>
      <c r="M7" s="39"/>
      <c r="N7" s="394"/>
    </row>
    <row r="8" spans="1:26" outlineLevel="1">
      <c r="C8" s="30"/>
      <c r="F8" s="1689">
        <f>+G8-1</f>
        <v>2026</v>
      </c>
      <c r="G8" s="1516">
        <f>' Enrol &amp; Rev'!G11</f>
        <v>2027</v>
      </c>
      <c r="H8" s="1516">
        <f>' Enrol &amp; Rev'!H11</f>
        <v>2028</v>
      </c>
      <c r="I8" s="1516">
        <f>' Enrol &amp; Rev'!I11</f>
        <v>2029</v>
      </c>
      <c r="J8" s="1516">
        <f>' Enrol &amp; Rev'!J11</f>
        <v>2030</v>
      </c>
      <c r="K8" s="1516">
        <f>' Enrol &amp; Rev'!K11</f>
        <v>2031</v>
      </c>
      <c r="L8" s="1517">
        <f>' Enrol &amp; Rev'!L11</f>
        <v>2032</v>
      </c>
      <c r="M8" s="39"/>
      <c r="N8" s="287"/>
    </row>
    <row r="9" spans="1:26" outlineLevel="1">
      <c r="A9" s="290">
        <f>ROW()</f>
        <v>9</v>
      </c>
      <c r="B9" s="1690" t="s">
        <v>531</v>
      </c>
      <c r="C9" s="1691"/>
      <c r="D9" s="1691"/>
      <c r="E9" s="58"/>
      <c r="F9" s="1311" t="s">
        <v>437</v>
      </c>
      <c r="G9" s="557">
        <f>' Enrol &amp; Rev'!G36</f>
        <v>230</v>
      </c>
      <c r="H9" s="557">
        <f>' Enrol &amp; Rev'!H36</f>
        <v>310</v>
      </c>
      <c r="I9" s="557">
        <f>' Enrol &amp; Rev'!I36</f>
        <v>390</v>
      </c>
      <c r="J9" s="557">
        <f>' Enrol &amp; Rev'!J36</f>
        <v>470</v>
      </c>
      <c r="K9" s="557">
        <f>' Enrol &amp; Rev'!K36</f>
        <v>550</v>
      </c>
      <c r="L9" s="971">
        <f>' Enrol &amp; Rev'!L36</f>
        <v>560</v>
      </c>
      <c r="M9" s="39"/>
      <c r="N9" s="287"/>
    </row>
    <row r="10" spans="1:26" outlineLevel="1">
      <c r="A10" s="290">
        <f>ROW()</f>
        <v>10</v>
      </c>
      <c r="B10" s="32" t="s">
        <v>1367</v>
      </c>
      <c r="C10" s="30"/>
      <c r="G10" s="436">
        <f>IFERROR(+G11/' Enrol &amp; Rev'!G36,0)</f>
        <v>173.91304347826087</v>
      </c>
      <c r="H10" s="436">
        <f>IFERROR(+H11/' Enrol &amp; Rev'!H36,0)</f>
        <v>129.03225806451613</v>
      </c>
      <c r="I10" s="436">
        <f>IFERROR(+I11/' Enrol &amp; Rev'!I36,0)</f>
        <v>102.56410256410257</v>
      </c>
      <c r="J10" s="436">
        <f>IFERROR(+J11/' Enrol &amp; Rev'!J36,0)</f>
        <v>85.106382978723403</v>
      </c>
      <c r="K10" s="436">
        <f>IFERROR(+K11/' Enrol &amp; Rev'!K36,0)</f>
        <v>72.727272727272734</v>
      </c>
      <c r="L10" s="436">
        <f>IFERROR(+L11/' Enrol &amp; Rev'!L36,0)</f>
        <v>71.428571428571431</v>
      </c>
      <c r="M10" s="39"/>
      <c r="N10" s="287"/>
    </row>
    <row r="11" spans="1:26" outlineLevel="1">
      <c r="A11" s="290">
        <f>ROW()</f>
        <v>11</v>
      </c>
      <c r="B11" s="32" t="s">
        <v>532</v>
      </c>
      <c r="F11" s="437">
        <v>0</v>
      </c>
      <c r="G11" s="437">
        <v>40000</v>
      </c>
      <c r="H11" s="437">
        <v>40000</v>
      </c>
      <c r="I11" s="437">
        <v>40000</v>
      </c>
      <c r="J11" s="437">
        <v>40000</v>
      </c>
      <c r="K11" s="437">
        <v>40000</v>
      </c>
      <c r="L11" s="437">
        <f>+K11</f>
        <v>40000</v>
      </c>
      <c r="M11" s="39"/>
      <c r="N11" s="287"/>
    </row>
    <row r="12" spans="1:26" outlineLevel="1">
      <c r="A12" s="290"/>
      <c r="M12" s="39"/>
      <c r="N12" s="287"/>
    </row>
    <row r="13" spans="1:26" outlineLevel="1">
      <c r="A13" s="290">
        <f>ROW()</f>
        <v>13</v>
      </c>
      <c r="B13" s="32" t="s">
        <v>533</v>
      </c>
      <c r="F13" s="1063">
        <v>0</v>
      </c>
      <c r="G13" s="1063">
        <v>1.4</v>
      </c>
      <c r="H13" s="1063">
        <v>1.4</v>
      </c>
      <c r="I13" s="1063">
        <v>1.4</v>
      </c>
      <c r="J13" s="1063">
        <v>1.4</v>
      </c>
      <c r="K13" s="1063">
        <v>1.4</v>
      </c>
      <c r="L13" s="1063">
        <v>1.4</v>
      </c>
      <c r="M13" s="39"/>
      <c r="N13" s="287"/>
    </row>
    <row r="14" spans="1:26" outlineLevel="1">
      <c r="A14" s="290">
        <f>ROW()</f>
        <v>14</v>
      </c>
      <c r="B14" s="32" t="s">
        <v>534</v>
      </c>
      <c r="F14" s="1238">
        <f>+F13*12</f>
        <v>0</v>
      </c>
      <c r="G14" s="1238">
        <f>+G13*12</f>
        <v>16.799999999999997</v>
      </c>
      <c r="H14" s="1238">
        <f t="shared" ref="H14:L17" si="0">+H13*12</f>
        <v>16.799999999999997</v>
      </c>
      <c r="I14" s="1238">
        <f t="shared" si="0"/>
        <v>16.799999999999997</v>
      </c>
      <c r="J14" s="1238">
        <f t="shared" si="0"/>
        <v>16.799999999999997</v>
      </c>
      <c r="K14" s="1238">
        <f t="shared" si="0"/>
        <v>16.799999999999997</v>
      </c>
      <c r="L14" s="1238">
        <f t="shared" si="0"/>
        <v>16.799999999999997</v>
      </c>
      <c r="M14" s="39"/>
      <c r="N14" s="287"/>
    </row>
    <row r="15" spans="1:26" outlineLevel="1">
      <c r="A15" s="290"/>
      <c r="F15" s="438"/>
      <c r="G15" s="438"/>
      <c r="H15" s="438"/>
      <c r="I15" s="438"/>
      <c r="J15" s="438"/>
      <c r="K15" s="438"/>
      <c r="L15" s="438"/>
      <c r="M15" s="39"/>
      <c r="N15" s="287"/>
    </row>
    <row r="16" spans="1:26" outlineLevel="1">
      <c r="A16" s="290">
        <f>ROW()</f>
        <v>16</v>
      </c>
      <c r="B16" s="32" t="s">
        <v>1217</v>
      </c>
      <c r="C16" s="31"/>
      <c r="F16" s="1063">
        <v>0</v>
      </c>
      <c r="G16" s="1063">
        <v>1.2</v>
      </c>
      <c r="H16" s="1063">
        <v>1.2</v>
      </c>
      <c r="I16" s="1063">
        <v>1.2</v>
      </c>
      <c r="J16" s="1063">
        <v>1.2</v>
      </c>
      <c r="K16" s="1063">
        <v>1.2</v>
      </c>
      <c r="L16" s="1063">
        <v>1.2</v>
      </c>
      <c r="M16" s="39"/>
      <c r="N16" s="287"/>
    </row>
    <row r="17" spans="1:14" outlineLevel="1">
      <c r="A17" s="290">
        <f>ROW()</f>
        <v>17</v>
      </c>
      <c r="B17" s="32" t="s">
        <v>1218</v>
      </c>
      <c r="C17" s="31"/>
      <c r="F17" s="1238">
        <f>+F16*12</f>
        <v>0</v>
      </c>
      <c r="G17" s="1238">
        <f>+G16*12</f>
        <v>14.399999999999999</v>
      </c>
      <c r="H17" s="1238">
        <f t="shared" si="0"/>
        <v>14.399999999999999</v>
      </c>
      <c r="I17" s="1238">
        <f t="shared" si="0"/>
        <v>14.399999999999999</v>
      </c>
      <c r="J17" s="1238">
        <f t="shared" si="0"/>
        <v>14.399999999999999</v>
      </c>
      <c r="K17" s="1238">
        <f t="shared" si="0"/>
        <v>14.399999999999999</v>
      </c>
      <c r="L17" s="1238">
        <f t="shared" si="0"/>
        <v>14.399999999999999</v>
      </c>
      <c r="M17" s="39"/>
      <c r="N17" s="287"/>
    </row>
    <row r="18" spans="1:14" outlineLevel="1">
      <c r="A18" s="290">
        <f>ROW()</f>
        <v>18</v>
      </c>
      <c r="F18" s="438"/>
      <c r="G18" s="438"/>
      <c r="H18" s="438"/>
      <c r="I18" s="438"/>
      <c r="J18" s="438"/>
      <c r="K18" s="438"/>
      <c r="L18" s="438"/>
      <c r="M18" s="39"/>
      <c r="N18" s="287"/>
    </row>
    <row r="19" spans="1:14" outlineLevel="1">
      <c r="A19" s="290">
        <f>ROW()</f>
        <v>19</v>
      </c>
      <c r="B19" s="41" t="s">
        <v>535</v>
      </c>
      <c r="F19" s="765"/>
      <c r="G19" s="765"/>
      <c r="H19" s="439">
        <v>0.03</v>
      </c>
      <c r="I19" s="439">
        <v>0.03</v>
      </c>
      <c r="J19" s="439">
        <v>0.03</v>
      </c>
      <c r="K19" s="439">
        <v>0.03</v>
      </c>
      <c r="L19" s="439">
        <v>0.03</v>
      </c>
      <c r="M19" s="39"/>
      <c r="N19" s="287"/>
    </row>
    <row r="20" spans="1:14" outlineLevel="1">
      <c r="A20" s="290">
        <f>ROW()</f>
        <v>20</v>
      </c>
      <c r="B20" s="41" t="s">
        <v>536</v>
      </c>
      <c r="F20" s="440">
        <f t="shared" ref="F20:L20" si="1">+F21/12</f>
        <v>0</v>
      </c>
      <c r="G20" s="440">
        <f t="shared" si="1"/>
        <v>1.2</v>
      </c>
      <c r="H20" s="440">
        <f t="shared" si="1"/>
        <v>1.236</v>
      </c>
      <c r="I20" s="440">
        <f t="shared" si="1"/>
        <v>1.27308</v>
      </c>
      <c r="J20" s="440">
        <f t="shared" si="1"/>
        <v>1.3112724</v>
      </c>
      <c r="K20" s="440">
        <f t="shared" si="1"/>
        <v>1.3506105719999999</v>
      </c>
      <c r="L20" s="440">
        <f t="shared" si="1"/>
        <v>1.39112888916</v>
      </c>
      <c r="M20" s="39"/>
      <c r="N20" s="287"/>
    </row>
    <row r="21" spans="1:14" outlineLevel="1">
      <c r="A21" s="290">
        <f>ROW()</f>
        <v>21</v>
      </c>
      <c r="B21" s="41" t="s">
        <v>537</v>
      </c>
      <c r="F21" s="438">
        <f>+F17*(1+F19)</f>
        <v>0</v>
      </c>
      <c r="G21" s="438">
        <f>+G17*(1+G19)</f>
        <v>14.399999999999999</v>
      </c>
      <c r="H21" s="438">
        <f>+G21*(1+H19)</f>
        <v>14.831999999999999</v>
      </c>
      <c r="I21" s="438">
        <f>+H21*(1+I19)</f>
        <v>15.276959999999999</v>
      </c>
      <c r="J21" s="438">
        <f>+I21*(1+J19)</f>
        <v>15.7352688</v>
      </c>
      <c r="K21" s="438">
        <f>+J21*(1+K19)</f>
        <v>16.207326863999999</v>
      </c>
      <c r="L21" s="438">
        <f>+K21*(1+L19)</f>
        <v>16.69354666992</v>
      </c>
      <c r="M21" s="39"/>
      <c r="N21" s="287"/>
    </row>
    <row r="22" spans="1:14" outlineLevel="1">
      <c r="A22" s="290">
        <f>ROW()</f>
        <v>22</v>
      </c>
      <c r="B22" s="30"/>
      <c r="G22" s="429"/>
      <c r="H22" s="429"/>
      <c r="I22" s="429"/>
      <c r="J22" s="429"/>
      <c r="K22" s="429"/>
      <c r="L22" s="429"/>
      <c r="M22" s="39"/>
      <c r="N22" s="287"/>
    </row>
    <row r="23" spans="1:14" outlineLevel="1">
      <c r="A23" s="290">
        <f>ROW()</f>
        <v>23</v>
      </c>
      <c r="B23" s="741" t="s">
        <v>538</v>
      </c>
      <c r="C23" s="138"/>
      <c r="D23" s="104"/>
      <c r="E23" s="293">
        <f t="shared" ref="E23:E41" si="2">SUM(F23:L23)</f>
        <v>3725804.0933567998</v>
      </c>
      <c r="F23" s="766">
        <f t="shared" ref="F23:L23" si="3">F11*(F21)</f>
        <v>0</v>
      </c>
      <c r="G23" s="294">
        <f t="shared" si="3"/>
        <v>576000</v>
      </c>
      <c r="H23" s="295">
        <f t="shared" si="3"/>
        <v>593280</v>
      </c>
      <c r="I23" s="295">
        <f t="shared" si="3"/>
        <v>611078.39999999991</v>
      </c>
      <c r="J23" s="295">
        <f t="shared" si="3"/>
        <v>629410.75199999998</v>
      </c>
      <c r="K23" s="295">
        <f t="shared" si="3"/>
        <v>648293.07455999998</v>
      </c>
      <c r="L23" s="295">
        <f t="shared" si="3"/>
        <v>667741.86679680005</v>
      </c>
      <c r="M23" s="39"/>
      <c r="N23" s="287"/>
    </row>
    <row r="24" spans="1:14" outlineLevel="1">
      <c r="A24" s="290">
        <f>ROW()</f>
        <v>24</v>
      </c>
      <c r="B24" s="42"/>
      <c r="C24" s="31" t="s">
        <v>539</v>
      </c>
      <c r="E24" s="559"/>
      <c r="F24" s="559"/>
      <c r="G24" s="109"/>
      <c r="H24" s="117"/>
      <c r="I24" s="117"/>
      <c r="J24" s="117"/>
      <c r="K24" s="117"/>
      <c r="L24" s="117"/>
      <c r="M24" s="39"/>
      <c r="N24" s="287"/>
    </row>
    <row r="25" spans="1:14" outlineLevel="1">
      <c r="A25" s="290">
        <f>ROW()</f>
        <v>25</v>
      </c>
      <c r="B25" s="32" t="s">
        <v>540</v>
      </c>
      <c r="C25" s="670">
        <v>0</v>
      </c>
      <c r="D25" s="1158" t="s">
        <v>541</v>
      </c>
      <c r="E25" s="1159">
        <f t="shared" si="2"/>
        <v>0</v>
      </c>
      <c r="F25" s="241"/>
      <c r="G25" s="564">
        <f>G$11*$C25</f>
        <v>0</v>
      </c>
      <c r="H25" s="564">
        <f t="shared" ref="H25:L25" si="4">H$11*$C25</f>
        <v>0</v>
      </c>
      <c r="I25" s="564">
        <f t="shared" si="4"/>
        <v>0</v>
      </c>
      <c r="J25" s="564">
        <f t="shared" si="4"/>
        <v>0</v>
      </c>
      <c r="K25" s="564">
        <f t="shared" si="4"/>
        <v>0</v>
      </c>
      <c r="L25" s="564">
        <f t="shared" si="4"/>
        <v>0</v>
      </c>
      <c r="M25" s="39"/>
      <c r="N25" s="287"/>
    </row>
    <row r="26" spans="1:14" outlineLevel="1">
      <c r="A26" s="290">
        <f>ROW()</f>
        <v>26</v>
      </c>
      <c r="B26" s="32" t="s">
        <v>542</v>
      </c>
      <c r="C26" s="671">
        <v>0</v>
      </c>
      <c r="D26" s="1158" t="s">
        <v>541</v>
      </c>
      <c r="E26" s="1159">
        <f t="shared" si="2"/>
        <v>0</v>
      </c>
      <c r="F26" s="241">
        <v>0</v>
      </c>
      <c r="G26" s="565">
        <f t="shared" ref="G26:L26" si="5">G11*$C$26</f>
        <v>0</v>
      </c>
      <c r="H26" s="565">
        <f t="shared" si="5"/>
        <v>0</v>
      </c>
      <c r="I26" s="565">
        <f t="shared" si="5"/>
        <v>0</v>
      </c>
      <c r="J26" s="565">
        <f t="shared" si="5"/>
        <v>0</v>
      </c>
      <c r="K26" s="565">
        <f t="shared" si="5"/>
        <v>0</v>
      </c>
      <c r="L26" s="565">
        <f t="shared" si="5"/>
        <v>0</v>
      </c>
      <c r="M26" s="43"/>
      <c r="N26" s="287"/>
    </row>
    <row r="27" spans="1:14" outlineLevel="1">
      <c r="A27" s="290">
        <f>ROW()</f>
        <v>27</v>
      </c>
      <c r="B27" s="32" t="s">
        <v>543</v>
      </c>
      <c r="C27" s="670">
        <v>0</v>
      </c>
      <c r="D27" s="1158" t="s">
        <v>541</v>
      </c>
      <c r="E27" s="1159">
        <f t="shared" si="2"/>
        <v>0</v>
      </c>
      <c r="F27" s="241"/>
      <c r="G27" s="565">
        <f t="shared" ref="G27:L27" si="6">G11*$C27</f>
        <v>0</v>
      </c>
      <c r="H27" s="565">
        <f t="shared" si="6"/>
        <v>0</v>
      </c>
      <c r="I27" s="565">
        <f t="shared" si="6"/>
        <v>0</v>
      </c>
      <c r="J27" s="565">
        <f t="shared" si="6"/>
        <v>0</v>
      </c>
      <c r="K27" s="565">
        <f t="shared" si="6"/>
        <v>0</v>
      </c>
      <c r="L27" s="565">
        <f t="shared" si="6"/>
        <v>0</v>
      </c>
      <c r="M27" s="39"/>
      <c r="N27" s="287"/>
    </row>
    <row r="28" spans="1:14" outlineLevel="1">
      <c r="A28" s="290">
        <f>ROW()</f>
        <v>28</v>
      </c>
      <c r="B28" s="32" t="s">
        <v>544</v>
      </c>
      <c r="C28" s="670">
        <v>0</v>
      </c>
      <c r="D28" s="1158" t="s">
        <v>545</v>
      </c>
      <c r="E28" s="1159">
        <f t="shared" si="2"/>
        <v>0</v>
      </c>
      <c r="F28" s="241"/>
      <c r="G28" s="565">
        <f t="shared" ref="G28" si="7">+C28</f>
        <v>0</v>
      </c>
      <c r="H28" s="565">
        <f t="shared" ref="H28:L29" si="8">+G28</f>
        <v>0</v>
      </c>
      <c r="I28" s="565">
        <f t="shared" si="8"/>
        <v>0</v>
      </c>
      <c r="J28" s="565">
        <f t="shared" si="8"/>
        <v>0</v>
      </c>
      <c r="K28" s="565">
        <f t="shared" si="8"/>
        <v>0</v>
      </c>
      <c r="L28" s="565">
        <f t="shared" si="8"/>
        <v>0</v>
      </c>
      <c r="M28" s="39"/>
      <c r="N28" s="287"/>
    </row>
    <row r="29" spans="1:14" outlineLevel="1">
      <c r="A29" s="290">
        <f>ROW()</f>
        <v>29</v>
      </c>
      <c r="B29" s="32" t="s">
        <v>546</v>
      </c>
      <c r="C29" s="670">
        <v>2</v>
      </c>
      <c r="D29" s="1158" t="s">
        <v>545</v>
      </c>
      <c r="E29" s="1159">
        <f t="shared" si="2"/>
        <v>12</v>
      </c>
      <c r="F29" s="241"/>
      <c r="G29" s="565">
        <f t="shared" ref="G29" si="9">+C29</f>
        <v>2</v>
      </c>
      <c r="H29" s="565">
        <f t="shared" si="8"/>
        <v>2</v>
      </c>
      <c r="I29" s="565">
        <f t="shared" si="8"/>
        <v>2</v>
      </c>
      <c r="J29" s="565">
        <f t="shared" si="8"/>
        <v>2</v>
      </c>
      <c r="K29" s="565">
        <f t="shared" si="8"/>
        <v>2</v>
      </c>
      <c r="L29" s="565">
        <f t="shared" si="8"/>
        <v>2</v>
      </c>
      <c r="M29" s="39"/>
      <c r="N29" s="287"/>
    </row>
    <row r="30" spans="1:14" outlineLevel="1">
      <c r="A30" s="290">
        <f>ROW()</f>
        <v>30</v>
      </c>
      <c r="B30" s="32" t="s">
        <v>547</v>
      </c>
      <c r="C30" s="670">
        <v>0</v>
      </c>
      <c r="D30" s="1158" t="s">
        <v>541</v>
      </c>
      <c r="E30" s="1159">
        <f t="shared" ref="E30" si="10">SUM(F30:L30)</f>
        <v>0</v>
      </c>
      <c r="F30" s="241"/>
      <c r="G30" s="565">
        <f>G$11*$C30</f>
        <v>0</v>
      </c>
      <c r="H30" s="565">
        <f t="shared" ref="H30:L32" si="11">H$11*$C30</f>
        <v>0</v>
      </c>
      <c r="I30" s="565">
        <f t="shared" si="11"/>
        <v>0</v>
      </c>
      <c r="J30" s="565">
        <f t="shared" si="11"/>
        <v>0</v>
      </c>
      <c r="K30" s="565">
        <f t="shared" si="11"/>
        <v>0</v>
      </c>
      <c r="L30" s="565">
        <f t="shared" si="11"/>
        <v>0</v>
      </c>
      <c r="M30" s="39"/>
      <c r="N30" s="287"/>
    </row>
    <row r="31" spans="1:14" outlineLevel="1">
      <c r="A31" s="290">
        <f>ROW()</f>
        <v>31</v>
      </c>
      <c r="B31" s="32" t="s">
        <v>548</v>
      </c>
      <c r="C31" s="670">
        <v>0</v>
      </c>
      <c r="D31" s="1158" t="s">
        <v>541</v>
      </c>
      <c r="E31" s="1159">
        <f t="shared" ref="E31" si="12">SUM(F31:L31)</f>
        <v>0</v>
      </c>
      <c r="F31" s="241"/>
      <c r="G31" s="565">
        <f>G$11*$C31</f>
        <v>0</v>
      </c>
      <c r="H31" s="565">
        <f t="shared" si="11"/>
        <v>0</v>
      </c>
      <c r="I31" s="565">
        <f t="shared" si="11"/>
        <v>0</v>
      </c>
      <c r="J31" s="565">
        <f t="shared" si="11"/>
        <v>0</v>
      </c>
      <c r="K31" s="565">
        <f t="shared" si="11"/>
        <v>0</v>
      </c>
      <c r="L31" s="565">
        <f t="shared" si="11"/>
        <v>0</v>
      </c>
      <c r="M31" s="39"/>
      <c r="N31" s="287"/>
    </row>
    <row r="32" spans="1:14" outlineLevel="1">
      <c r="A32" s="290">
        <f>ROW()</f>
        <v>32</v>
      </c>
      <c r="B32" s="32" t="s">
        <v>549</v>
      </c>
      <c r="C32" s="670">
        <v>0</v>
      </c>
      <c r="D32" s="1158" t="s">
        <v>541</v>
      </c>
      <c r="E32" s="1159">
        <f t="shared" ref="E32" si="13">SUM(F32:L32)</f>
        <v>0</v>
      </c>
      <c r="F32" s="560"/>
      <c r="G32" s="566">
        <f>G$11*$C32</f>
        <v>0</v>
      </c>
      <c r="H32" s="566">
        <f t="shared" si="11"/>
        <v>0</v>
      </c>
      <c r="I32" s="566">
        <f t="shared" si="11"/>
        <v>0</v>
      </c>
      <c r="J32" s="566">
        <f t="shared" si="11"/>
        <v>0</v>
      </c>
      <c r="K32" s="566">
        <f t="shared" si="11"/>
        <v>0</v>
      </c>
      <c r="L32" s="566">
        <f t="shared" si="11"/>
        <v>0</v>
      </c>
      <c r="M32" s="39"/>
      <c r="N32" s="287"/>
    </row>
    <row r="33" spans="1:14" outlineLevel="1">
      <c r="A33" s="290">
        <f>ROW()</f>
        <v>33</v>
      </c>
      <c r="B33" s="104" t="s">
        <v>550</v>
      </c>
      <c r="C33" s="561">
        <v>0</v>
      </c>
      <c r="D33" s="1160" t="s">
        <v>551</v>
      </c>
      <c r="E33" s="1161">
        <f t="shared" si="2"/>
        <v>12</v>
      </c>
      <c r="F33" s="562"/>
      <c r="G33" s="558">
        <f>SUM(G25:G32)*((1+$C$33)^G6)</f>
        <v>2</v>
      </c>
      <c r="H33" s="599">
        <f t="shared" ref="H33:L33" si="14">SUM(H25:H32)*((1+$C$33)^H6)</f>
        <v>2</v>
      </c>
      <c r="I33" s="599">
        <f t="shared" si="14"/>
        <v>2</v>
      </c>
      <c r="J33" s="599">
        <f t="shared" si="14"/>
        <v>2</v>
      </c>
      <c r="K33" s="599">
        <f t="shared" si="14"/>
        <v>2</v>
      </c>
      <c r="L33" s="599">
        <f t="shared" si="14"/>
        <v>2</v>
      </c>
      <c r="M33" s="39"/>
      <c r="N33" s="287"/>
    </row>
    <row r="34" spans="1:14" outlineLevel="1">
      <c r="A34" s="290">
        <f>ROW()</f>
        <v>34</v>
      </c>
      <c r="B34" s="30" t="s">
        <v>552</v>
      </c>
      <c r="C34" s="670">
        <v>0</v>
      </c>
      <c r="D34" s="257" t="s">
        <v>553</v>
      </c>
      <c r="E34" s="1159">
        <f t="shared" si="2"/>
        <v>0</v>
      </c>
      <c r="F34" s="241">
        <v>0</v>
      </c>
      <c r="G34" s="241">
        <f>+C34</f>
        <v>0</v>
      </c>
      <c r="H34" s="565"/>
      <c r="I34" s="565"/>
      <c r="J34" s="565"/>
      <c r="K34" s="565"/>
      <c r="L34" s="565"/>
      <c r="M34" s="39"/>
      <c r="N34" s="287"/>
    </row>
    <row r="35" spans="1:14" outlineLevel="1">
      <c r="A35" s="290">
        <f>ROW()</f>
        <v>35</v>
      </c>
      <c r="B35" s="1162" t="s">
        <v>554</v>
      </c>
      <c r="C35" s="432"/>
      <c r="D35" s="257"/>
      <c r="E35" s="1159">
        <f t="shared" si="2"/>
        <v>0</v>
      </c>
      <c r="F35" s="1820"/>
      <c r="G35" s="1820"/>
      <c r="H35" s="1821"/>
      <c r="I35" s="1821"/>
      <c r="J35" s="1821"/>
      <c r="K35" s="1821"/>
      <c r="L35" s="1821"/>
      <c r="M35" s="39"/>
      <c r="N35" s="287"/>
    </row>
    <row r="36" spans="1:14" outlineLevel="1">
      <c r="A36" s="290">
        <f>ROW()</f>
        <v>36</v>
      </c>
      <c r="B36" s="84" t="s">
        <v>555</v>
      </c>
      <c r="C36" s="432"/>
      <c r="D36" s="257"/>
      <c r="E36" s="1159"/>
      <c r="F36" s="241">
        <v>0</v>
      </c>
      <c r="G36" s="241">
        <v>0</v>
      </c>
      <c r="H36" s="565">
        <v>0</v>
      </c>
      <c r="I36" s="565">
        <v>0</v>
      </c>
      <c r="J36" s="565">
        <v>0</v>
      </c>
      <c r="K36" s="565">
        <v>0</v>
      </c>
      <c r="L36" s="565">
        <v>0</v>
      </c>
      <c r="M36" s="39"/>
      <c r="N36" s="287"/>
    </row>
    <row r="37" spans="1:14" outlineLevel="1">
      <c r="A37" s="290">
        <f>ROW()</f>
        <v>37</v>
      </c>
      <c r="B37" s="84" t="s">
        <v>556</v>
      </c>
      <c r="C37" s="432"/>
      <c r="D37" s="257"/>
      <c r="E37" s="1159"/>
      <c r="F37" s="241">
        <v>0</v>
      </c>
      <c r="G37" s="241">
        <v>0</v>
      </c>
      <c r="H37" s="565">
        <v>0</v>
      </c>
      <c r="I37" s="565">
        <v>0</v>
      </c>
      <c r="J37" s="565">
        <v>0</v>
      </c>
      <c r="K37" s="565">
        <v>0</v>
      </c>
      <c r="L37" s="565">
        <v>0</v>
      </c>
      <c r="M37" s="39"/>
      <c r="N37" s="287"/>
    </row>
    <row r="38" spans="1:14" hidden="1" outlineLevel="1">
      <c r="A38" s="290">
        <f>ROW()</f>
        <v>38</v>
      </c>
      <c r="B38" s="84"/>
      <c r="C38" s="432"/>
      <c r="D38" s="257"/>
      <c r="E38" s="1159"/>
      <c r="F38" s="241"/>
      <c r="G38" s="241"/>
      <c r="H38" s="565"/>
      <c r="I38" s="565"/>
      <c r="J38" s="565"/>
      <c r="K38" s="565"/>
      <c r="L38" s="565"/>
      <c r="M38" s="39"/>
      <c r="N38" s="287"/>
    </row>
    <row r="39" spans="1:14" outlineLevel="1">
      <c r="A39" s="290">
        <f>ROW()</f>
        <v>39</v>
      </c>
      <c r="B39" s="84" t="s">
        <v>557</v>
      </c>
      <c r="C39" s="432"/>
      <c r="D39" s="257"/>
      <c r="E39" s="1159"/>
      <c r="F39" s="241">
        <v>0</v>
      </c>
      <c r="G39" s="241">
        <v>0</v>
      </c>
      <c r="H39" s="565">
        <v>0</v>
      </c>
      <c r="I39" s="565">
        <v>0</v>
      </c>
      <c r="J39" s="565">
        <v>0</v>
      </c>
      <c r="K39" s="565">
        <v>0</v>
      </c>
      <c r="L39" s="565">
        <v>0</v>
      </c>
      <c r="M39" s="39"/>
      <c r="N39" s="287"/>
    </row>
    <row r="40" spans="1:14" outlineLevel="1">
      <c r="A40" s="290">
        <f>ROW()</f>
        <v>40</v>
      </c>
      <c r="B40" s="84" t="s">
        <v>558</v>
      </c>
      <c r="C40" s="257"/>
      <c r="D40" s="257"/>
      <c r="E40" s="1159">
        <f t="shared" si="2"/>
        <v>0</v>
      </c>
      <c r="F40" s="242">
        <f>F35/15</f>
        <v>0</v>
      </c>
      <c r="G40" s="242">
        <f t="shared" ref="G40:L40" si="15">F40+(G35/15)</f>
        <v>0</v>
      </c>
      <c r="H40" s="243">
        <f t="shared" si="15"/>
        <v>0</v>
      </c>
      <c r="I40" s="243">
        <f t="shared" si="15"/>
        <v>0</v>
      </c>
      <c r="J40" s="243">
        <f t="shared" si="15"/>
        <v>0</v>
      </c>
      <c r="K40" s="243">
        <f t="shared" si="15"/>
        <v>0</v>
      </c>
      <c r="L40" s="243">
        <f t="shared" si="15"/>
        <v>0</v>
      </c>
      <c r="M40" s="39"/>
      <c r="N40" s="287"/>
    </row>
    <row r="41" spans="1:14" outlineLevel="1">
      <c r="A41" s="290">
        <f>ROW()</f>
        <v>41</v>
      </c>
      <c r="B41" s="106" t="s">
        <v>559</v>
      </c>
      <c r="C41" s="104"/>
      <c r="D41" s="104"/>
      <c r="E41" s="563">
        <f t="shared" si="2"/>
        <v>3725816.0933567998</v>
      </c>
      <c r="F41" s="1163">
        <f>SUM(F23,F33,F34,F35:F39)</f>
        <v>0</v>
      </c>
      <c r="G41" s="1163">
        <f>SUM(G23,G33,G34,G35:G39)</f>
        <v>576002</v>
      </c>
      <c r="H41" s="1163">
        <f t="shared" ref="H41:L41" si="16">SUM(H23,H33,H34,H35:H39)</f>
        <v>593282</v>
      </c>
      <c r="I41" s="1163">
        <f t="shared" si="16"/>
        <v>611080.39999999991</v>
      </c>
      <c r="J41" s="1163">
        <f t="shared" si="16"/>
        <v>629412.75199999998</v>
      </c>
      <c r="K41" s="1163">
        <f t="shared" si="16"/>
        <v>648295.07455999998</v>
      </c>
      <c r="L41" s="1163">
        <f t="shared" si="16"/>
        <v>667743.86679680005</v>
      </c>
      <c r="M41" s="39"/>
      <c r="N41" s="287"/>
    </row>
    <row r="42" spans="1:14" outlineLevel="1">
      <c r="A42" s="290">
        <f>ROW()</f>
        <v>42</v>
      </c>
      <c r="B42" s="30" t="s">
        <v>560</v>
      </c>
      <c r="E42" s="30"/>
      <c r="F42" s="626">
        <f t="shared" ref="F42" si="17">SUM(F23,F33)+F40</f>
        <v>0</v>
      </c>
      <c r="G42" s="626">
        <f>SUM(G23,G33)+G40</f>
        <v>576002</v>
      </c>
      <c r="H42" s="626">
        <f t="shared" ref="H42:L42" si="18">SUM(H23,H33)+H40</f>
        <v>593282</v>
      </c>
      <c r="I42" s="626">
        <f t="shared" si="18"/>
        <v>611080.39999999991</v>
      </c>
      <c r="J42" s="626">
        <f t="shared" si="18"/>
        <v>629412.75199999998</v>
      </c>
      <c r="K42" s="626">
        <f t="shared" si="18"/>
        <v>648295.07455999998</v>
      </c>
      <c r="L42" s="626">
        <f t="shared" si="18"/>
        <v>667743.86679680005</v>
      </c>
      <c r="M42" s="39"/>
      <c r="N42" s="287"/>
    </row>
    <row r="43" spans="1:14" s="30" customFormat="1" ht="14.4" outlineLevel="1">
      <c r="A43" s="290">
        <f>ROW()</f>
        <v>43</v>
      </c>
      <c r="B43" s="154" t="s">
        <v>561</v>
      </c>
      <c r="F43" s="109">
        <f>+F42-F41</f>
        <v>0</v>
      </c>
      <c r="G43" s="109">
        <f>+G42-G41</f>
        <v>0</v>
      </c>
      <c r="H43" s="109">
        <f t="shared" ref="H43:L43" si="19">+H42-H41</f>
        <v>0</v>
      </c>
      <c r="I43" s="109">
        <f t="shared" si="19"/>
        <v>0</v>
      </c>
      <c r="J43" s="109">
        <f t="shared" si="19"/>
        <v>0</v>
      </c>
      <c r="K43" s="109">
        <f t="shared" si="19"/>
        <v>0</v>
      </c>
      <c r="L43" s="109">
        <f t="shared" si="19"/>
        <v>0</v>
      </c>
      <c r="M43" s="44"/>
      <c r="N43" s="287"/>
    </row>
    <row r="44" spans="1:14" s="30" customFormat="1" outlineLevel="1">
      <c r="A44" s="290">
        <f>ROW()</f>
        <v>44</v>
      </c>
      <c r="F44" s="109"/>
      <c r="G44" s="109"/>
      <c r="H44" s="109"/>
      <c r="I44" s="109"/>
      <c r="J44" s="109"/>
      <c r="K44" s="109"/>
      <c r="L44" s="109"/>
      <c r="M44" s="44"/>
      <c r="N44" s="287"/>
    </row>
    <row r="45" spans="1:14" s="30" customFormat="1" outlineLevel="1">
      <c r="A45" s="290">
        <f>ROW()</f>
        <v>45</v>
      </c>
      <c r="B45" s="392" t="s">
        <v>562</v>
      </c>
      <c r="C45" s="32"/>
      <c r="D45" s="32"/>
      <c r="E45" s="32"/>
      <c r="F45" s="32"/>
      <c r="G45" s="52">
        <f t="shared" ref="G45:L45" si="20">+G23/12</f>
        <v>48000</v>
      </c>
      <c r="H45" s="52">
        <f t="shared" si="20"/>
        <v>49440</v>
      </c>
      <c r="I45" s="52">
        <f t="shared" si="20"/>
        <v>50923.19999999999</v>
      </c>
      <c r="J45" s="52">
        <f t="shared" si="20"/>
        <v>52450.896000000001</v>
      </c>
      <c r="K45" s="52">
        <f t="shared" si="20"/>
        <v>54024.422879999998</v>
      </c>
      <c r="L45" s="52">
        <f t="shared" si="20"/>
        <v>55645.155566400004</v>
      </c>
      <c r="M45" s="44"/>
      <c r="N45" s="287"/>
    </row>
    <row r="46" spans="1:14" s="30" customFormat="1" outlineLevel="1">
      <c r="A46" s="290">
        <f>ROW()</f>
        <v>46</v>
      </c>
      <c r="B46" s="42" t="s">
        <v>563</v>
      </c>
      <c r="C46" s="32"/>
      <c r="D46" s="32"/>
      <c r="E46" s="32"/>
      <c r="F46" s="32"/>
      <c r="G46" s="48">
        <f t="shared" ref="G46:L48" si="21">+G25/12</f>
        <v>0</v>
      </c>
      <c r="H46" s="48">
        <f t="shared" si="21"/>
        <v>0</v>
      </c>
      <c r="I46" s="48">
        <f t="shared" si="21"/>
        <v>0</v>
      </c>
      <c r="J46" s="48">
        <f t="shared" si="21"/>
        <v>0</v>
      </c>
      <c r="K46" s="48">
        <f t="shared" si="21"/>
        <v>0</v>
      </c>
      <c r="L46" s="48">
        <f t="shared" si="21"/>
        <v>0</v>
      </c>
      <c r="M46" s="44"/>
      <c r="N46" s="287"/>
    </row>
    <row r="47" spans="1:14" s="30" customFormat="1" outlineLevel="1">
      <c r="A47" s="290">
        <f>ROW()</f>
        <v>47</v>
      </c>
      <c r="B47" s="42" t="s">
        <v>564</v>
      </c>
      <c r="C47" s="32"/>
      <c r="D47" s="32"/>
      <c r="E47" s="32"/>
      <c r="F47" s="32"/>
      <c r="G47" s="48">
        <f t="shared" si="21"/>
        <v>0</v>
      </c>
      <c r="H47" s="48">
        <f t="shared" si="21"/>
        <v>0</v>
      </c>
      <c r="I47" s="48">
        <f t="shared" si="21"/>
        <v>0</v>
      </c>
      <c r="J47" s="48">
        <f t="shared" si="21"/>
        <v>0</v>
      </c>
      <c r="K47" s="48">
        <f t="shared" si="21"/>
        <v>0</v>
      </c>
      <c r="L47" s="48">
        <f t="shared" si="21"/>
        <v>0</v>
      </c>
      <c r="M47" s="44"/>
      <c r="N47" s="287"/>
    </row>
    <row r="48" spans="1:14" s="30" customFormat="1" outlineLevel="1">
      <c r="A48" s="290">
        <f>ROW()</f>
        <v>48</v>
      </c>
      <c r="B48" s="42" t="s">
        <v>565</v>
      </c>
      <c r="C48" s="32"/>
      <c r="D48" s="32"/>
      <c r="E48" s="32"/>
      <c r="F48" s="32"/>
      <c r="G48" s="48">
        <f t="shared" si="21"/>
        <v>0</v>
      </c>
      <c r="H48" s="48">
        <f t="shared" si="21"/>
        <v>0</v>
      </c>
      <c r="I48" s="48">
        <f t="shared" si="21"/>
        <v>0</v>
      </c>
      <c r="J48" s="48">
        <f t="shared" si="21"/>
        <v>0</v>
      </c>
      <c r="K48" s="48">
        <f t="shared" si="21"/>
        <v>0</v>
      </c>
      <c r="L48" s="48">
        <f t="shared" si="21"/>
        <v>0</v>
      </c>
      <c r="M48" s="44"/>
      <c r="N48" s="287"/>
    </row>
    <row r="49" spans="1:14" s="30" customFormat="1" outlineLevel="1">
      <c r="A49" s="290">
        <f>ROW()</f>
        <v>49</v>
      </c>
      <c r="B49" s="42" t="s">
        <v>544</v>
      </c>
      <c r="C49" s="32"/>
      <c r="D49" s="32"/>
      <c r="E49" s="32"/>
      <c r="F49" s="32"/>
      <c r="G49" s="48">
        <f t="shared" ref="G49:L49" si="22">+G29/12</f>
        <v>0.16666666666666666</v>
      </c>
      <c r="H49" s="48">
        <f t="shared" si="22"/>
        <v>0.16666666666666666</v>
      </c>
      <c r="I49" s="48">
        <f t="shared" si="22"/>
        <v>0.16666666666666666</v>
      </c>
      <c r="J49" s="48">
        <f t="shared" si="22"/>
        <v>0.16666666666666666</v>
      </c>
      <c r="K49" s="48">
        <f t="shared" si="22"/>
        <v>0.16666666666666666</v>
      </c>
      <c r="L49" s="48">
        <f t="shared" si="22"/>
        <v>0.16666666666666666</v>
      </c>
      <c r="M49" s="44"/>
      <c r="N49" s="287"/>
    </row>
    <row r="50" spans="1:14" s="30" customFormat="1" outlineLevel="1">
      <c r="A50" s="290">
        <f>ROW()</f>
        <v>50</v>
      </c>
      <c r="M50" s="44"/>
      <c r="N50" s="287"/>
    </row>
    <row r="51" spans="1:14" s="30" customFormat="1" outlineLevel="1">
      <c r="A51" s="290">
        <f>ROW()</f>
        <v>51</v>
      </c>
      <c r="B51" s="32" t="s">
        <v>1274</v>
      </c>
      <c r="C51" s="1822" t="s">
        <v>1410</v>
      </c>
      <c r="D51" s="1822"/>
      <c r="E51" s="1822"/>
      <c r="G51" s="45"/>
      <c r="H51" s="45"/>
      <c r="I51" s="45"/>
      <c r="J51" s="45"/>
      <c r="K51" s="45"/>
      <c r="L51" s="45"/>
      <c r="M51" s="44"/>
      <c r="N51" s="287"/>
    </row>
    <row r="52" spans="1:14" s="30" customFormat="1" outlineLevel="1">
      <c r="A52" s="290">
        <f>ROW()</f>
        <v>52</v>
      </c>
      <c r="B52" s="30" t="s">
        <v>566</v>
      </c>
      <c r="G52" s="45"/>
      <c r="H52" s="45"/>
      <c r="I52" s="45"/>
      <c r="J52" s="45"/>
      <c r="K52" s="45"/>
      <c r="L52" s="45"/>
      <c r="M52" s="44"/>
      <c r="N52" s="287"/>
    </row>
    <row r="53" spans="1:14" s="30" customFormat="1" outlineLevel="1">
      <c r="A53" s="290">
        <f>ROW()</f>
        <v>53</v>
      </c>
      <c r="G53" s="45"/>
      <c r="H53" s="45"/>
      <c r="I53" s="45"/>
      <c r="J53" s="45"/>
      <c r="K53" s="45"/>
      <c r="L53" s="45"/>
      <c r="M53" s="44"/>
      <c r="N53" s="287"/>
    </row>
    <row r="54" spans="1:14" ht="15" customHeight="1" outlineLevel="1">
      <c r="A54" s="290">
        <f>ROW()</f>
        <v>54</v>
      </c>
      <c r="B54" s="1690" t="s">
        <v>567</v>
      </c>
      <c r="C54" s="1692"/>
      <c r="D54" s="1691"/>
      <c r="E54" s="30"/>
      <c r="G54" s="46"/>
      <c r="H54" s="31"/>
      <c r="I54" s="31"/>
      <c r="J54" s="31"/>
      <c r="K54" s="31"/>
      <c r="L54" s="31"/>
      <c r="M54" s="39"/>
      <c r="N54" s="287"/>
    </row>
    <row r="55" spans="1:14" ht="15" customHeight="1" outlineLevel="1">
      <c r="A55" s="290">
        <f>ROW()</f>
        <v>55</v>
      </c>
      <c r="B55" s="32" t="s">
        <v>568</v>
      </c>
      <c r="C55" s="675">
        <v>0</v>
      </c>
      <c r="D55" s="257"/>
      <c r="E55" s="257" t="s">
        <v>569</v>
      </c>
      <c r="F55" s="257"/>
      <c r="G55" s="672">
        <v>0</v>
      </c>
      <c r="H55" s="32" t="s">
        <v>570</v>
      </c>
      <c r="M55" s="39"/>
      <c r="N55" s="287"/>
    </row>
    <row r="56" spans="1:14" ht="15" customHeight="1" outlineLevel="1">
      <c r="A56" s="290">
        <f>ROW()</f>
        <v>56</v>
      </c>
      <c r="B56" s="32" t="s">
        <v>571</v>
      </c>
      <c r="C56" s="670">
        <v>0</v>
      </c>
      <c r="D56" s="257" t="s">
        <v>539</v>
      </c>
      <c r="E56" s="257" t="s">
        <v>572</v>
      </c>
      <c r="F56" s="257"/>
      <c r="G56" s="1151">
        <f>C60*(1-G55)</f>
        <v>0</v>
      </c>
      <c r="I56" s="47"/>
      <c r="J56" s="47"/>
      <c r="K56" s="47"/>
      <c r="L56" s="47"/>
      <c r="M56" s="39"/>
      <c r="N56" s="287"/>
    </row>
    <row r="57" spans="1:14" ht="15" customHeight="1" outlineLevel="1">
      <c r="A57" s="290">
        <f>ROW()</f>
        <v>57</v>
      </c>
      <c r="B57" s="32" t="s">
        <v>573</v>
      </c>
      <c r="C57" s="1152">
        <f>C55*C56</f>
        <v>0</v>
      </c>
      <c r="D57" s="257"/>
      <c r="E57" s="257" t="s">
        <v>574</v>
      </c>
      <c r="F57" s="257"/>
      <c r="G57" s="674">
        <v>0</v>
      </c>
      <c r="H57" s="40"/>
      <c r="M57" s="39"/>
      <c r="N57" s="287"/>
    </row>
    <row r="58" spans="1:14" ht="15" customHeight="1" outlineLevel="1">
      <c r="A58" s="290">
        <f>ROW()</f>
        <v>58</v>
      </c>
      <c r="B58" s="32" t="s">
        <v>575</v>
      </c>
      <c r="C58" s="670">
        <v>0</v>
      </c>
      <c r="D58" s="257" t="s">
        <v>539</v>
      </c>
      <c r="E58" s="257" t="s">
        <v>576</v>
      </c>
      <c r="F58" s="257"/>
      <c r="G58" s="674">
        <v>0</v>
      </c>
      <c r="H58" s="40"/>
      <c r="M58" s="39"/>
      <c r="N58" s="287"/>
    </row>
    <row r="59" spans="1:14" ht="15" customHeight="1" outlineLevel="1">
      <c r="A59" s="290">
        <f>ROW()</f>
        <v>59</v>
      </c>
      <c r="B59" s="32" t="s">
        <v>577</v>
      </c>
      <c r="C59" s="1153">
        <f>C55*C58</f>
        <v>0</v>
      </c>
      <c r="D59" s="257"/>
      <c r="E59" s="257" t="s">
        <v>578</v>
      </c>
      <c r="F59" s="257"/>
      <c r="G59" s="673">
        <v>0</v>
      </c>
      <c r="M59" s="39"/>
      <c r="N59" s="287"/>
    </row>
    <row r="60" spans="1:14" ht="15" customHeight="1" outlineLevel="1">
      <c r="A60" s="290">
        <f>ROW()</f>
        <v>60</v>
      </c>
      <c r="B60" s="30" t="s">
        <v>579</v>
      </c>
      <c r="C60" s="1151">
        <f>C57+C59</f>
        <v>0</v>
      </c>
      <c r="D60" s="257"/>
      <c r="E60" s="257"/>
      <c r="F60" s="257"/>
      <c r="G60" s="257"/>
      <c r="M60" s="39"/>
      <c r="N60" s="287"/>
    </row>
    <row r="61" spans="1:14" ht="15" customHeight="1" outlineLevel="1">
      <c r="A61" s="290">
        <f>ROW()</f>
        <v>61</v>
      </c>
      <c r="B61" s="32" t="s">
        <v>580</v>
      </c>
      <c r="C61" s="257"/>
      <c r="D61" s="1154">
        <f>IFERROR(-PMT(G59/12,G57*12,G56,0,1),0)</f>
        <v>0</v>
      </c>
      <c r="E61" s="257"/>
      <c r="F61" s="257"/>
      <c r="G61" s="257"/>
      <c r="H61" s="40"/>
      <c r="I61" s="40"/>
      <c r="J61" s="40"/>
      <c r="K61" s="40"/>
      <c r="L61" s="40"/>
      <c r="M61" s="39"/>
      <c r="N61" s="287"/>
    </row>
    <row r="62" spans="1:14" ht="15" customHeight="1" outlineLevel="1">
      <c r="A62" s="290">
        <f>ROW()</f>
        <v>62</v>
      </c>
      <c r="B62" s="32" t="s">
        <v>581</v>
      </c>
      <c r="C62" s="257"/>
      <c r="D62" s="1151">
        <f>D61*12</f>
        <v>0</v>
      </c>
      <c r="E62" s="1155"/>
      <c r="F62" s="1155"/>
      <c r="G62" s="1156">
        <f>+D62</f>
        <v>0</v>
      </c>
      <c r="H62" s="202">
        <f>IF(H7-$G$7&lt;$G$57,$D$62,0)</f>
        <v>0</v>
      </c>
      <c r="I62" s="202">
        <f>IF(I7-$G$7&lt;$G$57,$D$62,0)</f>
        <v>0</v>
      </c>
      <c r="J62" s="202">
        <f>IF(J7-$G$7&lt;$G$57,$D$62,0)</f>
        <v>0</v>
      </c>
      <c r="K62" s="202">
        <f>IF(K7-$G$7&lt;$G$57,$D$62,0)</f>
        <v>0</v>
      </c>
      <c r="L62" s="202">
        <f>IF(L7-$G$7&lt;$G$57,$D$62,0)</f>
        <v>0</v>
      </c>
      <c r="M62" s="39"/>
      <c r="N62" s="287"/>
    </row>
    <row r="63" spans="1:14" ht="15" customHeight="1" outlineLevel="1">
      <c r="A63" s="290">
        <f>ROW()</f>
        <v>63</v>
      </c>
      <c r="B63" s="32" t="s">
        <v>582</v>
      </c>
      <c r="C63" s="257"/>
      <c r="D63" s="1151">
        <f>IFERROR((-PV(0.02,G57,0,((D62*G57)-G56),0))/G57,0)</f>
        <v>0</v>
      </c>
      <c r="E63" s="1155"/>
      <c r="F63" s="1155"/>
      <c r="G63" s="1157">
        <f>$D$63</f>
        <v>0</v>
      </c>
      <c r="H63" s="203">
        <f>IF(H7-$G$7&lt;$G$57,$D$63,0)</f>
        <v>0</v>
      </c>
      <c r="I63" s="203">
        <f>IF(I7-$G$7&lt;$G$57,$D$63,0)</f>
        <v>0</v>
      </c>
      <c r="J63" s="203">
        <f>IF(J7-$G$7&lt;$G$57,$D$63,0)</f>
        <v>0</v>
      </c>
      <c r="K63" s="203">
        <f>IF(K7-$G$7&lt;$G$57,$D$63,0)</f>
        <v>0</v>
      </c>
      <c r="L63" s="203">
        <f>IF(L7-$G$7&lt;$G$57,$D$63,0)</f>
        <v>0</v>
      </c>
      <c r="M63" s="39"/>
      <c r="N63" s="287"/>
    </row>
    <row r="64" spans="1:14" ht="15" customHeight="1" outlineLevel="1">
      <c r="A64" s="290">
        <f>ROW()</f>
        <v>64</v>
      </c>
      <c r="B64" s="32" t="s">
        <v>583</v>
      </c>
      <c r="C64" s="257"/>
      <c r="D64" s="257"/>
      <c r="E64" s="257"/>
      <c r="F64" s="257"/>
      <c r="G64" s="1107"/>
      <c r="H64" s="49"/>
      <c r="I64" s="49"/>
      <c r="J64" s="49"/>
      <c r="K64" s="49"/>
      <c r="L64" s="49"/>
      <c r="M64" s="39"/>
      <c r="N64" s="287"/>
    </row>
    <row r="65" spans="1:14" ht="15" customHeight="1" outlineLevel="1">
      <c r="A65" s="290">
        <f>ROW()</f>
        <v>65</v>
      </c>
      <c r="B65" s="32" t="s">
        <v>584</v>
      </c>
      <c r="C65" s="670">
        <v>0</v>
      </c>
      <c r="D65" s="257" t="s">
        <v>539</v>
      </c>
      <c r="E65" s="257"/>
      <c r="F65" s="257"/>
      <c r="G65" s="1117">
        <f t="shared" ref="G65:L65" si="23">$C$65*$C$55</f>
        <v>0</v>
      </c>
      <c r="H65" s="117">
        <f t="shared" si="23"/>
        <v>0</v>
      </c>
      <c r="I65" s="117">
        <f t="shared" si="23"/>
        <v>0</v>
      </c>
      <c r="J65" s="117">
        <f t="shared" si="23"/>
        <v>0</v>
      </c>
      <c r="K65" s="117">
        <f t="shared" si="23"/>
        <v>0</v>
      </c>
      <c r="L65" s="117">
        <f t="shared" si="23"/>
        <v>0</v>
      </c>
      <c r="M65" s="39"/>
      <c r="N65" s="287"/>
    </row>
    <row r="66" spans="1:14" ht="15" customHeight="1" outlineLevel="1">
      <c r="A66" s="290">
        <f>ROW()</f>
        <v>66</v>
      </c>
      <c r="B66" s="32" t="s">
        <v>412</v>
      </c>
      <c r="C66" s="670">
        <v>0</v>
      </c>
      <c r="D66" s="257" t="s">
        <v>539</v>
      </c>
      <c r="E66" s="257"/>
      <c r="F66" s="257"/>
      <c r="G66" s="1117">
        <f t="shared" ref="G66:L66" si="24">$C$66*$C$55</f>
        <v>0</v>
      </c>
      <c r="H66" s="117">
        <f t="shared" si="24"/>
        <v>0</v>
      </c>
      <c r="I66" s="117">
        <f t="shared" si="24"/>
        <v>0</v>
      </c>
      <c r="J66" s="117">
        <f t="shared" si="24"/>
        <v>0</v>
      </c>
      <c r="K66" s="117">
        <f t="shared" si="24"/>
        <v>0</v>
      </c>
      <c r="L66" s="117">
        <f t="shared" si="24"/>
        <v>0</v>
      </c>
      <c r="M66" s="39"/>
      <c r="N66" s="287"/>
    </row>
    <row r="67" spans="1:14" ht="15" customHeight="1" outlineLevel="1">
      <c r="A67" s="290">
        <f>ROW()</f>
        <v>67</v>
      </c>
      <c r="B67" s="32" t="s">
        <v>548</v>
      </c>
      <c r="C67" s="670">
        <v>0</v>
      </c>
      <c r="D67" s="257" t="s">
        <v>539</v>
      </c>
      <c r="E67" s="257"/>
      <c r="F67" s="257"/>
      <c r="G67" s="1117">
        <f t="shared" ref="G67:L67" si="25">$C$67*$C$55</f>
        <v>0</v>
      </c>
      <c r="H67" s="117">
        <f t="shared" si="25"/>
        <v>0</v>
      </c>
      <c r="I67" s="117">
        <f t="shared" si="25"/>
        <v>0</v>
      </c>
      <c r="J67" s="117">
        <f t="shared" si="25"/>
        <v>0</v>
      </c>
      <c r="K67" s="117">
        <f t="shared" si="25"/>
        <v>0</v>
      </c>
      <c r="L67" s="117">
        <f t="shared" si="25"/>
        <v>0</v>
      </c>
      <c r="M67" s="39"/>
      <c r="N67" s="287"/>
    </row>
    <row r="68" spans="1:14" ht="15" customHeight="1" outlineLevel="1">
      <c r="A68" s="290">
        <f>ROW()</f>
        <v>68</v>
      </c>
      <c r="B68" s="32" t="s">
        <v>544</v>
      </c>
      <c r="C68" s="670">
        <v>0</v>
      </c>
      <c r="D68" s="257" t="s">
        <v>457</v>
      </c>
      <c r="E68" s="257"/>
      <c r="F68" s="257"/>
      <c r="G68" s="1117">
        <f t="shared" ref="G68:L68" si="26">$C$68</f>
        <v>0</v>
      </c>
      <c r="H68" s="117">
        <f t="shared" si="26"/>
        <v>0</v>
      </c>
      <c r="I68" s="117">
        <f t="shared" si="26"/>
        <v>0</v>
      </c>
      <c r="J68" s="117">
        <f t="shared" si="26"/>
        <v>0</v>
      </c>
      <c r="K68" s="117">
        <f t="shared" si="26"/>
        <v>0</v>
      </c>
      <c r="L68" s="117">
        <f t="shared" si="26"/>
        <v>0</v>
      </c>
      <c r="M68" s="39"/>
      <c r="N68" s="287"/>
    </row>
    <row r="69" spans="1:14" ht="15" customHeight="1" outlineLevel="1">
      <c r="A69" s="290">
        <f>ROW()</f>
        <v>69</v>
      </c>
      <c r="B69" s="32" t="s">
        <v>585</v>
      </c>
      <c r="G69" s="117">
        <f>C57*G55</f>
        <v>0</v>
      </c>
      <c r="H69" s="117"/>
      <c r="I69" s="117"/>
      <c r="J69" s="117"/>
      <c r="K69" s="117"/>
      <c r="L69" s="117"/>
      <c r="M69" s="39"/>
      <c r="N69" s="287"/>
    </row>
    <row r="70" spans="1:14" ht="15" customHeight="1" outlineLevel="1">
      <c r="A70" s="290">
        <f>ROW()</f>
        <v>70</v>
      </c>
      <c r="B70" s="32" t="s">
        <v>586</v>
      </c>
      <c r="G70" s="117"/>
      <c r="H70" s="117"/>
      <c r="I70" s="117"/>
      <c r="J70" s="117"/>
      <c r="K70" s="117"/>
      <c r="L70" s="117"/>
      <c r="M70" s="39"/>
      <c r="N70" s="287"/>
    </row>
    <row r="71" spans="1:14" ht="15" customHeight="1" outlineLevel="1">
      <c r="A71" s="290">
        <f>ROW()</f>
        <v>71</v>
      </c>
      <c r="B71" s="106" t="s">
        <v>587</v>
      </c>
      <c r="C71" s="106"/>
      <c r="D71" s="106"/>
      <c r="E71" s="106"/>
      <c r="F71" s="972"/>
      <c r="G71" s="546">
        <f t="shared" ref="G71:L71" si="27">SUM(G62:G70)-G63</f>
        <v>0</v>
      </c>
      <c r="H71" s="546">
        <f t="shared" si="27"/>
        <v>0</v>
      </c>
      <c r="I71" s="546">
        <f t="shared" si="27"/>
        <v>0</v>
      </c>
      <c r="J71" s="546">
        <f t="shared" si="27"/>
        <v>0</v>
      </c>
      <c r="K71" s="546">
        <f t="shared" si="27"/>
        <v>0</v>
      </c>
      <c r="L71" s="546">
        <f t="shared" si="27"/>
        <v>0</v>
      </c>
      <c r="M71" s="39"/>
      <c r="N71" s="287"/>
    </row>
    <row r="72" spans="1:14" ht="15" customHeight="1" outlineLevel="1">
      <c r="A72" s="290">
        <f>ROW()</f>
        <v>72</v>
      </c>
      <c r="B72" s="30" t="s">
        <v>588</v>
      </c>
      <c r="C72" s="30"/>
      <c r="D72" s="30"/>
      <c r="E72" s="30"/>
      <c r="F72" s="134"/>
      <c r="G72" s="433">
        <f t="shared" ref="G72:L72" si="28">(($C$57+$C$59)/50)+G65+G66+G67+G68</f>
        <v>0</v>
      </c>
      <c r="H72" s="433">
        <f t="shared" si="28"/>
        <v>0</v>
      </c>
      <c r="I72" s="433">
        <f t="shared" si="28"/>
        <v>0</v>
      </c>
      <c r="J72" s="433">
        <f t="shared" si="28"/>
        <v>0</v>
      </c>
      <c r="K72" s="433">
        <f t="shared" si="28"/>
        <v>0</v>
      </c>
      <c r="L72" s="433">
        <f t="shared" si="28"/>
        <v>0</v>
      </c>
      <c r="M72" s="39"/>
      <c r="N72" s="287"/>
    </row>
    <row r="73" spans="1:14" outlineLevel="1">
      <c r="A73" s="290">
        <f>ROW()</f>
        <v>73</v>
      </c>
      <c r="G73" s="429"/>
      <c r="H73" s="434"/>
      <c r="I73" s="434"/>
      <c r="J73" s="434"/>
      <c r="K73" s="434"/>
      <c r="L73" s="434"/>
      <c r="M73" s="39"/>
      <c r="N73" s="287"/>
    </row>
    <row r="74" spans="1:14" outlineLevel="1">
      <c r="A74" s="290">
        <f>ROW()</f>
        <v>74</v>
      </c>
      <c r="B74" s="449" t="s">
        <v>589</v>
      </c>
      <c r="C74" s="450"/>
      <c r="D74" s="450"/>
      <c r="E74" s="451">
        <f>SUM(F74:L74)</f>
        <v>3725816.0933567998</v>
      </c>
      <c r="F74" s="452">
        <f t="shared" ref="F74:L75" si="29">IF($C$7="Lease",F41,F71)</f>
        <v>0</v>
      </c>
      <c r="G74" s="452">
        <f t="shared" si="29"/>
        <v>576002</v>
      </c>
      <c r="H74" s="452">
        <f t="shared" si="29"/>
        <v>593282</v>
      </c>
      <c r="I74" s="452">
        <f t="shared" si="29"/>
        <v>611080.39999999991</v>
      </c>
      <c r="J74" s="452">
        <f t="shared" si="29"/>
        <v>629412.75199999998</v>
      </c>
      <c r="K74" s="452">
        <f t="shared" si="29"/>
        <v>648295.07455999998</v>
      </c>
      <c r="L74" s="452">
        <f t="shared" si="29"/>
        <v>667743.86679680005</v>
      </c>
      <c r="M74" s="39"/>
      <c r="N74" s="287"/>
    </row>
    <row r="75" spans="1:14" outlineLevel="1">
      <c r="A75" s="290">
        <f>ROW()</f>
        <v>75</v>
      </c>
      <c r="B75" s="444" t="s">
        <v>590</v>
      </c>
      <c r="C75" s="445"/>
      <c r="D75" s="445"/>
      <c r="E75" s="446">
        <f>SUM(F75:L75)</f>
        <v>3725816.0933567998</v>
      </c>
      <c r="F75" s="448">
        <f t="shared" si="29"/>
        <v>0</v>
      </c>
      <c r="G75" s="448">
        <f t="shared" si="29"/>
        <v>576002</v>
      </c>
      <c r="H75" s="447">
        <f t="shared" si="29"/>
        <v>593282</v>
      </c>
      <c r="I75" s="447">
        <f t="shared" si="29"/>
        <v>611080.39999999991</v>
      </c>
      <c r="J75" s="447">
        <f t="shared" si="29"/>
        <v>629412.75199999998</v>
      </c>
      <c r="K75" s="447">
        <f t="shared" si="29"/>
        <v>648295.07455999998</v>
      </c>
      <c r="L75" s="447">
        <f t="shared" si="29"/>
        <v>667743.86679680005</v>
      </c>
      <c r="M75" s="39"/>
      <c r="N75" s="287"/>
    </row>
    <row r="76" spans="1:14">
      <c r="A76" s="290">
        <f>ROW()</f>
        <v>76</v>
      </c>
      <c r="B76" s="449" t="str">
        <f>IF(C7="Lease",$B$42,B75)</f>
        <v>Total lease book expense (shown on Summary tab)</v>
      </c>
      <c r="C76" s="450"/>
      <c r="D76" s="450"/>
      <c r="E76" s="623">
        <f>SUM(F76:L76)</f>
        <v>3725816.0933567998</v>
      </c>
      <c r="F76" s="452">
        <f t="shared" ref="F76:L76" si="30">IF($C$7="Lease",F42,F72)</f>
        <v>0</v>
      </c>
      <c r="G76" s="452">
        <f t="shared" si="30"/>
        <v>576002</v>
      </c>
      <c r="H76" s="452">
        <f t="shared" si="30"/>
        <v>593282</v>
      </c>
      <c r="I76" s="452">
        <f t="shared" si="30"/>
        <v>611080.39999999991</v>
      </c>
      <c r="J76" s="452">
        <f t="shared" si="30"/>
        <v>629412.75199999998</v>
      </c>
      <c r="K76" s="452">
        <f t="shared" si="30"/>
        <v>648295.07455999998</v>
      </c>
      <c r="L76" s="452">
        <f t="shared" si="30"/>
        <v>667743.86679680005</v>
      </c>
      <c r="M76" s="39"/>
      <c r="N76" s="287"/>
    </row>
    <row r="77" spans="1:14">
      <c r="A77" s="290">
        <f>ROW()</f>
        <v>77</v>
      </c>
      <c r="B77" s="32" t="s">
        <v>591</v>
      </c>
      <c r="E77" s="429"/>
      <c r="F77" s="435">
        <f t="shared" ref="F77:L77" si="31">+F76-F74</f>
        <v>0</v>
      </c>
      <c r="G77" s="435">
        <f t="shared" si="31"/>
        <v>0</v>
      </c>
      <c r="H77" s="435">
        <f t="shared" si="31"/>
        <v>0</v>
      </c>
      <c r="I77" s="435">
        <f t="shared" si="31"/>
        <v>0</v>
      </c>
      <c r="J77" s="435">
        <f t="shared" si="31"/>
        <v>0</v>
      </c>
      <c r="K77" s="435">
        <f t="shared" si="31"/>
        <v>0</v>
      </c>
      <c r="L77" s="435">
        <f t="shared" si="31"/>
        <v>0</v>
      </c>
      <c r="N77" s="287"/>
    </row>
    <row r="78" spans="1:14">
      <c r="A78" s="290">
        <f>ROW()</f>
        <v>78</v>
      </c>
      <c r="F78" s="150"/>
      <c r="G78" s="150"/>
      <c r="H78" s="150"/>
      <c r="I78" s="150"/>
      <c r="J78" s="150"/>
      <c r="K78" s="150"/>
      <c r="L78" s="150"/>
      <c r="N78" s="287"/>
    </row>
    <row r="79" spans="1:14">
      <c r="A79" s="290">
        <f>ROW()</f>
        <v>79</v>
      </c>
      <c r="F79" s="53">
        <f>Levers!C6</f>
        <v>0</v>
      </c>
      <c r="G79" s="442">
        <f>Levers!D6</f>
        <v>1</v>
      </c>
      <c r="H79" s="442">
        <f>Levers!E6</f>
        <v>2</v>
      </c>
      <c r="I79" s="442">
        <f>Levers!F6</f>
        <v>3</v>
      </c>
      <c r="J79" s="442">
        <f>Levers!G6</f>
        <v>4</v>
      </c>
      <c r="K79" s="442">
        <f>Levers!H6</f>
        <v>5</v>
      </c>
      <c r="L79" s="442">
        <f>Levers!I6</f>
        <v>6</v>
      </c>
      <c r="N79" s="287"/>
    </row>
    <row r="80" spans="1:14" ht="15.6">
      <c r="A80" s="290">
        <f>ROW()</f>
        <v>80</v>
      </c>
      <c r="F80" s="1693">
        <f>Levers!C7</f>
        <v>2025</v>
      </c>
      <c r="G80" s="1694">
        <f>Levers!D7</f>
        <v>2026</v>
      </c>
      <c r="H80" s="1695">
        <f>Levers!E7</f>
        <v>2027</v>
      </c>
      <c r="I80" s="1695">
        <f>Levers!F7</f>
        <v>2028</v>
      </c>
      <c r="J80" s="1695">
        <f>Levers!G7</f>
        <v>2029</v>
      </c>
      <c r="K80" s="1695">
        <f>Levers!H7</f>
        <v>2030</v>
      </c>
      <c r="L80" s="1696">
        <f>Levers!I7</f>
        <v>2031</v>
      </c>
      <c r="N80" s="287"/>
    </row>
    <row r="81" spans="1:14" ht="15.6">
      <c r="A81" s="290">
        <f>ROW()</f>
        <v>81</v>
      </c>
      <c r="B81" s="248"/>
      <c r="E81" s="441" t="str">
        <f>Levers!B8</f>
        <v>Totals</v>
      </c>
      <c r="F81" s="1697">
        <f>Levers!C8</f>
        <v>2026</v>
      </c>
      <c r="G81" s="1698">
        <f>Levers!D8</f>
        <v>2027</v>
      </c>
      <c r="H81" s="1699">
        <f>Levers!E8</f>
        <v>2028</v>
      </c>
      <c r="I81" s="1699">
        <f>Levers!F8</f>
        <v>2029</v>
      </c>
      <c r="J81" s="1699">
        <f>Levers!G8</f>
        <v>2030</v>
      </c>
      <c r="K81" s="1699">
        <f>Levers!H8</f>
        <v>2031</v>
      </c>
      <c r="L81" s="1700">
        <f>Levers!I8</f>
        <v>2032</v>
      </c>
      <c r="N81" s="287"/>
    </row>
    <row r="82" spans="1:14" ht="15.6">
      <c r="A82" s="290">
        <f>ROW()</f>
        <v>82</v>
      </c>
      <c r="B82" s="413" t="str">
        <f>Levers!A9</f>
        <v>Total Enrollment</v>
      </c>
      <c r="E82" s="624">
        <f>Levers!B9</f>
        <v>2510</v>
      </c>
      <c r="F82" s="625" t="str">
        <f>Levers!C9</f>
        <v xml:space="preserve"> </v>
      </c>
      <c r="G82" s="624">
        <f>Levers!D9</f>
        <v>230</v>
      </c>
      <c r="H82" s="624">
        <f>Levers!E9</f>
        <v>310</v>
      </c>
      <c r="I82" s="624">
        <f>Levers!F9</f>
        <v>390</v>
      </c>
      <c r="J82" s="624">
        <f>Levers!G9</f>
        <v>470</v>
      </c>
      <c r="K82" s="624">
        <f>Levers!H9</f>
        <v>550</v>
      </c>
      <c r="L82" s="624">
        <f>Levers!I9</f>
        <v>560</v>
      </c>
      <c r="N82" s="287"/>
    </row>
    <row r="83" spans="1:14" ht="15.6">
      <c r="A83" s="290">
        <f>ROW()</f>
        <v>83</v>
      </c>
      <c r="B83" s="414" t="str">
        <f>Levers!A10</f>
        <v>Total Revenue</v>
      </c>
      <c r="E83" s="397">
        <f>Levers!B10</f>
        <v>27647590.027435001</v>
      </c>
      <c r="F83" s="397">
        <f>Levers!C10</f>
        <v>0</v>
      </c>
      <c r="G83" s="397">
        <f>Levers!D10</f>
        <v>2405997.25</v>
      </c>
      <c r="H83" s="397">
        <f>Levers!E10</f>
        <v>3392920.8001589999</v>
      </c>
      <c r="I83" s="397">
        <f>Levers!F10</f>
        <v>4291461.1828230005</v>
      </c>
      <c r="J83" s="397">
        <f>Levers!G10</f>
        <v>5190001.5654870002</v>
      </c>
      <c r="K83" s="397">
        <f>Levers!H10</f>
        <v>6088541.9481509998</v>
      </c>
      <c r="L83" s="397">
        <f>Levers!I10</f>
        <v>6278667.2808150006</v>
      </c>
      <c r="N83" s="287"/>
    </row>
    <row r="84" spans="1:14" ht="15.6">
      <c r="A84" s="290">
        <f>ROW()</f>
        <v>84</v>
      </c>
      <c r="B84" s="414" t="str">
        <f>Levers!A11</f>
        <v>Rev per student</v>
      </c>
      <c r="E84" s="397">
        <f>Levers!B11</f>
        <v>11014.976106547809</v>
      </c>
      <c r="F84" s="397"/>
      <c r="G84" s="397">
        <f>Levers!D11</f>
        <v>10460.857608695653</v>
      </c>
      <c r="H84" s="397">
        <f>Levers!E11</f>
        <v>10944.905806964516</v>
      </c>
      <c r="I84" s="397">
        <f>Levers!F11</f>
        <v>11003.746622623079</v>
      </c>
      <c r="J84" s="397">
        <f>Levers!G11</f>
        <v>11042.556522312767</v>
      </c>
      <c r="K84" s="397">
        <f>Levers!H11</f>
        <v>11070.076269365454</v>
      </c>
      <c r="L84" s="397">
        <f>Levers!I11</f>
        <v>11211.905858598215</v>
      </c>
      <c r="N84" s="287"/>
    </row>
    <row r="85" spans="1:14" ht="15.6">
      <c r="A85" s="290">
        <f>ROW()</f>
        <v>85</v>
      </c>
      <c r="B85" s="414" t="str">
        <f>Levers!A20</f>
        <v>Total Facilities</v>
      </c>
      <c r="E85" s="397">
        <f>Levers!B20</f>
        <v>3725816.0933567998</v>
      </c>
      <c r="F85" s="397">
        <f>Levers!C20</f>
        <v>0</v>
      </c>
      <c r="G85" s="397">
        <f>Levers!D20</f>
        <v>576002</v>
      </c>
      <c r="H85" s="397">
        <f>Levers!E20</f>
        <v>593282</v>
      </c>
      <c r="I85" s="397">
        <f>Levers!F20</f>
        <v>611080.39999999991</v>
      </c>
      <c r="J85" s="397">
        <f>Levers!G20</f>
        <v>629412.75199999998</v>
      </c>
      <c r="K85" s="397">
        <f>Levers!H20</f>
        <v>648295.07455999998</v>
      </c>
      <c r="L85" s="397">
        <f>Levers!I20</f>
        <v>667743.86679680005</v>
      </c>
      <c r="N85" s="287"/>
    </row>
    <row r="86" spans="1:14" ht="15.6">
      <c r="A86" s="290">
        <f>ROW()</f>
        <v>86</v>
      </c>
      <c r="B86" s="414" t="str">
        <f>Levers!A21</f>
        <v>Facilities per Student</v>
      </c>
      <c r="E86" s="397">
        <f>Levers!B21</f>
        <v>1484.388881815458</v>
      </c>
      <c r="F86" s="397"/>
      <c r="G86" s="397">
        <f>Levers!D21</f>
        <v>2504.3565217391306</v>
      </c>
      <c r="H86" s="397">
        <f>Levers!E21</f>
        <v>1913.8129032258064</v>
      </c>
      <c r="I86" s="397">
        <f>Levers!F21</f>
        <v>1566.8728205128202</v>
      </c>
      <c r="J86" s="397">
        <f>Levers!G21</f>
        <v>1339.1760680851064</v>
      </c>
      <c r="K86" s="397">
        <f>Levers!H21</f>
        <v>1178.7183173818182</v>
      </c>
      <c r="L86" s="397">
        <f>Levers!I21</f>
        <v>1192.3997621371429</v>
      </c>
      <c r="N86" s="287"/>
    </row>
    <row r="87" spans="1:14" ht="15.6">
      <c r="A87" s="290">
        <f>ROW()</f>
        <v>87</v>
      </c>
      <c r="B87" s="414" t="str">
        <f>Levers!A22</f>
        <v>Net Surplus after Facilities</v>
      </c>
      <c r="E87" s="397">
        <f>Levers!B22</f>
        <v>23921773.934078202</v>
      </c>
      <c r="F87" s="397">
        <f>Levers!C22</f>
        <v>0</v>
      </c>
      <c r="G87" s="397">
        <f>Levers!D22</f>
        <v>1829995.25</v>
      </c>
      <c r="H87" s="397">
        <f>Levers!E22</f>
        <v>2799638.8001589999</v>
      </c>
      <c r="I87" s="397">
        <f>Levers!F22</f>
        <v>3680380.7828230006</v>
      </c>
      <c r="J87" s="397">
        <f>Levers!G22</f>
        <v>4560588.8134869998</v>
      </c>
      <c r="K87" s="397">
        <f>Levers!H22</f>
        <v>5440246.8735910002</v>
      </c>
      <c r="L87" s="397">
        <f>Levers!I22</f>
        <v>5610923.4140182007</v>
      </c>
      <c r="N87" s="287"/>
    </row>
    <row r="88" spans="1:14">
      <c r="A88" s="290">
        <f>ROW()</f>
        <v>88</v>
      </c>
      <c r="B88" s="32" t="str">
        <f>Levers!A23</f>
        <v>Net Surplus after Facilities per Student</v>
      </c>
      <c r="E88" s="398">
        <f>Levers!B23</f>
        <v>9530.5872247323514</v>
      </c>
      <c r="F88" s="398"/>
      <c r="G88" s="398">
        <f>Levers!D23</f>
        <v>7956.5010869565222</v>
      </c>
      <c r="H88" s="398">
        <f>Levers!E23</f>
        <v>9031.0929037387086</v>
      </c>
      <c r="I88" s="398">
        <f>Levers!F23</f>
        <v>9436.8738021102581</v>
      </c>
      <c r="J88" s="398">
        <f>Levers!G23</f>
        <v>9703.3804542276594</v>
      </c>
      <c r="K88" s="398">
        <f>Levers!H23</f>
        <v>9891.3579519836367</v>
      </c>
      <c r="L88" s="398">
        <f>Levers!I23</f>
        <v>10019.506096461073</v>
      </c>
      <c r="N88" s="287"/>
    </row>
    <row r="89" spans="1:14">
      <c r="A89" s="290">
        <f>ROW()</f>
        <v>89</v>
      </c>
      <c r="B89" s="32" t="s">
        <v>450</v>
      </c>
      <c r="E89" s="398">
        <f>Levers!B38</f>
        <v>10253443.322230412</v>
      </c>
      <c r="F89" s="398">
        <f>Levers!C38</f>
        <v>0</v>
      </c>
      <c r="G89" s="398">
        <f>Levers!D38</f>
        <v>327593.02</v>
      </c>
      <c r="H89" s="398">
        <f>Levers!E38</f>
        <v>849238.84515899979</v>
      </c>
      <c r="I89" s="398">
        <f>Levers!F38</f>
        <v>1464828.0503230006</v>
      </c>
      <c r="J89" s="398">
        <f>Levers!G38</f>
        <v>1929999.7021370004</v>
      </c>
      <c r="K89" s="398">
        <f>Levers!H38</f>
        <v>2742626.6616020496</v>
      </c>
      <c r="L89" s="398">
        <f>Levers!I38</f>
        <v>2939157.0430093613</v>
      </c>
      <c r="N89" s="287"/>
    </row>
    <row r="90" spans="1:14">
      <c r="A90" s="290">
        <f>ROW()</f>
        <v>90</v>
      </c>
      <c r="B90" s="41" t="s">
        <v>451</v>
      </c>
      <c r="E90" s="398">
        <f>Levers!B39</f>
        <v>4085.0371801714787</v>
      </c>
      <c r="F90" s="398"/>
      <c r="G90" s="398">
        <f>Levers!D39</f>
        <v>1424.3174782608696</v>
      </c>
      <c r="H90" s="398">
        <f>Levers!E39</f>
        <v>2739.480145674193</v>
      </c>
      <c r="I90" s="398">
        <f>Levers!F39</f>
        <v>3755.9693598025656</v>
      </c>
      <c r="J90" s="398">
        <f>Levers!G39</f>
        <v>4106.3823449723413</v>
      </c>
      <c r="K90" s="398">
        <f>Levers!H39</f>
        <v>4986.5939301855451</v>
      </c>
      <c r="L90" s="398">
        <f>Levers!I39</f>
        <v>5248.494719659574</v>
      </c>
      <c r="N90" s="287"/>
    </row>
    <row r="91" spans="1:14" hidden="1">
      <c r="A91" s="290">
        <f>ROW()</f>
        <v>91</v>
      </c>
      <c r="N91" s="287"/>
    </row>
    <row r="92" spans="1:14" hidden="1">
      <c r="A92" s="290">
        <f>ROW()</f>
        <v>92</v>
      </c>
      <c r="B92" s="58" t="s">
        <v>592</v>
      </c>
      <c r="C92" s="58"/>
      <c r="D92" s="58"/>
      <c r="E92" s="58"/>
      <c r="F92" s="58" t="s">
        <v>593</v>
      </c>
      <c r="G92" s="443" t="s">
        <v>594</v>
      </c>
      <c r="H92" s="443" t="s">
        <v>595</v>
      </c>
      <c r="I92" s="443" t="s">
        <v>596</v>
      </c>
      <c r="J92" s="443" t="s">
        <v>597</v>
      </c>
      <c r="K92" s="443" t="s">
        <v>598</v>
      </c>
      <c r="L92" s="443" t="s">
        <v>599</v>
      </c>
      <c r="N92" s="287"/>
    </row>
    <row r="93" spans="1:14" hidden="1">
      <c r="A93" s="290">
        <f>ROW()</f>
        <v>93</v>
      </c>
      <c r="B93" s="32" t="s">
        <v>600</v>
      </c>
      <c r="G93" s="48">
        <f t="shared" ref="G93:L93" si="32">IF($C$7="lease",G11,$C$55)</f>
        <v>40000</v>
      </c>
      <c r="H93" s="48">
        <f t="shared" si="32"/>
        <v>40000</v>
      </c>
      <c r="I93" s="48">
        <f t="shared" si="32"/>
        <v>40000</v>
      </c>
      <c r="J93" s="48">
        <f t="shared" si="32"/>
        <v>40000</v>
      </c>
      <c r="K93" s="48">
        <f t="shared" si="32"/>
        <v>40000</v>
      </c>
      <c r="L93" s="48">
        <f t="shared" si="32"/>
        <v>40000</v>
      </c>
      <c r="N93" s="287"/>
    </row>
    <row r="94" spans="1:14" hidden="1">
      <c r="A94" s="290">
        <f>ROW()</f>
        <v>94</v>
      </c>
      <c r="B94" s="11" t="s">
        <v>410</v>
      </c>
      <c r="G94" s="48">
        <f t="shared" ref="G94:L94" si="33">IF($C$7="lease",G23,G62)</f>
        <v>576000</v>
      </c>
      <c r="H94" s="48">
        <f t="shared" si="33"/>
        <v>593280</v>
      </c>
      <c r="I94" s="48">
        <f t="shared" si="33"/>
        <v>611078.39999999991</v>
      </c>
      <c r="J94" s="48">
        <f t="shared" si="33"/>
        <v>629410.75199999998</v>
      </c>
      <c r="K94" s="48">
        <f t="shared" si="33"/>
        <v>648293.07455999998</v>
      </c>
      <c r="L94" s="48">
        <f t="shared" si="33"/>
        <v>667741.86679680005</v>
      </c>
      <c r="N94" s="287"/>
    </row>
    <row r="95" spans="1:14" hidden="1">
      <c r="A95" s="290">
        <f>ROW()</f>
        <v>95</v>
      </c>
      <c r="B95" s="11" t="s">
        <v>411</v>
      </c>
      <c r="G95" s="48">
        <f t="shared" ref="G95:L97" si="34">IF($C$7="lease",G25,G65)</f>
        <v>0</v>
      </c>
      <c r="H95" s="48">
        <f t="shared" si="34"/>
        <v>0</v>
      </c>
      <c r="I95" s="48">
        <f t="shared" si="34"/>
        <v>0</v>
      </c>
      <c r="J95" s="48">
        <f t="shared" si="34"/>
        <v>0</v>
      </c>
      <c r="K95" s="48">
        <f t="shared" si="34"/>
        <v>0</v>
      </c>
      <c r="L95" s="48">
        <f t="shared" si="34"/>
        <v>0</v>
      </c>
      <c r="N95" s="287"/>
    </row>
    <row r="96" spans="1:14" hidden="1">
      <c r="A96" s="290">
        <f>ROW()</f>
        <v>96</v>
      </c>
      <c r="B96" s="11" t="s">
        <v>412</v>
      </c>
      <c r="G96" s="48">
        <f t="shared" si="34"/>
        <v>0</v>
      </c>
      <c r="H96" s="48">
        <f t="shared" si="34"/>
        <v>0</v>
      </c>
      <c r="I96" s="48">
        <f t="shared" si="34"/>
        <v>0</v>
      </c>
      <c r="J96" s="48">
        <f t="shared" si="34"/>
        <v>0</v>
      </c>
      <c r="K96" s="48">
        <f t="shared" si="34"/>
        <v>0</v>
      </c>
      <c r="L96" s="48">
        <f t="shared" si="34"/>
        <v>0</v>
      </c>
      <c r="N96" s="287"/>
    </row>
    <row r="97" spans="1:14" hidden="1">
      <c r="A97" s="290">
        <f>ROW()</f>
        <v>97</v>
      </c>
      <c r="B97" s="97" t="s">
        <v>413</v>
      </c>
      <c r="G97" s="48">
        <f t="shared" si="34"/>
        <v>0</v>
      </c>
      <c r="H97" s="48">
        <f t="shared" si="34"/>
        <v>0</v>
      </c>
      <c r="I97" s="48">
        <f t="shared" si="34"/>
        <v>0</v>
      </c>
      <c r="J97" s="48">
        <f t="shared" si="34"/>
        <v>0</v>
      </c>
      <c r="K97" s="48">
        <f t="shared" si="34"/>
        <v>0</v>
      </c>
      <c r="L97" s="48">
        <f t="shared" si="34"/>
        <v>0</v>
      </c>
      <c r="N97" s="287"/>
    </row>
    <row r="98" spans="1:14" hidden="1">
      <c r="A98" s="290">
        <f>ROW()</f>
        <v>98</v>
      </c>
      <c r="B98" s="97" t="s">
        <v>414</v>
      </c>
      <c r="G98" s="48">
        <f t="shared" ref="G98:L98" si="35">IF($C$7="lease",G29,G68)</f>
        <v>2</v>
      </c>
      <c r="H98" s="48">
        <f t="shared" si="35"/>
        <v>2</v>
      </c>
      <c r="I98" s="48">
        <f t="shared" si="35"/>
        <v>2</v>
      </c>
      <c r="J98" s="48">
        <f t="shared" si="35"/>
        <v>2</v>
      </c>
      <c r="K98" s="48">
        <f t="shared" si="35"/>
        <v>2</v>
      </c>
      <c r="L98" s="48">
        <f t="shared" si="35"/>
        <v>2</v>
      </c>
      <c r="N98" s="287"/>
    </row>
    <row r="99" spans="1:14" hidden="1">
      <c r="A99" s="290">
        <f>ROW()</f>
        <v>99</v>
      </c>
      <c r="B99" s="97" t="s">
        <v>415</v>
      </c>
      <c r="G99" s="48">
        <f t="shared" ref="G99:L99" si="36">IF($C$7="lease",G35,0)</f>
        <v>0</v>
      </c>
      <c r="H99" s="48">
        <f t="shared" si="36"/>
        <v>0</v>
      </c>
      <c r="I99" s="48">
        <f t="shared" si="36"/>
        <v>0</v>
      </c>
      <c r="J99" s="48">
        <f t="shared" si="36"/>
        <v>0</v>
      </c>
      <c r="K99" s="48">
        <f t="shared" si="36"/>
        <v>0</v>
      </c>
      <c r="L99" s="48">
        <f t="shared" si="36"/>
        <v>0</v>
      </c>
      <c r="N99" s="287"/>
    </row>
    <row r="100" spans="1:14" hidden="1">
      <c r="A100" s="290">
        <f>ROW()</f>
        <v>100</v>
      </c>
      <c r="B100" s="97" t="s">
        <v>380</v>
      </c>
      <c r="G100" s="48">
        <f t="shared" ref="G100:L100" si="37">IF($C$7="lease",G34,0)</f>
        <v>0</v>
      </c>
      <c r="H100" s="48">
        <f t="shared" si="37"/>
        <v>0</v>
      </c>
      <c r="I100" s="48">
        <f t="shared" si="37"/>
        <v>0</v>
      </c>
      <c r="J100" s="48">
        <f t="shared" si="37"/>
        <v>0</v>
      </c>
      <c r="K100" s="48">
        <f t="shared" si="37"/>
        <v>0</v>
      </c>
      <c r="L100" s="48">
        <f t="shared" si="37"/>
        <v>0</v>
      </c>
      <c r="N100" s="287"/>
    </row>
    <row r="101" spans="1:14" hidden="1">
      <c r="A101" s="290"/>
      <c r="B101" s="97"/>
      <c r="N101" s="287"/>
    </row>
    <row r="103" spans="1:14">
      <c r="M103" s="931"/>
    </row>
    <row r="104" spans="1:14">
      <c r="M104" s="1267"/>
    </row>
  </sheetData>
  <sheetProtection sheet="1" objects="1" scenarios="1"/>
  <mergeCells count="2">
    <mergeCell ref="G2:K2"/>
    <mergeCell ref="G3:K3"/>
  </mergeCells>
  <conditionalFormatting sqref="D1">
    <cfRule type="expression" dxfId="43" priority="3" stopIfTrue="1">
      <formula>MOD(ROW(),2)=0</formula>
    </cfRule>
  </conditionalFormatting>
  <conditionalFormatting sqref="F71:F72">
    <cfRule type="cellIs" dxfId="42" priority="8" stopIfTrue="1" operator="equal">
      <formula>0</formula>
    </cfRule>
  </conditionalFormatting>
  <conditionalFormatting sqref="G57">
    <cfRule type="expression" dxfId="41"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40" priority="2"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FFFF99"/>
    <pageSetUpPr fitToPage="1"/>
  </sheetPr>
  <dimension ref="A1:R204"/>
  <sheetViews>
    <sheetView zoomScale="57" workbookViewId="0">
      <selection activeCell="H165" sqref="H165"/>
    </sheetView>
  </sheetViews>
  <sheetFormatPr defaultColWidth="8.6640625" defaultRowHeight="13.8"/>
  <cols>
    <col min="1" max="1" width="8.33203125" style="32" customWidth="1"/>
    <col min="2" max="2" width="47.6640625" style="32" customWidth="1"/>
    <col min="3" max="3" width="17.6640625" style="32" customWidth="1"/>
    <col min="4" max="4" width="9" style="32" customWidth="1"/>
    <col min="5" max="5" width="8.6640625" style="32" customWidth="1"/>
    <col min="6" max="6" width="15.33203125" style="32" customWidth="1"/>
    <col min="7" max="7" width="16.33203125" style="32" customWidth="1"/>
    <col min="8" max="9" width="21" style="32" customWidth="1"/>
    <col min="10" max="12" width="17" style="32" customWidth="1"/>
    <col min="13" max="16" width="1.33203125" style="32" customWidth="1"/>
    <col min="17" max="17" width="0.44140625" style="32" customWidth="1"/>
    <col min="18" max="18" width="88.6640625" style="257" customWidth="1"/>
    <col min="19" max="19" width="10.6640625" style="32" customWidth="1"/>
    <col min="20" max="20" width="3.6640625" style="32" customWidth="1"/>
    <col min="21" max="21" width="6.33203125" style="32" customWidth="1"/>
    <col min="22" max="22" width="6" style="32" customWidth="1"/>
    <col min="23" max="23" width="5.33203125" style="32" customWidth="1"/>
    <col min="24" max="24" width="6.5546875" style="32" customWidth="1"/>
    <col min="25" max="25" width="17.33203125" style="32" customWidth="1"/>
    <col min="26" max="16384" width="8.6640625" style="32"/>
  </cols>
  <sheetData>
    <row r="1" spans="1:18" ht="17.399999999999999">
      <c r="A1" s="1493" t="s">
        <v>1370</v>
      </c>
      <c r="B1" s="1494"/>
      <c r="D1" s="347"/>
      <c r="P1" s="34"/>
    </row>
    <row r="2" spans="1:18" ht="15.6">
      <c r="A2" s="35" t="str">
        <f>SchoolName</f>
        <v>Game Changers Sports Academy</v>
      </c>
      <c r="B2" s="36"/>
    </row>
    <row r="3" spans="1:18">
      <c r="A3" s="37"/>
      <c r="K3" s="30"/>
    </row>
    <row r="4" spans="1:18">
      <c r="A4" s="38"/>
    </row>
    <row r="5" spans="1:18">
      <c r="A5" s="29"/>
    </row>
    <row r="6" spans="1:18" ht="15.6">
      <c r="A6" s="59"/>
      <c r="D6" s="60" t="s">
        <v>242</v>
      </c>
      <c r="E6" s="60"/>
      <c r="G6" s="221">
        <f>'Cover &amp; Loc'!C11</f>
        <v>2026</v>
      </c>
      <c r="J6" s="60"/>
    </row>
    <row r="7" spans="1:18">
      <c r="A7" s="59"/>
      <c r="D7" s="31" t="s">
        <v>243</v>
      </c>
      <c r="E7" s="31"/>
      <c r="G7" s="31">
        <f>+G6+1</f>
        <v>2027</v>
      </c>
      <c r="J7" s="31"/>
    </row>
    <row r="8" spans="1:18">
      <c r="A8" s="59"/>
      <c r="F8" s="31"/>
      <c r="G8" s="30"/>
    </row>
    <row r="9" spans="1:18">
      <c r="A9" s="59"/>
      <c r="B9" s="30"/>
      <c r="F9" s="1296">
        <v>0</v>
      </c>
      <c r="G9" s="615">
        <v>1</v>
      </c>
      <c r="H9" s="615">
        <f>1+G9</f>
        <v>2</v>
      </c>
      <c r="I9" s="615">
        <f t="shared" ref="I9:L9" si="0">1+H9</f>
        <v>3</v>
      </c>
      <c r="J9" s="615">
        <f t="shared" si="0"/>
        <v>4</v>
      </c>
      <c r="K9" s="615">
        <f t="shared" si="0"/>
        <v>5</v>
      </c>
      <c r="L9" s="957">
        <f t="shared" si="0"/>
        <v>6</v>
      </c>
    </row>
    <row r="10" spans="1:18">
      <c r="A10" s="59"/>
      <c r="D10" s="1853" t="s">
        <v>601</v>
      </c>
      <c r="E10" s="1854"/>
      <c r="F10" s="616">
        <f>+G10-1</f>
        <v>2025</v>
      </c>
      <c r="G10" s="617">
        <f>+G6</f>
        <v>2026</v>
      </c>
      <c r="H10" s="617">
        <f>+G11</f>
        <v>2027</v>
      </c>
      <c r="I10" s="617">
        <f>+H11</f>
        <v>2028</v>
      </c>
      <c r="J10" s="617">
        <f>+I11</f>
        <v>2029</v>
      </c>
      <c r="K10" s="617">
        <f>+J11</f>
        <v>2030</v>
      </c>
      <c r="L10" s="618">
        <f>+K11</f>
        <v>2031</v>
      </c>
    </row>
    <row r="11" spans="1:18" ht="15.6">
      <c r="A11" s="59"/>
      <c r="B11" s="62"/>
      <c r="C11" s="507" t="s">
        <v>244</v>
      </c>
      <c r="D11" s="508"/>
      <c r="E11" s="508"/>
      <c r="F11" s="619">
        <f>+G11-1</f>
        <v>2026</v>
      </c>
      <c r="G11" s="620">
        <f t="shared" ref="G11:L11" si="1">+G10+1</f>
        <v>2027</v>
      </c>
      <c r="H11" s="620">
        <f t="shared" si="1"/>
        <v>2028</v>
      </c>
      <c r="I11" s="620">
        <f t="shared" si="1"/>
        <v>2029</v>
      </c>
      <c r="J11" s="620">
        <f t="shared" si="1"/>
        <v>2030</v>
      </c>
      <c r="K11" s="620">
        <f t="shared" si="1"/>
        <v>2031</v>
      </c>
      <c r="L11" s="621">
        <f t="shared" si="1"/>
        <v>2032</v>
      </c>
    </row>
    <row r="12" spans="1:18" ht="15.6">
      <c r="A12" s="59"/>
      <c r="B12" s="154" t="s">
        <v>602</v>
      </c>
      <c r="D12" s="244"/>
      <c r="E12" s="244"/>
      <c r="F12" s="968"/>
      <c r="G12" s="969"/>
      <c r="H12" s="969"/>
      <c r="I12" s="969"/>
      <c r="J12" s="969"/>
      <c r="K12" s="969"/>
      <c r="L12" s="969"/>
    </row>
    <row r="13" spans="1:18" ht="15.6">
      <c r="A13" s="290">
        <f>ROW()</f>
        <v>13</v>
      </c>
      <c r="B13" s="1703" t="s">
        <v>192</v>
      </c>
      <c r="C13" s="1704"/>
      <c r="D13" s="1704"/>
      <c r="E13" s="1704"/>
      <c r="F13" s="1705"/>
      <c r="G13" s="1706"/>
      <c r="H13" s="1706"/>
      <c r="I13" s="1706"/>
      <c r="J13" s="1706"/>
      <c r="K13" s="1706"/>
      <c r="L13" s="1706"/>
      <c r="R13" s="1425" t="s">
        <v>1253</v>
      </c>
    </row>
    <row r="14" spans="1:18" ht="15.6">
      <c r="A14" s="290">
        <f>ROW()</f>
        <v>14</v>
      </c>
      <c r="B14" s="30" t="s">
        <v>211</v>
      </c>
      <c r="F14" s="491"/>
      <c r="G14" s="522"/>
      <c r="H14" s="522"/>
      <c r="I14" s="522"/>
      <c r="J14" s="522"/>
      <c r="K14" s="522"/>
      <c r="L14" s="522"/>
      <c r="R14" s="394"/>
    </row>
    <row r="15" spans="1:18">
      <c r="A15" s="290">
        <f>ROW()</f>
        <v>15</v>
      </c>
      <c r="B15" s="122" t="s">
        <v>212</v>
      </c>
      <c r="C15" s="104"/>
      <c r="D15" s="104"/>
      <c r="E15" s="104"/>
      <c r="F15" s="523">
        <f>' Enrol &amp; Rev'!F17</f>
        <v>0</v>
      </c>
      <c r="G15" s="1234">
        <f>' Enrol &amp; Rev'!G17</f>
        <v>3</v>
      </c>
      <c r="H15" s="1234">
        <f>' Enrol &amp; Rev'!H17</f>
        <v>4</v>
      </c>
      <c r="I15" s="1234">
        <f>' Enrol &amp; Rev'!I17</f>
        <v>5</v>
      </c>
      <c r="J15" s="1234">
        <f>' Enrol &amp; Rev'!J17</f>
        <v>6</v>
      </c>
      <c r="K15" s="1234">
        <f>' Enrol &amp; Rev'!K17</f>
        <v>7</v>
      </c>
      <c r="L15" s="1234">
        <f>' Enrol &amp; Rev'!L17</f>
        <v>7</v>
      </c>
      <c r="R15" s="287"/>
    </row>
    <row r="16" spans="1:18">
      <c r="A16" s="290">
        <f>ROW()</f>
        <v>16</v>
      </c>
      <c r="B16" s="1566" t="s">
        <v>213</v>
      </c>
      <c r="C16" s="1564"/>
      <c r="D16" s="1564"/>
      <c r="E16" s="1564"/>
      <c r="F16" s="1707">
        <f>' Enrol &amp; Rev'!F19</f>
        <v>0</v>
      </c>
      <c r="G16" s="1708">
        <f>' Enrol &amp; Rev'!G19</f>
        <v>11.5</v>
      </c>
      <c r="H16" s="1708">
        <f>' Enrol &amp; Rev'!H19</f>
        <v>15.5</v>
      </c>
      <c r="I16" s="1708">
        <f>' Enrol &amp; Rev'!I19</f>
        <v>19.5</v>
      </c>
      <c r="J16" s="1708">
        <f>' Enrol &amp; Rev'!J19</f>
        <v>23.5</v>
      </c>
      <c r="K16" s="1708">
        <f>' Enrol &amp; Rev'!K19</f>
        <v>27.5</v>
      </c>
      <c r="L16" s="1708">
        <f>' Enrol &amp; Rev'!L19</f>
        <v>28</v>
      </c>
      <c r="R16" s="287"/>
    </row>
    <row r="17" spans="1:18" ht="14.1" hidden="1" customHeight="1">
      <c r="A17" s="290">
        <f>ROW()</f>
        <v>17</v>
      </c>
      <c r="B17" s="39"/>
      <c r="C17" s="256"/>
      <c r="D17" s="256"/>
      <c r="E17" s="256"/>
      <c r="F17" s="502"/>
      <c r="G17" s="502"/>
      <c r="H17" s="502"/>
      <c r="I17" s="502"/>
      <c r="J17" s="502"/>
      <c r="K17" s="502"/>
      <c r="L17" s="502"/>
      <c r="R17" s="287"/>
    </row>
    <row r="18" spans="1:18" ht="14.1" hidden="1" customHeight="1">
      <c r="A18" s="290">
        <f>ROW()</f>
        <v>18</v>
      </c>
      <c r="B18" s="970" t="s">
        <v>214</v>
      </c>
      <c r="C18" s="306"/>
      <c r="D18" s="306"/>
      <c r="E18" s="306"/>
      <c r="F18" s="492">
        <f>' Enrol &amp; Rev'!F23</f>
        <v>0</v>
      </c>
      <c r="G18" s="492">
        <f>' Enrol &amp; Rev'!G23</f>
        <v>0</v>
      </c>
      <c r="H18" s="492">
        <f>' Enrol &amp; Rev'!H23</f>
        <v>0</v>
      </c>
      <c r="I18" s="492">
        <f>' Enrol &amp; Rev'!I23</f>
        <v>0</v>
      </c>
      <c r="J18" s="492">
        <f>' Enrol &amp; Rev'!J23</f>
        <v>0</v>
      </c>
      <c r="K18" s="492">
        <f>' Enrol &amp; Rev'!K23</f>
        <v>0</v>
      </c>
      <c r="L18" s="492">
        <f>' Enrol &amp; Rev'!L23</f>
        <v>0</v>
      </c>
      <c r="R18" s="287"/>
    </row>
    <row r="19" spans="1:18" ht="14.1" hidden="1" customHeight="1">
      <c r="A19" s="290">
        <f>ROW()</f>
        <v>19</v>
      </c>
      <c r="B19" s="307" t="s">
        <v>215</v>
      </c>
      <c r="C19" s="306"/>
      <c r="D19" s="306"/>
      <c r="E19" s="306"/>
      <c r="F19" s="493">
        <f>' Enrol &amp; Rev'!F24</f>
        <v>0</v>
      </c>
      <c r="G19" s="493">
        <f>' Enrol &amp; Rev'!G24</f>
        <v>0</v>
      </c>
      <c r="H19" s="493">
        <f>' Enrol &amp; Rev'!H24</f>
        <v>0</v>
      </c>
      <c r="I19" s="493">
        <f>' Enrol &amp; Rev'!I24</f>
        <v>0</v>
      </c>
      <c r="J19" s="493">
        <f>' Enrol &amp; Rev'!J24</f>
        <v>0</v>
      </c>
      <c r="K19" s="493">
        <f>' Enrol &amp; Rev'!K24</f>
        <v>0</v>
      </c>
      <c r="L19" s="493">
        <f>' Enrol &amp; Rev'!L24</f>
        <v>0</v>
      </c>
      <c r="R19" s="287"/>
    </row>
    <row r="20" spans="1:18" ht="14.1" hidden="1" customHeight="1">
      <c r="A20" s="290">
        <f>ROW()</f>
        <v>20</v>
      </c>
      <c r="B20" s="307" t="s">
        <v>216</v>
      </c>
      <c r="C20" s="306"/>
      <c r="D20" s="306"/>
      <c r="E20" s="306"/>
      <c r="F20" s="493">
        <f>' Enrol &amp; Rev'!F25</f>
        <v>0</v>
      </c>
      <c r="G20" s="494">
        <f>' Enrol &amp; Rev'!G25</f>
        <v>0</v>
      </c>
      <c r="H20" s="494">
        <f>' Enrol &amp; Rev'!H25</f>
        <v>0</v>
      </c>
      <c r="I20" s="494">
        <f>' Enrol &amp; Rev'!I25</f>
        <v>0</v>
      </c>
      <c r="J20" s="494">
        <f>' Enrol &amp; Rev'!J25</f>
        <v>0</v>
      </c>
      <c r="K20" s="494">
        <f>' Enrol &amp; Rev'!K25</f>
        <v>0</v>
      </c>
      <c r="L20" s="494">
        <f>' Enrol &amp; Rev'!L25</f>
        <v>0</v>
      </c>
      <c r="R20" s="287"/>
    </row>
    <row r="21" spans="1:18" ht="14.1" hidden="1" customHeight="1">
      <c r="A21" s="290">
        <f>ROW()</f>
        <v>21</v>
      </c>
      <c r="B21" s="307" t="s">
        <v>217</v>
      </c>
      <c r="C21" s="306"/>
      <c r="D21" s="306"/>
      <c r="E21" s="306"/>
      <c r="F21" s="495">
        <f>' Enrol &amp; Rev'!F26</f>
        <v>0</v>
      </c>
      <c r="G21" s="496">
        <f>' Enrol &amp; Rev'!G26</f>
        <v>0</v>
      </c>
      <c r="H21" s="496">
        <f>' Enrol &amp; Rev'!H26</f>
        <v>0</v>
      </c>
      <c r="I21" s="496">
        <f>' Enrol &amp; Rev'!I26</f>
        <v>0</v>
      </c>
      <c r="J21" s="496">
        <f>' Enrol &amp; Rev'!J26</f>
        <v>0</v>
      </c>
      <c r="K21" s="496">
        <f>' Enrol &amp; Rev'!K26</f>
        <v>0</v>
      </c>
      <c r="L21" s="496">
        <f>' Enrol &amp; Rev'!L26</f>
        <v>0</v>
      </c>
      <c r="R21" s="287"/>
    </row>
    <row r="22" spans="1:18" ht="14.1" hidden="1" customHeight="1">
      <c r="A22" s="290">
        <f>ROW()</f>
        <v>22</v>
      </c>
      <c r="B22" s="307" t="s">
        <v>218</v>
      </c>
      <c r="C22" s="306"/>
      <c r="D22" s="306"/>
      <c r="E22" s="306"/>
      <c r="F22" s="495">
        <f>' Enrol &amp; Rev'!F27</f>
        <v>0</v>
      </c>
      <c r="G22" s="496">
        <f>' Enrol &amp; Rev'!G27</f>
        <v>0</v>
      </c>
      <c r="H22" s="496">
        <f>' Enrol &amp; Rev'!H27</f>
        <v>0</v>
      </c>
      <c r="I22" s="496">
        <f>' Enrol &amp; Rev'!I27</f>
        <v>0</v>
      </c>
      <c r="J22" s="496">
        <f>' Enrol &amp; Rev'!J27</f>
        <v>0</v>
      </c>
      <c r="K22" s="496">
        <f>' Enrol &amp; Rev'!K27</f>
        <v>0</v>
      </c>
      <c r="L22" s="496">
        <f>' Enrol &amp; Rev'!L27</f>
        <v>0</v>
      </c>
    </row>
    <row r="23" spans="1:18" hidden="1">
      <c r="A23" s="290">
        <f>ROW()</f>
        <v>23</v>
      </c>
      <c r="B23" s="307" t="s">
        <v>219</v>
      </c>
      <c r="C23" s="306"/>
      <c r="D23" s="306"/>
      <c r="E23" s="306"/>
      <c r="F23" s="495">
        <f>' Enrol &amp; Rev'!F28</f>
        <v>0</v>
      </c>
      <c r="G23" s="495">
        <f>' Enrol &amp; Rev'!G28</f>
        <v>0</v>
      </c>
      <c r="H23" s="495">
        <f>' Enrol &amp; Rev'!H28</f>
        <v>0</v>
      </c>
      <c r="I23" s="495">
        <f>' Enrol &amp; Rev'!I28</f>
        <v>0</v>
      </c>
      <c r="J23" s="495">
        <f>' Enrol &amp; Rev'!J28</f>
        <v>0</v>
      </c>
      <c r="K23" s="495">
        <f>' Enrol &amp; Rev'!K28</f>
        <v>0</v>
      </c>
      <c r="L23" s="495">
        <f>' Enrol &amp; Rev'!L28</f>
        <v>0</v>
      </c>
    </row>
    <row r="24" spans="1:18" hidden="1">
      <c r="A24" s="290">
        <f>ROW()</f>
        <v>24</v>
      </c>
      <c r="B24" s="307" t="s">
        <v>220</v>
      </c>
      <c r="C24" s="306"/>
      <c r="D24" s="306"/>
      <c r="E24" s="306"/>
      <c r="F24" s="495">
        <f>' Enrol &amp; Rev'!F29</f>
        <v>0</v>
      </c>
      <c r="G24" s="495">
        <f>' Enrol &amp; Rev'!G29</f>
        <v>80</v>
      </c>
      <c r="H24" s="497">
        <f>' Enrol &amp; Rev'!H29</f>
        <v>80</v>
      </c>
      <c r="I24" s="497">
        <f>' Enrol &amp; Rev'!I29</f>
        <v>80</v>
      </c>
      <c r="J24" s="497">
        <f>' Enrol &amp; Rev'!J29</f>
        <v>80</v>
      </c>
      <c r="K24" s="497">
        <f>' Enrol &amp; Rev'!K29</f>
        <v>80</v>
      </c>
      <c r="L24" s="497">
        <f>' Enrol &amp; Rev'!L29</f>
        <v>80</v>
      </c>
    </row>
    <row r="25" spans="1:18" hidden="1">
      <c r="A25" s="290">
        <f>ROW()</f>
        <v>25</v>
      </c>
      <c r="B25" s="307" t="s">
        <v>221</v>
      </c>
      <c r="C25" s="306"/>
      <c r="D25" s="306"/>
      <c r="E25" s="306"/>
      <c r="F25" s="495">
        <f>' Enrol &amp; Rev'!F30</f>
        <v>0</v>
      </c>
      <c r="G25" s="495">
        <f>' Enrol &amp; Rev'!G30</f>
        <v>80</v>
      </c>
      <c r="H25" s="497">
        <f>' Enrol &amp; Rev'!H30</f>
        <v>80</v>
      </c>
      <c r="I25" s="497">
        <f>' Enrol &amp; Rev'!I30</f>
        <v>80</v>
      </c>
      <c r="J25" s="497">
        <f>' Enrol &amp; Rev'!J30</f>
        <v>80</v>
      </c>
      <c r="K25" s="497">
        <f>' Enrol &amp; Rev'!K30</f>
        <v>80</v>
      </c>
      <c r="L25" s="497">
        <f>' Enrol &amp; Rev'!L30</f>
        <v>80</v>
      </c>
    </row>
    <row r="26" spans="1:18" hidden="1">
      <c r="A26" s="290">
        <f>ROW()</f>
        <v>26</v>
      </c>
      <c r="B26" s="307" t="s">
        <v>222</v>
      </c>
      <c r="C26" s="306"/>
      <c r="D26" s="306"/>
      <c r="E26" s="306"/>
      <c r="F26" s="495">
        <f>' Enrol &amp; Rev'!F31</f>
        <v>0</v>
      </c>
      <c r="G26" s="495">
        <f>' Enrol &amp; Rev'!G31</f>
        <v>70</v>
      </c>
      <c r="H26" s="497">
        <f>' Enrol &amp; Rev'!H31</f>
        <v>80</v>
      </c>
      <c r="I26" s="497">
        <f>' Enrol &amp; Rev'!I31</f>
        <v>80</v>
      </c>
      <c r="J26" s="497">
        <f>' Enrol &amp; Rev'!J31</f>
        <v>80</v>
      </c>
      <c r="K26" s="497">
        <f>' Enrol &amp; Rev'!K31</f>
        <v>80</v>
      </c>
      <c r="L26" s="497">
        <f>' Enrol &amp; Rev'!L31</f>
        <v>80</v>
      </c>
    </row>
    <row r="27" spans="1:18" hidden="1">
      <c r="A27" s="290">
        <f>ROW()</f>
        <v>27</v>
      </c>
      <c r="B27" s="307" t="s">
        <v>223</v>
      </c>
      <c r="C27" s="306"/>
      <c r="D27" s="306"/>
      <c r="E27" s="306"/>
      <c r="F27" s="495">
        <f>' Enrol &amp; Rev'!F32</f>
        <v>0</v>
      </c>
      <c r="G27" s="495">
        <f>' Enrol &amp; Rev'!G32</f>
        <v>0</v>
      </c>
      <c r="H27" s="497">
        <f>' Enrol &amp; Rev'!H32</f>
        <v>70</v>
      </c>
      <c r="I27" s="497">
        <f>' Enrol &amp; Rev'!I32</f>
        <v>80</v>
      </c>
      <c r="J27" s="497">
        <f>' Enrol &amp; Rev'!J32</f>
        <v>80</v>
      </c>
      <c r="K27" s="497">
        <f>' Enrol &amp; Rev'!K32</f>
        <v>80</v>
      </c>
      <c r="L27" s="497">
        <f>' Enrol &amp; Rev'!L32</f>
        <v>80</v>
      </c>
    </row>
    <row r="28" spans="1:18" hidden="1">
      <c r="A28" s="290">
        <f>ROW()</f>
        <v>28</v>
      </c>
      <c r="B28" s="307" t="s">
        <v>224</v>
      </c>
      <c r="C28" s="306"/>
      <c r="D28" s="306"/>
      <c r="E28" s="306"/>
      <c r="F28" s="495">
        <f>' Enrol &amp; Rev'!F33</f>
        <v>0</v>
      </c>
      <c r="G28" s="495">
        <f>' Enrol &amp; Rev'!G33</f>
        <v>0</v>
      </c>
      <c r="H28" s="497">
        <f>' Enrol &amp; Rev'!H33</f>
        <v>0</v>
      </c>
      <c r="I28" s="497">
        <f>' Enrol &amp; Rev'!I33</f>
        <v>70</v>
      </c>
      <c r="J28" s="497">
        <f>' Enrol &amp; Rev'!J33</f>
        <v>80</v>
      </c>
      <c r="K28" s="497">
        <f>' Enrol &amp; Rev'!K33</f>
        <v>80</v>
      </c>
      <c r="L28" s="497">
        <f>' Enrol &amp; Rev'!L33</f>
        <v>80</v>
      </c>
    </row>
    <row r="29" spans="1:18" hidden="1">
      <c r="A29" s="290">
        <f>ROW()</f>
        <v>29</v>
      </c>
      <c r="B29" s="307" t="s">
        <v>225</v>
      </c>
      <c r="C29" s="306"/>
      <c r="D29" s="306"/>
      <c r="E29" s="306"/>
      <c r="F29" s="495">
        <f>' Enrol &amp; Rev'!F34</f>
        <v>0</v>
      </c>
      <c r="G29" s="495">
        <f>' Enrol &amp; Rev'!G34</f>
        <v>0</v>
      </c>
      <c r="H29" s="497">
        <f>' Enrol &amp; Rev'!H34</f>
        <v>0</v>
      </c>
      <c r="I29" s="497">
        <f>' Enrol &amp; Rev'!I34</f>
        <v>0</v>
      </c>
      <c r="J29" s="497">
        <f>' Enrol &amp; Rev'!J34</f>
        <v>70</v>
      </c>
      <c r="K29" s="497">
        <f>' Enrol &amp; Rev'!K34</f>
        <v>80</v>
      </c>
      <c r="L29" s="497">
        <f>' Enrol &amp; Rev'!L34</f>
        <v>80</v>
      </c>
    </row>
    <row r="30" spans="1:18" hidden="1">
      <c r="A30" s="290">
        <f>ROW()</f>
        <v>30</v>
      </c>
      <c r="B30" s="307" t="s">
        <v>226</v>
      </c>
      <c r="C30" s="306"/>
      <c r="D30" s="306"/>
      <c r="E30" s="306"/>
      <c r="F30" s="498">
        <f>' Enrol &amp; Rev'!F35</f>
        <v>0</v>
      </c>
      <c r="G30" s="498">
        <f>' Enrol &amp; Rev'!G35</f>
        <v>0</v>
      </c>
      <c r="H30" s="499">
        <f>' Enrol &amp; Rev'!H35</f>
        <v>0</v>
      </c>
      <c r="I30" s="499">
        <f>' Enrol &amp; Rev'!I35</f>
        <v>0</v>
      </c>
      <c r="J30" s="499">
        <f>' Enrol &amp; Rev'!J35</f>
        <v>0</v>
      </c>
      <c r="K30" s="499">
        <f>' Enrol &amp; Rev'!K35</f>
        <v>70</v>
      </c>
      <c r="L30" s="499">
        <f>' Enrol &amp; Rev'!L35</f>
        <v>80</v>
      </c>
    </row>
    <row r="31" spans="1:18" ht="15.6">
      <c r="A31" s="290">
        <f>ROW()</f>
        <v>31</v>
      </c>
      <c r="B31" s="524" t="s">
        <v>227</v>
      </c>
      <c r="C31" s="395"/>
      <c r="D31" s="395"/>
      <c r="E31" s="395"/>
      <c r="F31" s="380"/>
      <c r="G31" s="1233">
        <f t="shared" ref="G31:L31" si="2">SUM(G18:G30)</f>
        <v>230</v>
      </c>
      <c r="H31" s="1233">
        <f t="shared" si="2"/>
        <v>310</v>
      </c>
      <c r="I31" s="1233">
        <f t="shared" si="2"/>
        <v>390</v>
      </c>
      <c r="J31" s="1233">
        <f t="shared" si="2"/>
        <v>470</v>
      </c>
      <c r="K31" s="1233">
        <f t="shared" si="2"/>
        <v>550</v>
      </c>
      <c r="L31" s="1233">
        <f t="shared" si="2"/>
        <v>560</v>
      </c>
      <c r="R31" s="287"/>
    </row>
    <row r="32" spans="1:18">
      <c r="A32" s="290">
        <f>ROW()</f>
        <v>32</v>
      </c>
      <c r="B32" s="66" t="s">
        <v>603</v>
      </c>
      <c r="C32" s="66"/>
      <c r="D32" s="66"/>
      <c r="E32" s="66"/>
      <c r="F32" s="381"/>
      <c r="G32" s="1247">
        <f>IFERROR(G31/G16,0)</f>
        <v>20</v>
      </c>
      <c r="H32" s="1247">
        <f t="shared" ref="H32:L32" si="3">IFERROR(H31/H16,0)</f>
        <v>20</v>
      </c>
      <c r="I32" s="1247">
        <f t="shared" si="3"/>
        <v>20</v>
      </c>
      <c r="J32" s="1247">
        <f t="shared" si="3"/>
        <v>20</v>
      </c>
      <c r="K32" s="1247">
        <f t="shared" si="3"/>
        <v>20</v>
      </c>
      <c r="L32" s="1247">
        <f t="shared" si="3"/>
        <v>20</v>
      </c>
      <c r="R32" s="287"/>
    </row>
    <row r="33" spans="1:18">
      <c r="A33" s="290">
        <f>ROW()</f>
        <v>33</v>
      </c>
      <c r="B33" s="378" t="s">
        <v>252</v>
      </c>
      <c r="C33" s="66"/>
      <c r="D33" s="66"/>
      <c r="E33" s="66"/>
      <c r="F33" s="1244">
        <f>' Enrol &amp; Rev'!F44</f>
        <v>0</v>
      </c>
      <c r="G33" s="1249">
        <f>' Enrol &amp; Rev'!G44</f>
        <v>0.85</v>
      </c>
      <c r="H33" s="1249">
        <f>' Enrol &amp; Rev'!H44</f>
        <v>0.85</v>
      </c>
      <c r="I33" s="1249">
        <f>' Enrol &amp; Rev'!I44</f>
        <v>0.85</v>
      </c>
      <c r="J33" s="1249">
        <f>' Enrol &amp; Rev'!J44</f>
        <v>0.85</v>
      </c>
      <c r="K33" s="1249">
        <f>' Enrol &amp; Rev'!K44</f>
        <v>0.85</v>
      </c>
      <c r="L33" s="1249">
        <f>' Enrol &amp; Rev'!L44</f>
        <v>0.85</v>
      </c>
      <c r="R33" s="287"/>
    </row>
    <row r="34" spans="1:18">
      <c r="A34" s="290">
        <f>ROW()</f>
        <v>34</v>
      </c>
      <c r="B34" s="378" t="s">
        <v>604</v>
      </c>
      <c r="C34" s="66"/>
      <c r="D34" s="66"/>
      <c r="E34" s="66"/>
      <c r="F34" s="382"/>
      <c r="G34" s="500">
        <f t="shared" ref="G34:L34" si="4">+G31*(1-G33)</f>
        <v>34.500000000000007</v>
      </c>
      <c r="H34" s="500">
        <f t="shared" si="4"/>
        <v>46.500000000000007</v>
      </c>
      <c r="I34" s="500">
        <f t="shared" si="4"/>
        <v>58.500000000000007</v>
      </c>
      <c r="J34" s="500">
        <f t="shared" si="4"/>
        <v>70.500000000000014</v>
      </c>
      <c r="K34" s="500">
        <f t="shared" si="4"/>
        <v>82.500000000000014</v>
      </c>
      <c r="L34" s="500">
        <f t="shared" si="4"/>
        <v>84.000000000000014</v>
      </c>
      <c r="R34" s="287"/>
    </row>
    <row r="35" spans="1:18">
      <c r="A35" s="290">
        <f>ROW()</f>
        <v>35</v>
      </c>
      <c r="B35" s="378"/>
      <c r="C35" s="66"/>
      <c r="D35" s="66"/>
      <c r="E35" s="66"/>
      <c r="F35" s="382"/>
      <c r="G35" s="500"/>
      <c r="H35" s="500"/>
      <c r="I35" s="500"/>
      <c r="J35" s="500"/>
      <c r="K35" s="500"/>
      <c r="L35" s="500"/>
      <c r="R35" s="287"/>
    </row>
    <row r="36" spans="1:18">
      <c r="A36" s="290">
        <f>ROW()</f>
        <v>36</v>
      </c>
      <c r="B36" s="66" t="s">
        <v>1227</v>
      </c>
      <c r="C36" s="66"/>
      <c r="D36" s="66"/>
      <c r="E36" s="66"/>
      <c r="F36" s="1244">
        <f>' Enrol &amp; Rev'!F92</f>
        <v>0</v>
      </c>
      <c r="G36" s="1249">
        <f>' Enrol &amp; Rev'!G92</f>
        <v>0.45</v>
      </c>
      <c r="H36" s="1249">
        <f>' Enrol &amp; Rev'!H92</f>
        <v>0.45</v>
      </c>
      <c r="I36" s="1249">
        <f>' Enrol &amp; Rev'!I92</f>
        <v>0.45</v>
      </c>
      <c r="J36" s="1249">
        <f>' Enrol &amp; Rev'!J92</f>
        <v>0.45</v>
      </c>
      <c r="K36" s="1249">
        <f>' Enrol &amp; Rev'!K92</f>
        <v>0.45</v>
      </c>
      <c r="L36" s="1249">
        <f>' Enrol &amp; Rev'!L92</f>
        <v>0.45</v>
      </c>
      <c r="R36" s="287"/>
    </row>
    <row r="37" spans="1:18">
      <c r="A37" s="290">
        <f>ROW()</f>
        <v>37</v>
      </c>
      <c r="B37" s="66" t="s">
        <v>1228</v>
      </c>
      <c r="C37" s="66"/>
      <c r="D37" s="66"/>
      <c r="E37" s="66"/>
      <c r="F37" s="1245"/>
      <c r="G37" s="501">
        <f t="shared" ref="G37:L37" si="5">+G$31*G36</f>
        <v>103.5</v>
      </c>
      <c r="H37" s="501">
        <f t="shared" si="5"/>
        <v>139.5</v>
      </c>
      <c r="I37" s="501">
        <f t="shared" si="5"/>
        <v>175.5</v>
      </c>
      <c r="J37" s="501">
        <f t="shared" si="5"/>
        <v>211.5</v>
      </c>
      <c r="K37" s="501">
        <f t="shared" si="5"/>
        <v>247.5</v>
      </c>
      <c r="L37" s="501">
        <f t="shared" si="5"/>
        <v>252</v>
      </c>
      <c r="R37" s="287"/>
    </row>
    <row r="38" spans="1:18">
      <c r="A38" s="290">
        <f>ROW()</f>
        <v>38</v>
      </c>
      <c r="B38" s="66" t="s">
        <v>286</v>
      </c>
      <c r="C38" s="66"/>
      <c r="D38" s="66"/>
      <c r="E38" s="66"/>
      <c r="F38" s="1244">
        <f>' Enrol &amp; Rev'!F93</f>
        <v>0</v>
      </c>
      <c r="G38" s="1249">
        <f>' Enrol &amp; Rev'!G93</f>
        <v>0.45</v>
      </c>
      <c r="H38" s="1249">
        <f>' Enrol &amp; Rev'!H93</f>
        <v>0.45</v>
      </c>
      <c r="I38" s="1249">
        <f>' Enrol &amp; Rev'!I93</f>
        <v>0.45</v>
      </c>
      <c r="J38" s="1249">
        <f>' Enrol &amp; Rev'!J93</f>
        <v>0.45</v>
      </c>
      <c r="K38" s="1249">
        <f>' Enrol &amp; Rev'!K93</f>
        <v>0.45</v>
      </c>
      <c r="L38" s="1249">
        <f>' Enrol &amp; Rev'!L93</f>
        <v>0.45</v>
      </c>
      <c r="R38" s="287"/>
    </row>
    <row r="39" spans="1:18">
      <c r="A39" s="290">
        <f>ROW()</f>
        <v>39</v>
      </c>
      <c r="B39" s="66" t="s">
        <v>605</v>
      </c>
      <c r="C39" s="66"/>
      <c r="D39" s="66"/>
      <c r="E39" s="66"/>
      <c r="F39" s="1245"/>
      <c r="G39" s="501">
        <f t="shared" ref="G39:L39" si="6">+G$31*G38</f>
        <v>103.5</v>
      </c>
      <c r="H39" s="501">
        <f t="shared" si="6"/>
        <v>139.5</v>
      </c>
      <c r="I39" s="501">
        <f t="shared" si="6"/>
        <v>175.5</v>
      </c>
      <c r="J39" s="501">
        <f t="shared" si="6"/>
        <v>211.5</v>
      </c>
      <c r="K39" s="501">
        <f t="shared" si="6"/>
        <v>247.5</v>
      </c>
      <c r="L39" s="501">
        <f t="shared" si="6"/>
        <v>252</v>
      </c>
      <c r="R39" s="287"/>
    </row>
    <row r="40" spans="1:18">
      <c r="A40" s="290">
        <f>ROW()</f>
        <v>40</v>
      </c>
      <c r="B40" s="66" t="s">
        <v>287</v>
      </c>
      <c r="C40" s="66"/>
      <c r="D40" s="66"/>
      <c r="E40" s="66"/>
      <c r="F40" s="1244">
        <f>' Enrol &amp; Rev'!F94</f>
        <v>0</v>
      </c>
      <c r="G40" s="1249">
        <f>' Enrol &amp; Rev'!G94</f>
        <v>0.12</v>
      </c>
      <c r="H40" s="1249">
        <f>' Enrol &amp; Rev'!H94</f>
        <v>0.12</v>
      </c>
      <c r="I40" s="1249">
        <f>' Enrol &amp; Rev'!I94</f>
        <v>0.12</v>
      </c>
      <c r="J40" s="1249">
        <f>' Enrol &amp; Rev'!J94</f>
        <v>0.12</v>
      </c>
      <c r="K40" s="1249">
        <f>' Enrol &amp; Rev'!K94</f>
        <v>0.12</v>
      </c>
      <c r="L40" s="1249">
        <f>' Enrol &amp; Rev'!L94</f>
        <v>0.12</v>
      </c>
      <c r="R40" s="287"/>
    </row>
    <row r="41" spans="1:18">
      <c r="A41" s="290">
        <f>ROW()</f>
        <v>41</v>
      </c>
      <c r="B41" s="66" t="s">
        <v>288</v>
      </c>
      <c r="C41" s="66"/>
      <c r="D41" s="66"/>
      <c r="E41" s="66"/>
      <c r="F41" s="1245"/>
      <c r="G41" s="501">
        <f t="shared" ref="G41:L41" si="7">+G$31*G40</f>
        <v>27.599999999999998</v>
      </c>
      <c r="H41" s="501">
        <f t="shared" si="7"/>
        <v>37.199999999999996</v>
      </c>
      <c r="I41" s="501">
        <f t="shared" si="7"/>
        <v>46.8</v>
      </c>
      <c r="J41" s="501">
        <f t="shared" si="7"/>
        <v>56.4</v>
      </c>
      <c r="K41" s="501">
        <f t="shared" si="7"/>
        <v>66</v>
      </c>
      <c r="L41" s="501">
        <f t="shared" si="7"/>
        <v>67.2</v>
      </c>
      <c r="R41" s="287"/>
    </row>
    <row r="42" spans="1:18">
      <c r="A42" s="290">
        <f>ROW()</f>
        <v>42</v>
      </c>
      <c r="B42" s="66"/>
      <c r="C42" s="66"/>
      <c r="D42" s="66"/>
      <c r="E42" s="66"/>
      <c r="F42" s="1246"/>
      <c r="G42" s="1250"/>
      <c r="H42" s="1250"/>
      <c r="I42" s="1250"/>
      <c r="J42" s="1250"/>
      <c r="K42" s="1250"/>
      <c r="L42" s="1250"/>
      <c r="R42" s="287"/>
    </row>
    <row r="43" spans="1:18" hidden="1">
      <c r="A43" s="290">
        <f>ROW()</f>
        <v>43</v>
      </c>
      <c r="B43" s="66"/>
      <c r="C43" s="66"/>
      <c r="D43" s="66"/>
      <c r="E43" s="66"/>
      <c r="F43" s="383"/>
      <c r="G43" s="1248"/>
      <c r="H43" s="1248"/>
      <c r="I43" s="1248"/>
      <c r="J43" s="1248"/>
      <c r="K43" s="1248"/>
      <c r="L43" s="1248"/>
      <c r="R43" s="287"/>
    </row>
    <row r="44" spans="1:18" hidden="1">
      <c r="A44" s="290">
        <f>ROW()</f>
        <v>44</v>
      </c>
      <c r="B44" s="445"/>
      <c r="C44" s="445"/>
      <c r="D44" s="445"/>
      <c r="E44" s="445"/>
      <c r="F44" s="446"/>
      <c r="G44" s="525"/>
      <c r="H44" s="525"/>
      <c r="I44" s="525"/>
      <c r="J44" s="526"/>
      <c r="K44" s="526"/>
      <c r="L44" s="526"/>
      <c r="M44" s="70"/>
      <c r="N44" s="70"/>
      <c r="O44" s="70"/>
      <c r="P44" s="70"/>
      <c r="Q44" s="70"/>
      <c r="R44" s="287"/>
    </row>
    <row r="45" spans="1:18" ht="15.6">
      <c r="A45" s="290">
        <f>ROW()</f>
        <v>45</v>
      </c>
      <c r="B45" s="449" t="s">
        <v>102</v>
      </c>
      <c r="C45" s="395">
        <f t="shared" ref="C45" si="8">SUM(G45:L45)</f>
        <v>27647590.027435001</v>
      </c>
      <c r="D45" s="395"/>
      <c r="E45" s="395"/>
      <c r="F45" s="527">
        <f>' Enrol &amp; Rev'!F145</f>
        <v>0</v>
      </c>
      <c r="G45" s="528">
        <f>' Enrol &amp; Rev'!G145</f>
        <v>2405997.25</v>
      </c>
      <c r="H45" s="528">
        <f>' Enrol &amp; Rev'!H145</f>
        <v>3392920.8001589999</v>
      </c>
      <c r="I45" s="528">
        <f>' Enrol &amp; Rev'!I145</f>
        <v>4291461.1828230005</v>
      </c>
      <c r="J45" s="528">
        <f>' Enrol &amp; Rev'!J145</f>
        <v>5190001.5654870002</v>
      </c>
      <c r="K45" s="528">
        <f>' Enrol &amp; Rev'!K145</f>
        <v>6088541.9481509998</v>
      </c>
      <c r="L45" s="528">
        <f>' Enrol &amp; Rev'!L145</f>
        <v>6278667.2808150006</v>
      </c>
      <c r="R45" s="287"/>
    </row>
    <row r="46" spans="1:18" ht="15.6">
      <c r="A46" s="290">
        <f>ROW()</f>
        <v>46</v>
      </c>
      <c r="B46" s="66" t="s">
        <v>606</v>
      </c>
      <c r="C46" s="377"/>
      <c r="D46" s="377"/>
      <c r="E46" s="377"/>
      <c r="F46" s="380"/>
      <c r="G46" s="379">
        <f t="shared" ref="G46:L46" si="9">IFERROR(G45/G31,0)</f>
        <v>10460.857608695653</v>
      </c>
      <c r="H46" s="379">
        <f t="shared" si="9"/>
        <v>10944.905806964516</v>
      </c>
      <c r="I46" s="379">
        <f t="shared" si="9"/>
        <v>11003.746622623079</v>
      </c>
      <c r="J46" s="379">
        <f t="shared" si="9"/>
        <v>11042.556522312767</v>
      </c>
      <c r="K46" s="379">
        <f t="shared" si="9"/>
        <v>11070.076269365454</v>
      </c>
      <c r="L46" s="379">
        <f t="shared" si="9"/>
        <v>11211.905858598215</v>
      </c>
      <c r="R46" s="287"/>
    </row>
    <row r="47" spans="1:18" ht="15.6">
      <c r="A47" s="290">
        <f>ROW()</f>
        <v>47</v>
      </c>
      <c r="B47" s="66" t="s">
        <v>607</v>
      </c>
      <c r="C47" s="377">
        <f>SUM(G47:L47)</f>
        <v>471300</v>
      </c>
      <c r="D47" s="377"/>
      <c r="E47" s="377"/>
      <c r="F47" s="380">
        <f>Levers!C16</f>
        <v>0</v>
      </c>
      <c r="G47" s="379">
        <f>Levers!D16</f>
        <v>92300</v>
      </c>
      <c r="H47" s="379">
        <f>Levers!E16</f>
        <v>71800</v>
      </c>
      <c r="I47" s="379">
        <f>Levers!F16</f>
        <v>71800</v>
      </c>
      <c r="J47" s="379">
        <f>Levers!G16</f>
        <v>81800</v>
      </c>
      <c r="K47" s="379">
        <f>Levers!H16</f>
        <v>74300</v>
      </c>
      <c r="L47" s="379">
        <f>Levers!I16</f>
        <v>79300</v>
      </c>
      <c r="R47" s="287"/>
    </row>
    <row r="48" spans="1:18" ht="15.6">
      <c r="A48" s="290">
        <f>ROW()</f>
        <v>48</v>
      </c>
      <c r="B48" s="66" t="s">
        <v>608</v>
      </c>
      <c r="C48" s="377">
        <f>Levers!$B$17</f>
        <v>187.76892430278883</v>
      </c>
      <c r="D48" s="377"/>
      <c r="E48" s="377"/>
      <c r="F48" s="380"/>
      <c r="G48" s="379">
        <f>Levers!D17</f>
        <v>401.30434782608694</v>
      </c>
      <c r="H48" s="379">
        <f>Levers!E17</f>
        <v>231.61290322580646</v>
      </c>
      <c r="I48" s="379">
        <f>Levers!F17</f>
        <v>184.10256410256412</v>
      </c>
      <c r="J48" s="379">
        <f>Levers!G17</f>
        <v>174.04255319148936</v>
      </c>
      <c r="K48" s="379">
        <f>Levers!H17</f>
        <v>135.09090909090909</v>
      </c>
      <c r="L48" s="379">
        <f>Levers!I17</f>
        <v>141.60714285714286</v>
      </c>
      <c r="R48" s="287"/>
    </row>
    <row r="49" spans="1:18" ht="15.6">
      <c r="A49" s="290">
        <f>ROW()</f>
        <v>49</v>
      </c>
      <c r="B49" s="66" t="s">
        <v>609</v>
      </c>
      <c r="C49" s="377">
        <f>SUM(G49:L49)</f>
        <v>27176290.027435001</v>
      </c>
      <c r="D49" s="377"/>
      <c r="E49" s="377"/>
      <c r="F49" s="380">
        <f>Levers!C18</f>
        <v>0</v>
      </c>
      <c r="G49" s="379">
        <f>Levers!D18</f>
        <v>2313697.25</v>
      </c>
      <c r="H49" s="379">
        <f>Levers!E18</f>
        <v>3321120.8001589999</v>
      </c>
      <c r="I49" s="379">
        <f>Levers!F18</f>
        <v>4219661.1828230005</v>
      </c>
      <c r="J49" s="379">
        <f>Levers!G18</f>
        <v>5108201.5654870002</v>
      </c>
      <c r="K49" s="379">
        <f>Levers!H18</f>
        <v>6014241.9481509998</v>
      </c>
      <c r="L49" s="379">
        <f>Levers!I18</f>
        <v>6199367.2808150006</v>
      </c>
      <c r="R49" s="287"/>
    </row>
    <row r="50" spans="1:18" ht="15.6">
      <c r="A50" s="290">
        <f>ROW()</f>
        <v>50</v>
      </c>
      <c r="B50" s="66" t="s">
        <v>610</v>
      </c>
      <c r="C50" s="377">
        <f>Levers!$B$19</f>
        <v>10827.20718224502</v>
      </c>
      <c r="D50" s="377"/>
      <c r="E50" s="377"/>
      <c r="F50" s="380"/>
      <c r="G50" s="379">
        <f>Levers!D19</f>
        <v>10059.553260869565</v>
      </c>
      <c r="H50" s="379">
        <f>Levers!E19</f>
        <v>10713.292903738709</v>
      </c>
      <c r="I50" s="379">
        <f>Levers!F19</f>
        <v>10819.644058520515</v>
      </c>
      <c r="J50" s="379">
        <f>Levers!G19</f>
        <v>10868.513969121277</v>
      </c>
      <c r="K50" s="379">
        <f>Levers!H19</f>
        <v>10934.985360274544</v>
      </c>
      <c r="L50" s="379">
        <f>Levers!I19</f>
        <v>11070.298715741073</v>
      </c>
      <c r="R50" s="287"/>
    </row>
    <row r="51" spans="1:18" ht="15.6">
      <c r="A51" s="290">
        <f>ROW()</f>
        <v>51</v>
      </c>
      <c r="B51" s="66" t="s">
        <v>450</v>
      </c>
      <c r="C51" s="377">
        <f>Levers!B38</f>
        <v>10253443.322230412</v>
      </c>
      <c r="D51" s="377"/>
      <c r="E51" s="377"/>
      <c r="F51" s="380">
        <f>Levers!C38</f>
        <v>0</v>
      </c>
      <c r="G51" s="379">
        <f>Levers!D38</f>
        <v>327593.02</v>
      </c>
      <c r="H51" s="379">
        <f>Levers!E38</f>
        <v>849238.84515899979</v>
      </c>
      <c r="I51" s="379">
        <f>Levers!F38</f>
        <v>1464828.0503230006</v>
      </c>
      <c r="J51" s="379">
        <f>Levers!G38</f>
        <v>1929999.7021370004</v>
      </c>
      <c r="K51" s="379">
        <f>Levers!H38</f>
        <v>2742626.6616020496</v>
      </c>
      <c r="L51" s="379">
        <f>Levers!I38</f>
        <v>2939157.0430093613</v>
      </c>
      <c r="R51" s="287"/>
    </row>
    <row r="52" spans="1:18" ht="15.6">
      <c r="A52" s="290">
        <f>ROW()</f>
        <v>52</v>
      </c>
      <c r="B52" s="66" t="s">
        <v>451</v>
      </c>
      <c r="C52" s="377">
        <f>Levers!B39</f>
        <v>4085.0371801714787</v>
      </c>
      <c r="D52" s="377"/>
      <c r="E52" s="377"/>
      <c r="F52" s="380">
        <f>Levers!C39</f>
        <v>0</v>
      </c>
      <c r="G52" s="379">
        <f>Levers!D39</f>
        <v>1424.3174782608696</v>
      </c>
      <c r="H52" s="379">
        <f>Levers!E39</f>
        <v>2739.480145674193</v>
      </c>
      <c r="I52" s="379">
        <f>Levers!F39</f>
        <v>3755.9693598025656</v>
      </c>
      <c r="J52" s="379">
        <f>Levers!G39</f>
        <v>4106.3823449723413</v>
      </c>
      <c r="K52" s="379">
        <f>Levers!H39</f>
        <v>4986.5939301855451</v>
      </c>
      <c r="L52" s="379">
        <f>Levers!I39</f>
        <v>5248.494719659574</v>
      </c>
      <c r="R52" s="287"/>
    </row>
    <row r="53" spans="1:18" hidden="1">
      <c r="A53" s="290">
        <f>ROW()</f>
        <v>53</v>
      </c>
      <c r="B53" s="30"/>
      <c r="C53" s="30"/>
      <c r="D53" s="30"/>
      <c r="E53" s="30"/>
      <c r="F53" s="429"/>
      <c r="G53" s="429"/>
      <c r="H53" s="429"/>
      <c r="I53" s="429"/>
      <c r="J53" s="429"/>
      <c r="K53" s="429"/>
      <c r="L53" s="429"/>
      <c r="R53" s="287"/>
    </row>
    <row r="54" spans="1:18">
      <c r="A54" s="290">
        <f>ROW()</f>
        <v>54</v>
      </c>
      <c r="B54" s="1307" t="s">
        <v>611</v>
      </c>
      <c r="C54" s="1307"/>
      <c r="D54" s="1307"/>
      <c r="E54" s="396"/>
      <c r="F54" s="502"/>
      <c r="G54" s="503"/>
      <c r="H54" s="503"/>
      <c r="I54" s="503"/>
      <c r="J54" s="503"/>
      <c r="K54" s="503"/>
      <c r="L54" s="503"/>
      <c r="M54" s="83"/>
      <c r="N54" s="39"/>
      <c r="O54" s="39"/>
      <c r="R54" s="287"/>
    </row>
    <row r="55" spans="1:18">
      <c r="A55" s="290">
        <f>ROW()</f>
        <v>55</v>
      </c>
      <c r="B55" s="32" t="s">
        <v>427</v>
      </c>
      <c r="E55" s="44"/>
      <c r="F55" s="87">
        <f>+Staff!G17</f>
        <v>0</v>
      </c>
      <c r="G55" s="504">
        <f>+Staff!H17</f>
        <v>1</v>
      </c>
      <c r="H55" s="504">
        <f>+Staff!I17</f>
        <v>2</v>
      </c>
      <c r="I55" s="504">
        <f>+Staff!J17</f>
        <v>2</v>
      </c>
      <c r="J55" s="504">
        <f>+Staff!K17</f>
        <v>2</v>
      </c>
      <c r="K55" s="504">
        <f>+Staff!L17</f>
        <v>2</v>
      </c>
      <c r="L55" s="504">
        <f>+Staff!M17</f>
        <v>2</v>
      </c>
      <c r="M55" s="83"/>
      <c r="N55" s="39"/>
      <c r="O55" s="39"/>
      <c r="R55" s="287"/>
    </row>
    <row r="56" spans="1:18">
      <c r="A56" s="290">
        <f>ROW()</f>
        <v>56</v>
      </c>
      <c r="B56" s="66" t="s">
        <v>428</v>
      </c>
      <c r="C56" s="66"/>
      <c r="D56" s="66"/>
      <c r="E56" s="1235"/>
      <c r="F56" s="379">
        <f>+Staff!G18</f>
        <v>0</v>
      </c>
      <c r="G56" s="1236">
        <f>+Staff!H18</f>
        <v>2</v>
      </c>
      <c r="H56" s="1236">
        <f>+Staff!I18</f>
        <v>2</v>
      </c>
      <c r="I56" s="1236">
        <f>+Staff!J18</f>
        <v>2</v>
      </c>
      <c r="J56" s="1236">
        <f>+Staff!K18</f>
        <v>2</v>
      </c>
      <c r="K56" s="1236">
        <f>+Staff!L18</f>
        <v>2</v>
      </c>
      <c r="L56" s="1236">
        <f>+Staff!M18</f>
        <v>2</v>
      </c>
      <c r="M56" s="83"/>
      <c r="N56" s="39"/>
      <c r="O56" s="39"/>
      <c r="R56" s="287"/>
    </row>
    <row r="57" spans="1:18">
      <c r="A57" s="290">
        <f>ROW()</f>
        <v>57</v>
      </c>
      <c r="B57" s="66" t="s">
        <v>429</v>
      </c>
      <c r="C57" s="66"/>
      <c r="D57" s="66"/>
      <c r="E57" s="1235"/>
      <c r="F57" s="379">
        <f>+Staff!G19</f>
        <v>0</v>
      </c>
      <c r="G57" s="1236">
        <f>+Staff!H19</f>
        <v>1</v>
      </c>
      <c r="H57" s="1236">
        <f>+Staff!I19</f>
        <v>2</v>
      </c>
      <c r="I57" s="1236">
        <f>+Staff!J19</f>
        <v>2</v>
      </c>
      <c r="J57" s="1236">
        <f>+Staff!K19</f>
        <v>3</v>
      </c>
      <c r="K57" s="1236">
        <f>+Staff!L19</f>
        <v>3</v>
      </c>
      <c r="L57" s="1236">
        <f>+Staff!M19</f>
        <v>3</v>
      </c>
      <c r="M57" s="83"/>
      <c r="N57" s="39"/>
      <c r="O57" s="39"/>
      <c r="R57" s="287"/>
    </row>
    <row r="58" spans="1:18">
      <c r="A58" s="290">
        <f>ROW()</f>
        <v>58</v>
      </c>
      <c r="B58" s="66" t="s">
        <v>430</v>
      </c>
      <c r="C58" s="66"/>
      <c r="D58" s="66"/>
      <c r="E58" s="1235"/>
      <c r="F58" s="379">
        <f>+Staff!G20</f>
        <v>0</v>
      </c>
      <c r="G58" s="1236">
        <f>+Staff!H20</f>
        <v>0.5</v>
      </c>
      <c r="H58" s="1236">
        <f>+Staff!I20</f>
        <v>0.5</v>
      </c>
      <c r="I58" s="1236">
        <f>+Staff!J20</f>
        <v>1</v>
      </c>
      <c r="J58" s="1236">
        <f>+Staff!K20</f>
        <v>1</v>
      </c>
      <c r="K58" s="1236">
        <f>+Staff!L20</f>
        <v>1</v>
      </c>
      <c r="L58" s="1236">
        <f>+Staff!M20</f>
        <v>1</v>
      </c>
      <c r="M58" s="83"/>
      <c r="N58" s="39"/>
      <c r="O58" s="39"/>
      <c r="R58" s="287"/>
    </row>
    <row r="59" spans="1:18">
      <c r="A59" s="290">
        <f>ROW()</f>
        <v>59</v>
      </c>
      <c r="B59" s="66" t="s">
        <v>431</v>
      </c>
      <c r="C59" s="66"/>
      <c r="D59" s="66"/>
      <c r="E59" s="1235"/>
      <c r="F59" s="379">
        <f>+Staff!G21</f>
        <v>0</v>
      </c>
      <c r="G59" s="1236">
        <f>+Staff!H21</f>
        <v>1</v>
      </c>
      <c r="H59" s="1236">
        <f>+Staff!I21</f>
        <v>1</v>
      </c>
      <c r="I59" s="1236">
        <f>+Staff!J21</f>
        <v>2</v>
      </c>
      <c r="J59" s="1236">
        <f>+Staff!K21</f>
        <v>2</v>
      </c>
      <c r="K59" s="1236">
        <f>+Staff!L21</f>
        <v>3</v>
      </c>
      <c r="L59" s="1236">
        <f>+Staff!M21</f>
        <v>3</v>
      </c>
      <c r="M59" s="83"/>
      <c r="N59" s="39"/>
      <c r="O59" s="39"/>
      <c r="R59" s="287"/>
    </row>
    <row r="60" spans="1:18">
      <c r="A60" s="290">
        <f>ROW()</f>
        <v>60</v>
      </c>
      <c r="B60" s="32" t="s">
        <v>432</v>
      </c>
      <c r="E60" s="396"/>
      <c r="F60" s="87">
        <f>+Staff!G22</f>
        <v>0</v>
      </c>
      <c r="G60" s="504">
        <f>+Staff!H22</f>
        <v>9</v>
      </c>
      <c r="H60" s="504">
        <f>+Staff!I22</f>
        <v>14</v>
      </c>
      <c r="I60" s="504">
        <f>+Staff!J22</f>
        <v>16</v>
      </c>
      <c r="J60" s="504">
        <f>+Staff!K22</f>
        <v>20</v>
      </c>
      <c r="K60" s="504">
        <f>+Staff!L22</f>
        <v>20</v>
      </c>
      <c r="L60" s="504">
        <f>+Staff!M22</f>
        <v>20</v>
      </c>
      <c r="M60" s="83"/>
      <c r="N60" s="39"/>
      <c r="O60" s="39"/>
      <c r="R60" s="287"/>
    </row>
    <row r="61" spans="1:18">
      <c r="A61" s="290">
        <f>ROW()</f>
        <v>61</v>
      </c>
      <c r="B61" s="106" t="s">
        <v>612</v>
      </c>
      <c r="C61" s="106"/>
      <c r="D61" s="106"/>
      <c r="E61" s="44"/>
      <c r="F61" s="1237">
        <f>SUM(F55:F60)</f>
        <v>0</v>
      </c>
      <c r="G61" s="1237">
        <f t="shared" ref="G61:L61" si="10">SUM(G55:G60)</f>
        <v>14.5</v>
      </c>
      <c r="H61" s="1237">
        <f t="shared" si="10"/>
        <v>21.5</v>
      </c>
      <c r="I61" s="1237">
        <f t="shared" si="10"/>
        <v>25</v>
      </c>
      <c r="J61" s="1237">
        <f t="shared" si="10"/>
        <v>30</v>
      </c>
      <c r="K61" s="1237">
        <f t="shared" si="10"/>
        <v>31</v>
      </c>
      <c r="L61" s="1237">
        <f t="shared" si="10"/>
        <v>31</v>
      </c>
      <c r="M61" s="83"/>
      <c r="N61" s="39"/>
      <c r="O61" s="39"/>
      <c r="R61" s="287"/>
    </row>
    <row r="62" spans="1:18">
      <c r="A62" s="290">
        <f>ROW()</f>
        <v>62</v>
      </c>
      <c r="M62" s="83"/>
      <c r="N62" s="39"/>
      <c r="O62" s="39"/>
      <c r="P62" s="85"/>
      <c r="Q62" s="85"/>
      <c r="R62" s="287"/>
    </row>
    <row r="63" spans="1:18">
      <c r="A63" s="290">
        <f>ROW()</f>
        <v>63</v>
      </c>
      <c r="B63" s="1709" t="s">
        <v>613</v>
      </c>
      <c r="C63" s="1710"/>
      <c r="D63" s="1709"/>
      <c r="E63" s="1709"/>
      <c r="F63" s="1711"/>
      <c r="G63" s="1711"/>
      <c r="H63" s="1711"/>
      <c r="I63" s="1711"/>
      <c r="J63" s="1711"/>
      <c r="K63" s="1711"/>
      <c r="L63" s="1711"/>
      <c r="R63" s="287"/>
    </row>
    <row r="64" spans="1:18">
      <c r="A64" s="290">
        <f>ROW()</f>
        <v>64</v>
      </c>
      <c r="B64" s="1509" t="s">
        <v>1187</v>
      </c>
      <c r="C64" s="1503"/>
      <c r="D64" s="1503"/>
      <c r="E64" s="1503"/>
      <c r="F64" s="1503"/>
      <c r="G64" s="1503"/>
      <c r="H64" s="1503"/>
      <c r="I64" s="1503"/>
      <c r="J64" s="1503"/>
      <c r="K64" s="1503"/>
      <c r="L64" s="1503"/>
      <c r="R64" s="287"/>
    </row>
    <row r="65" spans="1:18">
      <c r="A65" s="290">
        <f>ROW()</f>
        <v>65</v>
      </c>
      <c r="B65" s="1502" t="s">
        <v>1207</v>
      </c>
      <c r="C65" s="1712" t="s">
        <v>614</v>
      </c>
      <c r="D65" s="1648"/>
      <c r="E65" s="1648"/>
      <c r="F65" s="1713" t="s">
        <v>615</v>
      </c>
      <c r="G65" s="1502" t="s">
        <v>1368</v>
      </c>
      <c r="H65" s="1503"/>
      <c r="I65" s="1503"/>
      <c r="J65" s="1503"/>
      <c r="K65" s="1503"/>
      <c r="L65" s="1503"/>
      <c r="R65" s="287"/>
    </row>
    <row r="66" spans="1:18">
      <c r="A66" s="290">
        <f>ROW()</f>
        <v>66</v>
      </c>
      <c r="B66" s="66" t="s">
        <v>616</v>
      </c>
      <c r="C66" s="669">
        <v>0</v>
      </c>
      <c r="D66" s="84" t="s">
        <v>617</v>
      </c>
      <c r="E66" s="84"/>
      <c r="F66" s="1395">
        <v>0</v>
      </c>
      <c r="G66" s="662">
        <v>25000</v>
      </c>
      <c r="H66" s="662">
        <v>25000</v>
      </c>
      <c r="I66" s="662">
        <v>25000</v>
      </c>
      <c r="J66" s="662">
        <v>25000</v>
      </c>
      <c r="K66" s="662">
        <v>25000</v>
      </c>
      <c r="L66" s="662">
        <v>25000</v>
      </c>
      <c r="R66" s="287"/>
    </row>
    <row r="67" spans="1:18">
      <c r="A67" s="290">
        <f>ROW()</f>
        <v>67</v>
      </c>
      <c r="B67" s="66" t="s">
        <v>618</v>
      </c>
      <c r="C67" s="669">
        <v>0</v>
      </c>
      <c r="D67" s="84" t="s">
        <v>619</v>
      </c>
      <c r="E67" s="84"/>
      <c r="F67" s="1396">
        <v>0</v>
      </c>
      <c r="G67" s="598">
        <v>800</v>
      </c>
      <c r="H67" s="598">
        <v>800</v>
      </c>
      <c r="I67" s="598">
        <v>800</v>
      </c>
      <c r="J67" s="598">
        <v>800</v>
      </c>
      <c r="K67" s="598">
        <v>800</v>
      </c>
      <c r="L67" s="598">
        <v>800</v>
      </c>
      <c r="R67" s="287"/>
    </row>
    <row r="68" spans="1:18">
      <c r="A68" s="290">
        <f>ROW()</f>
        <v>68</v>
      </c>
      <c r="B68" s="66" t="s">
        <v>620</v>
      </c>
      <c r="C68" s="669">
        <v>0</v>
      </c>
      <c r="D68" s="84" t="s">
        <v>621</v>
      </c>
      <c r="E68" s="84"/>
      <c r="F68" s="1396">
        <v>0</v>
      </c>
      <c r="G68" s="598">
        <v>25000</v>
      </c>
      <c r="H68" s="598">
        <v>25000</v>
      </c>
      <c r="I68" s="598">
        <v>25000</v>
      </c>
      <c r="J68" s="598">
        <v>25000</v>
      </c>
      <c r="K68" s="598">
        <v>25000</v>
      </c>
      <c r="L68" s="598">
        <v>25000</v>
      </c>
      <c r="R68" s="287"/>
    </row>
    <row r="69" spans="1:18">
      <c r="A69" s="290">
        <f>ROW()</f>
        <v>69</v>
      </c>
      <c r="B69" s="66" t="s">
        <v>1276</v>
      </c>
      <c r="C69" s="669">
        <v>0</v>
      </c>
      <c r="D69" s="84"/>
      <c r="E69" s="84"/>
      <c r="F69" s="1396">
        <v>0</v>
      </c>
      <c r="G69" s="1714">
        <v>0</v>
      </c>
      <c r="H69" s="1714">
        <v>0</v>
      </c>
      <c r="I69" s="1714">
        <v>0</v>
      </c>
      <c r="J69" s="1714">
        <v>0</v>
      </c>
      <c r="K69" s="1714">
        <v>0</v>
      </c>
      <c r="L69" s="1714">
        <v>0</v>
      </c>
      <c r="R69" s="287"/>
    </row>
    <row r="70" spans="1:18">
      <c r="A70" s="290">
        <f>ROW()</f>
        <v>70</v>
      </c>
      <c r="B70" s="66" t="s">
        <v>622</v>
      </c>
      <c r="C70" s="669">
        <v>0</v>
      </c>
      <c r="D70" s="84" t="s">
        <v>305</v>
      </c>
      <c r="E70" s="84"/>
      <c r="F70" s="1396">
        <v>0</v>
      </c>
      <c r="G70" s="598">
        <v>25000</v>
      </c>
      <c r="H70" s="598">
        <f>$C$70*(' Enrol &amp; Rev'!H36-' Enrol &amp; Rev'!G36)</f>
        <v>0</v>
      </c>
      <c r="I70" s="598">
        <f>$C$70*(' Enrol &amp; Rev'!I36-' Enrol &amp; Rev'!H36)</f>
        <v>0</v>
      </c>
      <c r="J70" s="598">
        <f>$C$70*(' Enrol &amp; Rev'!J36-' Enrol &amp; Rev'!I36)</f>
        <v>0</v>
      </c>
      <c r="K70" s="598">
        <f>$C$70*(' Enrol &amp; Rev'!K36-' Enrol &amp; Rev'!J36)</f>
        <v>0</v>
      </c>
      <c r="L70" s="598">
        <f>$C$70*(' Enrol &amp; Rev'!L36-' Enrol &amp; Rev'!K36)</f>
        <v>0</v>
      </c>
      <c r="R70" s="287"/>
    </row>
    <row r="71" spans="1:18">
      <c r="A71" s="290">
        <f>ROW()</f>
        <v>71</v>
      </c>
      <c r="B71" s="66" t="s">
        <v>623</v>
      </c>
      <c r="C71" s="669">
        <v>0</v>
      </c>
      <c r="D71" s="84" t="s">
        <v>624</v>
      </c>
      <c r="E71" s="84"/>
      <c r="F71" s="1396">
        <v>0</v>
      </c>
      <c r="G71" s="598">
        <v>0</v>
      </c>
      <c r="H71" s="598">
        <v>0</v>
      </c>
      <c r="I71" s="598">
        <v>0</v>
      </c>
      <c r="J71" s="598">
        <v>10000</v>
      </c>
      <c r="K71" s="598">
        <v>0</v>
      </c>
      <c r="L71" s="598">
        <v>0</v>
      </c>
      <c r="R71" s="287"/>
    </row>
    <row r="72" spans="1:18">
      <c r="A72" s="290">
        <f>ROW()</f>
        <v>72</v>
      </c>
      <c r="B72" s="66" t="s">
        <v>625</v>
      </c>
      <c r="C72" s="669">
        <v>0</v>
      </c>
      <c r="D72" s="84" t="s">
        <v>626</v>
      </c>
      <c r="E72" s="84"/>
      <c r="F72" s="1396">
        <v>0</v>
      </c>
      <c r="G72" s="598">
        <f>$C$72*' Enrol &amp; Rev'!G36</f>
        <v>0</v>
      </c>
      <c r="H72" s="598">
        <f>$C$72*' Enrol &amp; Rev'!H36</f>
        <v>0</v>
      </c>
      <c r="I72" s="598">
        <f>$C$72*' Enrol &amp; Rev'!I36</f>
        <v>0</v>
      </c>
      <c r="J72" s="598">
        <f>$C$72*' Enrol &amp; Rev'!J36</f>
        <v>0</v>
      </c>
      <c r="K72" s="598">
        <f>$C$72*' Enrol &amp; Rev'!K36</f>
        <v>0</v>
      </c>
      <c r="L72" s="598">
        <f>$C$72*' Enrol &amp; Rev'!L36</f>
        <v>0</v>
      </c>
      <c r="R72" s="287"/>
    </row>
    <row r="73" spans="1:18">
      <c r="A73" s="290">
        <f>ROW()</f>
        <v>73</v>
      </c>
      <c r="B73" s="66" t="s">
        <v>627</v>
      </c>
      <c r="C73" s="201">
        <v>0</v>
      </c>
      <c r="D73" s="84" t="s">
        <v>305</v>
      </c>
      <c r="E73" s="84"/>
      <c r="F73" s="1396">
        <v>0</v>
      </c>
      <c r="G73" s="598">
        <f>$C$73*' Enrol &amp; Rev'!G36</f>
        <v>0</v>
      </c>
      <c r="H73" s="598">
        <f>$C$73*' Enrol &amp; Rev'!H36</f>
        <v>0</v>
      </c>
      <c r="I73" s="598">
        <f>$C$73*' Enrol &amp; Rev'!I36</f>
        <v>0</v>
      </c>
      <c r="J73" s="598">
        <f>$C$73*' Enrol &amp; Rev'!J36</f>
        <v>0</v>
      </c>
      <c r="K73" s="598">
        <f>$C$73*' Enrol &amp; Rev'!K36</f>
        <v>0</v>
      </c>
      <c r="L73" s="598">
        <f>$C$73*' Enrol &amp; Rev'!L36</f>
        <v>0</v>
      </c>
      <c r="R73" s="287"/>
    </row>
    <row r="74" spans="1:18">
      <c r="A74" s="290">
        <f>ROW()</f>
        <v>74</v>
      </c>
      <c r="B74" s="66" t="s">
        <v>628</v>
      </c>
      <c r="C74" s="201">
        <v>0</v>
      </c>
      <c r="D74" s="84" t="s">
        <v>629</v>
      </c>
      <c r="E74" s="84"/>
      <c r="F74" s="1396">
        <v>0</v>
      </c>
      <c r="G74" s="761">
        <f>$C$74*' Enrol &amp; Rev'!G36</f>
        <v>0</v>
      </c>
      <c r="H74" s="761">
        <f>$C$74*' Enrol &amp; Rev'!H36</f>
        <v>0</v>
      </c>
      <c r="I74" s="761">
        <f>$C$74*' Enrol &amp; Rev'!I36</f>
        <v>0</v>
      </c>
      <c r="J74" s="761">
        <f>$C$74*' Enrol &amp; Rev'!J36</f>
        <v>0</v>
      </c>
      <c r="K74" s="761">
        <f>$C$74*' Enrol &amp; Rev'!K36</f>
        <v>0</v>
      </c>
      <c r="L74" s="761">
        <f>$C$74*' Enrol &amp; Rev'!L36</f>
        <v>0</v>
      </c>
      <c r="R74" s="287"/>
    </row>
    <row r="75" spans="1:18">
      <c r="A75" s="290">
        <f>ROW()</f>
        <v>75</v>
      </c>
      <c r="B75" s="66" t="s">
        <v>1277</v>
      </c>
      <c r="C75" s="669">
        <v>0</v>
      </c>
      <c r="D75" s="84" t="s">
        <v>630</v>
      </c>
      <c r="E75" s="84"/>
      <c r="F75" s="1396">
        <v>0</v>
      </c>
      <c r="G75" s="598">
        <f>(' Enrol &amp; Rev'!G119+' Enrol &amp; Rev'!G135)*$C$75</f>
        <v>0</v>
      </c>
      <c r="H75" s="598">
        <f>(' Enrol &amp; Rev'!H119+' Enrol &amp; Rev'!H135)*$C$75</f>
        <v>0</v>
      </c>
      <c r="I75" s="598">
        <f>(' Enrol &amp; Rev'!I119+' Enrol &amp; Rev'!I135)*$C$75</f>
        <v>0</v>
      </c>
      <c r="J75" s="598">
        <f>(' Enrol &amp; Rev'!J119+' Enrol &amp; Rev'!J135)*$C$75</f>
        <v>0</v>
      </c>
      <c r="K75" s="598">
        <f>(' Enrol &amp; Rev'!K119+' Enrol &amp; Rev'!K135)*$C$75</f>
        <v>0</v>
      </c>
      <c r="L75" s="598">
        <f>(' Enrol &amp; Rev'!L119+' Enrol &amp; Rev'!L135)*$C$75</f>
        <v>0</v>
      </c>
      <c r="R75" s="287"/>
    </row>
    <row r="76" spans="1:18">
      <c r="A76" s="290">
        <f>ROW()</f>
        <v>76</v>
      </c>
      <c r="B76" s="66" t="s">
        <v>631</v>
      </c>
      <c r="C76" s="669">
        <v>0</v>
      </c>
      <c r="D76" s="84" t="s">
        <v>630</v>
      </c>
      <c r="E76" s="84"/>
      <c r="F76" s="1396">
        <v>0</v>
      </c>
      <c r="G76" s="598">
        <f>(' Enrol &amp; Rev'!G119+' Enrol &amp; Rev'!G135)*$C$76</f>
        <v>0</v>
      </c>
      <c r="H76" s="598">
        <f>(' Enrol &amp; Rev'!H119+' Enrol &amp; Rev'!H135)*$C$76</f>
        <v>0</v>
      </c>
      <c r="I76" s="598">
        <f>(' Enrol &amp; Rev'!I119+' Enrol &amp; Rev'!I135)*$C$76</f>
        <v>0</v>
      </c>
      <c r="J76" s="598">
        <f>(' Enrol &amp; Rev'!J119+' Enrol &amp; Rev'!J135)*$C$76</f>
        <v>0</v>
      </c>
      <c r="K76" s="598">
        <f>(' Enrol &amp; Rev'!K119+' Enrol &amp; Rev'!K135)*$C$76</f>
        <v>0</v>
      </c>
      <c r="L76" s="598">
        <f>(' Enrol &amp; Rev'!L119+' Enrol &amp; Rev'!L135)*$C$76</f>
        <v>0</v>
      </c>
      <c r="R76" s="287"/>
    </row>
    <row r="77" spans="1:18">
      <c r="A77" s="290">
        <f>ROW()</f>
        <v>77</v>
      </c>
      <c r="B77" s="66" t="s">
        <v>632</v>
      </c>
      <c r="C77" s="669">
        <v>0</v>
      </c>
      <c r="D77" s="84" t="s">
        <v>305</v>
      </c>
      <c r="E77" s="84"/>
      <c r="F77" s="1396">
        <v>0</v>
      </c>
      <c r="G77" s="596">
        <v>5000</v>
      </c>
      <c r="H77" s="596">
        <v>5000</v>
      </c>
      <c r="I77" s="596">
        <v>5000</v>
      </c>
      <c r="J77" s="596">
        <v>5000</v>
      </c>
      <c r="K77" s="596">
        <v>5000</v>
      </c>
      <c r="L77" s="596">
        <v>5000</v>
      </c>
      <c r="R77" s="287"/>
    </row>
    <row r="78" spans="1:18">
      <c r="A78" s="290">
        <f>ROW()</f>
        <v>78</v>
      </c>
      <c r="B78" s="66" t="s">
        <v>633</v>
      </c>
      <c r="C78" s="669">
        <v>0</v>
      </c>
      <c r="D78" s="84" t="s">
        <v>305</v>
      </c>
      <c r="E78" s="84"/>
      <c r="F78" s="1396">
        <v>0</v>
      </c>
      <c r="G78" s="596">
        <v>3000</v>
      </c>
      <c r="H78" s="596">
        <v>1500</v>
      </c>
      <c r="I78" s="596">
        <v>1500</v>
      </c>
      <c r="J78" s="596">
        <v>1500</v>
      </c>
      <c r="K78" s="596">
        <v>1500</v>
      </c>
      <c r="L78" s="596">
        <v>1500</v>
      </c>
      <c r="R78" s="287"/>
    </row>
    <row r="79" spans="1:18">
      <c r="A79" s="290">
        <f>ROW()</f>
        <v>79</v>
      </c>
      <c r="B79" s="66" t="s">
        <v>634</v>
      </c>
      <c r="C79" s="669">
        <v>0</v>
      </c>
      <c r="D79" s="84" t="s">
        <v>305</v>
      </c>
      <c r="E79" s="84"/>
      <c r="F79" s="1396">
        <v>0</v>
      </c>
      <c r="G79" s="596">
        <f>$C$78*' Enrol &amp; Rev'!G$36</f>
        <v>0</v>
      </c>
      <c r="H79" s="596">
        <f>$C$78*' Enrol &amp; Rev'!H$36</f>
        <v>0</v>
      </c>
      <c r="I79" s="596">
        <f>$C$78*' Enrol &amp; Rev'!I$36</f>
        <v>0</v>
      </c>
      <c r="J79" s="596">
        <f>$C$78*' Enrol &amp; Rev'!J$36</f>
        <v>0</v>
      </c>
      <c r="K79" s="596">
        <f>$C$78*' Enrol &amp; Rev'!K$36</f>
        <v>0</v>
      </c>
      <c r="L79" s="596">
        <f>$C$78*' Enrol &amp; Rev'!L$36</f>
        <v>0</v>
      </c>
      <c r="R79" s="287"/>
    </row>
    <row r="80" spans="1:18">
      <c r="A80" s="290">
        <f>ROW()</f>
        <v>80</v>
      </c>
      <c r="B80" s="66" t="s">
        <v>635</v>
      </c>
      <c r="C80" s="669">
        <v>0</v>
      </c>
      <c r="D80" s="84" t="s">
        <v>305</v>
      </c>
      <c r="E80" s="84"/>
      <c r="F80" s="1396">
        <v>0</v>
      </c>
      <c r="G80" s="596">
        <f>$C$80*' Enrol &amp; Rev'!G36</f>
        <v>0</v>
      </c>
      <c r="H80" s="596">
        <f>$C$80*' Enrol &amp; Rev'!H36</f>
        <v>0</v>
      </c>
      <c r="I80" s="596">
        <f>$C$80*' Enrol &amp; Rev'!I36</f>
        <v>0</v>
      </c>
      <c r="J80" s="596">
        <f>$C$80*' Enrol &amp; Rev'!J36</f>
        <v>0</v>
      </c>
      <c r="K80" s="596">
        <f>$C$80*' Enrol &amp; Rev'!K36</f>
        <v>0</v>
      </c>
      <c r="L80" s="596">
        <f>$C$80*' Enrol &amp; Rev'!L36</f>
        <v>0</v>
      </c>
      <c r="R80" s="287"/>
    </row>
    <row r="81" spans="1:18">
      <c r="A81" s="290">
        <f>ROW()</f>
        <v>81</v>
      </c>
      <c r="B81" s="66" t="s">
        <v>636</v>
      </c>
      <c r="C81" s="669">
        <v>0</v>
      </c>
      <c r="D81" s="84" t="s">
        <v>305</v>
      </c>
      <c r="E81" s="84"/>
      <c r="F81" s="1396">
        <v>0</v>
      </c>
      <c r="G81" s="596">
        <f>$C$81*' Enrol &amp; Rev'!G36</f>
        <v>0</v>
      </c>
      <c r="H81" s="596">
        <f>$C$81*' Enrol &amp; Rev'!H36</f>
        <v>0</v>
      </c>
      <c r="I81" s="596">
        <f>$C$81*' Enrol &amp; Rev'!I36</f>
        <v>0</v>
      </c>
      <c r="J81" s="596">
        <f>$C$81*' Enrol &amp; Rev'!J36</f>
        <v>0</v>
      </c>
      <c r="K81" s="596">
        <f>$C$81*' Enrol &amp; Rev'!K36</f>
        <v>0</v>
      </c>
      <c r="L81" s="596">
        <f>$C$81*' Enrol &amp; Rev'!L36</f>
        <v>0</v>
      </c>
      <c r="R81" s="287"/>
    </row>
    <row r="82" spans="1:18">
      <c r="A82" s="290">
        <f>ROW()</f>
        <v>82</v>
      </c>
      <c r="B82" s="66" t="s">
        <v>637</v>
      </c>
      <c r="C82" s="669">
        <v>0</v>
      </c>
      <c r="D82" s="84" t="s">
        <v>300</v>
      </c>
      <c r="E82" s="84"/>
      <c r="F82" s="1396">
        <v>0</v>
      </c>
      <c r="G82" s="596">
        <f>$C$82*' Enrol &amp; Rev'!G36*' Enrol &amp; Rev'!G94</f>
        <v>0</v>
      </c>
      <c r="H82" s="596">
        <f>$C$82*' Enrol &amp; Rev'!H36*' Enrol &amp; Rev'!H94</f>
        <v>0</v>
      </c>
      <c r="I82" s="596">
        <f>$C$82*' Enrol &amp; Rev'!I36*' Enrol &amp; Rev'!I94</f>
        <v>0</v>
      </c>
      <c r="J82" s="596">
        <f>$C$82*' Enrol &amp; Rev'!J36*' Enrol &amp; Rev'!J94</f>
        <v>0</v>
      </c>
      <c r="K82" s="596">
        <f>$C$82*' Enrol &amp; Rev'!K36*' Enrol &amp; Rev'!K94</f>
        <v>0</v>
      </c>
      <c r="L82" s="596">
        <f>$C$82*' Enrol &amp; Rev'!L36*' Enrol &amp; Rev'!L94</f>
        <v>0</v>
      </c>
      <c r="R82" s="287"/>
    </row>
    <row r="83" spans="1:18">
      <c r="A83" s="290">
        <f>ROW()</f>
        <v>83</v>
      </c>
      <c r="B83" s="66" t="s">
        <v>1275</v>
      </c>
      <c r="C83" s="669">
        <v>0</v>
      </c>
      <c r="D83" s="84" t="s">
        <v>638</v>
      </c>
      <c r="E83" s="84"/>
      <c r="F83" s="1396">
        <v>0</v>
      </c>
      <c r="G83" s="596">
        <v>5000</v>
      </c>
      <c r="H83" s="596">
        <v>5000</v>
      </c>
      <c r="I83" s="596">
        <v>5000</v>
      </c>
      <c r="J83" s="596">
        <v>5000</v>
      </c>
      <c r="K83" s="596">
        <v>5000</v>
      </c>
      <c r="L83" s="596">
        <v>5000</v>
      </c>
      <c r="R83" s="287"/>
    </row>
    <row r="84" spans="1:18">
      <c r="A84" s="290">
        <f>ROW()</f>
        <v>84</v>
      </c>
      <c r="B84" s="66" t="s">
        <v>639</v>
      </c>
      <c r="C84" s="669">
        <v>0</v>
      </c>
      <c r="D84" s="84" t="s">
        <v>640</v>
      </c>
      <c r="E84" s="84"/>
      <c r="F84" s="1396">
        <v>0</v>
      </c>
      <c r="G84" s="596">
        <f t="shared" ref="G84:L84" si="11">$C$84*12</f>
        <v>0</v>
      </c>
      <c r="H84" s="596">
        <f t="shared" si="11"/>
        <v>0</v>
      </c>
      <c r="I84" s="596">
        <f t="shared" si="11"/>
        <v>0</v>
      </c>
      <c r="J84" s="596">
        <f t="shared" si="11"/>
        <v>0</v>
      </c>
      <c r="K84" s="596">
        <f t="shared" si="11"/>
        <v>0</v>
      </c>
      <c r="L84" s="596">
        <f t="shared" si="11"/>
        <v>0</v>
      </c>
      <c r="R84" s="287"/>
    </row>
    <row r="85" spans="1:18">
      <c r="A85" s="290">
        <f>ROW()</f>
        <v>85</v>
      </c>
      <c r="B85" s="66" t="s">
        <v>641</v>
      </c>
      <c r="C85" s="669">
        <v>0</v>
      </c>
      <c r="D85" s="84" t="s">
        <v>642</v>
      </c>
      <c r="E85" s="84"/>
      <c r="F85" s="1396">
        <v>0</v>
      </c>
      <c r="G85" s="596">
        <f>$C$85*(' Enrol &amp; Rev'!G36-' Enrol &amp; Rev'!F36)</f>
        <v>0</v>
      </c>
      <c r="H85" s="596">
        <f>$C$85*(' Enrol &amp; Rev'!H36-' Enrol &amp; Rev'!G36)</f>
        <v>0</v>
      </c>
      <c r="I85" s="596">
        <f>$C$85*(' Enrol &amp; Rev'!I36-' Enrol &amp; Rev'!H36)</f>
        <v>0</v>
      </c>
      <c r="J85" s="596">
        <f>$C$85*(' Enrol &amp; Rev'!J36-' Enrol &amp; Rev'!I36)</f>
        <v>0</v>
      </c>
      <c r="K85" s="596">
        <f>$C$85*(' Enrol &amp; Rev'!K36-' Enrol &amp; Rev'!J36)</f>
        <v>0</v>
      </c>
      <c r="L85" s="596">
        <f>$C$85*(' Enrol &amp; Rev'!L36-' Enrol &amp; Rev'!K36)</f>
        <v>0</v>
      </c>
      <c r="R85" s="287"/>
    </row>
    <row r="86" spans="1:18">
      <c r="A86" s="290">
        <f>ROW()</f>
        <v>86</v>
      </c>
      <c r="B86" s="66" t="s">
        <v>1279</v>
      </c>
      <c r="C86" s="669">
        <v>0</v>
      </c>
      <c r="D86" s="84" t="s">
        <v>1278</v>
      </c>
      <c r="E86" s="84"/>
      <c r="F86" s="1396">
        <v>0</v>
      </c>
      <c r="G86" s="596">
        <v>0</v>
      </c>
      <c r="H86" s="596">
        <v>0</v>
      </c>
      <c r="I86" s="596">
        <v>0</v>
      </c>
      <c r="J86" s="596">
        <v>0</v>
      </c>
      <c r="K86" s="596">
        <v>0</v>
      </c>
      <c r="L86" s="596">
        <v>0</v>
      </c>
      <c r="R86" s="287"/>
    </row>
    <row r="87" spans="1:18">
      <c r="A87" s="290">
        <f>ROW()</f>
        <v>87</v>
      </c>
      <c r="B87" s="66" t="s">
        <v>1280</v>
      </c>
      <c r="C87" s="669">
        <v>0</v>
      </c>
      <c r="D87" s="84" t="s">
        <v>643</v>
      </c>
      <c r="E87" s="84"/>
      <c r="F87" s="1396">
        <v>0</v>
      </c>
      <c r="G87" s="596">
        <f t="shared" ref="G87:L87" si="12">$C$87</f>
        <v>0</v>
      </c>
      <c r="H87" s="596">
        <f t="shared" si="12"/>
        <v>0</v>
      </c>
      <c r="I87" s="596">
        <f t="shared" si="12"/>
        <v>0</v>
      </c>
      <c r="J87" s="596">
        <f t="shared" si="12"/>
        <v>0</v>
      </c>
      <c r="K87" s="596">
        <f t="shared" si="12"/>
        <v>0</v>
      </c>
      <c r="L87" s="596">
        <f t="shared" si="12"/>
        <v>0</v>
      </c>
      <c r="R87" s="287"/>
    </row>
    <row r="88" spans="1:18">
      <c r="A88" s="290">
        <f>ROW()</f>
        <v>88</v>
      </c>
      <c r="B88" s="66" t="s">
        <v>644</v>
      </c>
      <c r="C88" s="669">
        <v>0</v>
      </c>
      <c r="D88" s="84" t="s">
        <v>645</v>
      </c>
      <c r="E88" s="84"/>
      <c r="F88" s="1396">
        <v>0</v>
      </c>
      <c r="G88" s="596">
        <v>2000</v>
      </c>
      <c r="H88" s="596">
        <v>500</v>
      </c>
      <c r="I88" s="596">
        <v>500</v>
      </c>
      <c r="J88" s="596">
        <v>500</v>
      </c>
      <c r="K88" s="596">
        <v>500</v>
      </c>
      <c r="L88" s="596">
        <v>500</v>
      </c>
      <c r="R88" s="287"/>
    </row>
    <row r="89" spans="1:18">
      <c r="A89" s="290">
        <f>ROW()</f>
        <v>89</v>
      </c>
      <c r="B89" s="66" t="s">
        <v>646</v>
      </c>
      <c r="C89" s="669">
        <v>0</v>
      </c>
      <c r="D89" s="84" t="s">
        <v>643</v>
      </c>
      <c r="E89" s="84"/>
      <c r="F89" s="1396">
        <v>0</v>
      </c>
      <c r="G89" s="596">
        <f t="shared" ref="G89:L89" si="13">$C$89</f>
        <v>0</v>
      </c>
      <c r="H89" s="596">
        <f t="shared" si="13"/>
        <v>0</v>
      </c>
      <c r="I89" s="596">
        <f t="shared" si="13"/>
        <v>0</v>
      </c>
      <c r="J89" s="596">
        <f t="shared" si="13"/>
        <v>0</v>
      </c>
      <c r="K89" s="596">
        <f t="shared" si="13"/>
        <v>0</v>
      </c>
      <c r="L89" s="596">
        <f t="shared" si="13"/>
        <v>0</v>
      </c>
      <c r="R89" s="287"/>
    </row>
    <row r="90" spans="1:18">
      <c r="A90" s="290">
        <f>ROW()</f>
        <v>90</v>
      </c>
      <c r="B90" s="66" t="s">
        <v>647</v>
      </c>
      <c r="C90" s="669">
        <v>0</v>
      </c>
      <c r="D90" s="84" t="s">
        <v>629</v>
      </c>
      <c r="E90" s="84"/>
      <c r="F90" s="1396">
        <v>0</v>
      </c>
      <c r="G90" s="596">
        <f>+G197</f>
        <v>0</v>
      </c>
      <c r="H90" s="596">
        <f t="shared" ref="H90:L90" si="14">+H197</f>
        <v>0</v>
      </c>
      <c r="I90" s="596">
        <f t="shared" si="14"/>
        <v>0</v>
      </c>
      <c r="J90" s="596">
        <f t="shared" si="14"/>
        <v>0</v>
      </c>
      <c r="K90" s="596">
        <f t="shared" si="14"/>
        <v>0</v>
      </c>
      <c r="L90" s="596">
        <f t="shared" si="14"/>
        <v>0</v>
      </c>
      <c r="R90" s="287"/>
    </row>
    <row r="91" spans="1:18">
      <c r="A91" s="290">
        <f>ROW()</f>
        <v>91</v>
      </c>
      <c r="B91" s="66" t="s">
        <v>648</v>
      </c>
      <c r="C91" s="669">
        <v>0</v>
      </c>
      <c r="D91" s="84" t="s">
        <v>305</v>
      </c>
      <c r="E91" s="84"/>
      <c r="F91" s="1396">
        <v>0</v>
      </c>
      <c r="G91" s="596">
        <f>$C$91*' Enrol &amp; Rev'!G36</f>
        <v>0</v>
      </c>
      <c r="H91" s="596">
        <f>$C$91*' Enrol &amp; Rev'!H36</f>
        <v>0</v>
      </c>
      <c r="I91" s="596">
        <f>$C$91*' Enrol &amp; Rev'!I36</f>
        <v>0</v>
      </c>
      <c r="J91" s="596">
        <f>$C$91*' Enrol &amp; Rev'!J36</f>
        <v>0</v>
      </c>
      <c r="K91" s="596">
        <f>$C$91*' Enrol &amp; Rev'!K36</f>
        <v>0</v>
      </c>
      <c r="L91" s="596">
        <f>$C$91*' Enrol &amp; Rev'!L36</f>
        <v>0</v>
      </c>
      <c r="R91" s="287"/>
    </row>
    <row r="92" spans="1:18">
      <c r="A92" s="290">
        <f>ROW()</f>
        <v>92</v>
      </c>
      <c r="B92" s="66" t="s">
        <v>649</v>
      </c>
      <c r="C92" s="669">
        <v>0</v>
      </c>
      <c r="D92" s="84" t="s">
        <v>305</v>
      </c>
      <c r="E92" s="84"/>
      <c r="F92" s="1396">
        <v>0</v>
      </c>
      <c r="G92" s="596">
        <f>$C$92*' Enrol &amp; Rev'!G36</f>
        <v>0</v>
      </c>
      <c r="H92" s="596">
        <f>$C$92*' Enrol &amp; Rev'!H36</f>
        <v>0</v>
      </c>
      <c r="I92" s="596">
        <f>$C$92*' Enrol &amp; Rev'!I36</f>
        <v>0</v>
      </c>
      <c r="J92" s="596">
        <f>$C$92*' Enrol &amp; Rev'!J36</f>
        <v>0</v>
      </c>
      <c r="K92" s="596">
        <f>$C$92*' Enrol &amp; Rev'!K36</f>
        <v>0</v>
      </c>
      <c r="L92" s="596">
        <f>$C$92*' Enrol &amp; Rev'!L36</f>
        <v>0</v>
      </c>
      <c r="R92" s="287"/>
    </row>
    <row r="93" spans="1:18">
      <c r="A93" s="290">
        <f>ROW()</f>
        <v>93</v>
      </c>
      <c r="B93" s="66" t="s">
        <v>650</v>
      </c>
      <c r="C93" s="669">
        <v>0</v>
      </c>
      <c r="D93" s="84" t="s">
        <v>617</v>
      </c>
      <c r="E93" s="84"/>
      <c r="F93" s="1396">
        <v>0</v>
      </c>
      <c r="G93" s="596">
        <f>$C$93*Staff!H$24</f>
        <v>0</v>
      </c>
      <c r="H93" s="596">
        <f>$C$93*Staff!I$24</f>
        <v>0</v>
      </c>
      <c r="I93" s="596">
        <f>$C$93*Staff!J$24</f>
        <v>0</v>
      </c>
      <c r="J93" s="596">
        <f>$C$93*Staff!K$24</f>
        <v>0</v>
      </c>
      <c r="K93" s="596">
        <f>$C$93*Staff!L$24</f>
        <v>0</v>
      </c>
      <c r="L93" s="596">
        <f>$C$93*Staff!M$24</f>
        <v>0</v>
      </c>
      <c r="R93" s="287"/>
    </row>
    <row r="94" spans="1:18">
      <c r="A94" s="290">
        <f>ROW()</f>
        <v>94</v>
      </c>
      <c r="B94" s="66" t="s">
        <v>651</v>
      </c>
      <c r="C94" s="669">
        <v>0</v>
      </c>
      <c r="D94" s="84" t="s">
        <v>617</v>
      </c>
      <c r="E94" s="84"/>
      <c r="F94" s="1396">
        <v>0</v>
      </c>
      <c r="G94" s="596">
        <f>$C$94*Staff!H$24</f>
        <v>0</v>
      </c>
      <c r="H94" s="596">
        <f>$C$94*Staff!I$24</f>
        <v>0</v>
      </c>
      <c r="I94" s="596">
        <f>$C$94*Staff!J$24</f>
        <v>0</v>
      </c>
      <c r="J94" s="596">
        <f>$C$94*Staff!K$24</f>
        <v>0</v>
      </c>
      <c r="K94" s="596">
        <f>$C$94*Staff!L$24</f>
        <v>0</v>
      </c>
      <c r="L94" s="596">
        <f>$C$94*Staff!M$24</f>
        <v>0</v>
      </c>
      <c r="R94" s="287"/>
    </row>
    <row r="95" spans="1:18">
      <c r="A95" s="290">
        <f>ROW()</f>
        <v>95</v>
      </c>
      <c r="B95" s="66" t="s">
        <v>652</v>
      </c>
      <c r="C95" s="669">
        <v>0</v>
      </c>
      <c r="D95" s="84" t="s">
        <v>617</v>
      </c>
      <c r="E95" s="84"/>
      <c r="F95" s="1396">
        <v>0</v>
      </c>
      <c r="G95" s="596">
        <f>$C$95*Staff!H$24</f>
        <v>0</v>
      </c>
      <c r="H95" s="596">
        <f>$C$95*Staff!I$24</f>
        <v>0</v>
      </c>
      <c r="I95" s="596">
        <f>$C$95*Staff!J$24</f>
        <v>0</v>
      </c>
      <c r="J95" s="596">
        <f>$C$95*Staff!K$24</f>
        <v>0</v>
      </c>
      <c r="K95" s="596">
        <f>$C$95*Staff!L$24</f>
        <v>0</v>
      </c>
      <c r="L95" s="596">
        <f>$C$95*Staff!M$24</f>
        <v>0</v>
      </c>
      <c r="R95" s="287"/>
    </row>
    <row r="96" spans="1:18">
      <c r="A96" s="290">
        <f>ROW()</f>
        <v>96</v>
      </c>
      <c r="B96" s="66" t="s">
        <v>653</v>
      </c>
      <c r="C96" s="669">
        <v>0</v>
      </c>
      <c r="D96" s="84" t="s">
        <v>654</v>
      </c>
      <c r="E96" s="84"/>
      <c r="F96" s="1396">
        <v>0</v>
      </c>
      <c r="G96" s="596">
        <f>IF($C$96*(Staff!G24-Staff!F24)&gt;0,$C$96*(Staff!G24-Staff!F24),0)</f>
        <v>0</v>
      </c>
      <c r="H96" s="596">
        <f>IF($C$96*(Staff!H24-Staff!G24)&gt;0,$C$96*(Staff!H24-Staff!G24),0)</f>
        <v>0</v>
      </c>
      <c r="I96" s="596">
        <f>IF($C$96*(Staff!I24-Staff!H24)&gt;0,$C$96*(Staff!I24-Staff!H24),0)</f>
        <v>0</v>
      </c>
      <c r="J96" s="596">
        <f>IF($C$96*(Staff!J24-Staff!I24)&gt;0,$C$96*(Staff!J24-Staff!I24),0)</f>
        <v>0</v>
      </c>
      <c r="K96" s="596">
        <f>IF($C$96*(Staff!K24-Staff!J24)&gt;0,$C$96*(Staff!K24-Staff!J24),0)</f>
        <v>0</v>
      </c>
      <c r="L96" s="596">
        <f>IF($C$96*(Staff!L24-Staff!K24)&gt;0,$C$96*(Staff!L24-Staff!K24),0)</f>
        <v>0</v>
      </c>
      <c r="R96" s="287"/>
    </row>
    <row r="97" spans="1:18">
      <c r="A97" s="290">
        <f>ROW()</f>
        <v>97</v>
      </c>
      <c r="B97" s="66" t="s">
        <v>1188</v>
      </c>
      <c r="C97" s="669">
        <v>0</v>
      </c>
      <c r="D97" s="84" t="s">
        <v>643</v>
      </c>
      <c r="E97" s="84"/>
      <c r="F97" s="1396">
        <v>0</v>
      </c>
      <c r="G97" s="596">
        <v>1500</v>
      </c>
      <c r="H97" s="596">
        <v>1500</v>
      </c>
      <c r="I97" s="596">
        <v>1500</v>
      </c>
      <c r="J97" s="596">
        <v>1500</v>
      </c>
      <c r="K97" s="596">
        <v>1500</v>
      </c>
      <c r="L97" s="596">
        <v>1500</v>
      </c>
      <c r="R97" s="287"/>
    </row>
    <row r="98" spans="1:18">
      <c r="A98" s="290">
        <f>ROW()</f>
        <v>98</v>
      </c>
      <c r="B98" s="66" t="s">
        <v>655</v>
      </c>
      <c r="C98" s="669">
        <v>0</v>
      </c>
      <c r="D98" s="84" t="s">
        <v>656</v>
      </c>
      <c r="E98" s="84"/>
      <c r="F98" s="1396">
        <v>0</v>
      </c>
      <c r="G98" s="596">
        <f>$C$98*' Enrol &amp; Rev'!G17</f>
        <v>0</v>
      </c>
      <c r="H98" s="596">
        <f>$C$98*' Enrol &amp; Rev'!H17</f>
        <v>0</v>
      </c>
      <c r="I98" s="596">
        <f>$C$98*' Enrol &amp; Rev'!I17</f>
        <v>0</v>
      </c>
      <c r="J98" s="596">
        <f>$C$98*' Enrol &amp; Rev'!J17</f>
        <v>0</v>
      </c>
      <c r="K98" s="596">
        <f>$C$98*' Enrol &amp; Rev'!K17</f>
        <v>0</v>
      </c>
      <c r="L98" s="596">
        <f>$C$98*' Enrol &amp; Rev'!L17</f>
        <v>0</v>
      </c>
      <c r="R98" s="287"/>
    </row>
    <row r="99" spans="1:18">
      <c r="A99" s="290">
        <f>ROW()</f>
        <v>99</v>
      </c>
      <c r="B99" s="66" t="s">
        <v>657</v>
      </c>
      <c r="C99" s="669">
        <v>0</v>
      </c>
      <c r="D99" s="84" t="s">
        <v>656</v>
      </c>
      <c r="E99" s="84"/>
      <c r="F99" s="1396">
        <v>0</v>
      </c>
      <c r="G99" s="596">
        <v>0</v>
      </c>
      <c r="H99" s="596">
        <f>$C$99*' Enrol &amp; Rev'!H17</f>
        <v>0</v>
      </c>
      <c r="I99" s="596">
        <f>$C$99*' Enrol &amp; Rev'!I17</f>
        <v>0</v>
      </c>
      <c r="J99" s="596">
        <f>$C$99*' Enrol &amp; Rev'!J17</f>
        <v>0</v>
      </c>
      <c r="K99" s="596">
        <f>$C$99*' Enrol &amp; Rev'!K17</f>
        <v>0</v>
      </c>
      <c r="L99" s="596">
        <f>$C$99*' Enrol &amp; Rev'!L17</f>
        <v>0</v>
      </c>
      <c r="R99" s="287"/>
    </row>
    <row r="100" spans="1:18">
      <c r="A100" s="290">
        <f>ROW()</f>
        <v>100</v>
      </c>
      <c r="B100" s="66" t="s">
        <v>658</v>
      </c>
      <c r="C100" s="201">
        <v>0</v>
      </c>
      <c r="D100" s="84" t="s">
        <v>457</v>
      </c>
      <c r="E100" s="84"/>
      <c r="F100" s="1396">
        <v>0</v>
      </c>
      <c r="G100" s="596">
        <f t="shared" ref="G100:L101" si="15">+$C100</f>
        <v>0</v>
      </c>
      <c r="H100" s="596">
        <f t="shared" si="15"/>
        <v>0</v>
      </c>
      <c r="I100" s="596">
        <f t="shared" si="15"/>
        <v>0</v>
      </c>
      <c r="J100" s="596">
        <f t="shared" si="15"/>
        <v>0</v>
      </c>
      <c r="K100" s="596">
        <f t="shared" si="15"/>
        <v>0</v>
      </c>
      <c r="L100" s="596">
        <f t="shared" si="15"/>
        <v>0</v>
      </c>
      <c r="R100" s="287"/>
    </row>
    <row r="101" spans="1:18">
      <c r="A101" s="290">
        <f>ROW()</f>
        <v>101</v>
      </c>
      <c r="B101" s="66" t="s">
        <v>659</v>
      </c>
      <c r="C101" s="201">
        <v>0</v>
      </c>
      <c r="D101" s="84" t="s">
        <v>457</v>
      </c>
      <c r="E101" s="84"/>
      <c r="F101" s="1396">
        <v>0</v>
      </c>
      <c r="G101" s="596">
        <f t="shared" si="15"/>
        <v>0</v>
      </c>
      <c r="H101" s="596">
        <f t="shared" si="15"/>
        <v>0</v>
      </c>
      <c r="I101" s="596">
        <f t="shared" si="15"/>
        <v>0</v>
      </c>
      <c r="J101" s="596">
        <f t="shared" si="15"/>
        <v>0</v>
      </c>
      <c r="K101" s="596">
        <f t="shared" si="15"/>
        <v>0</v>
      </c>
      <c r="L101" s="596">
        <f t="shared" si="15"/>
        <v>0</v>
      </c>
      <c r="R101" s="287"/>
    </row>
    <row r="102" spans="1:18">
      <c r="A102" s="290">
        <f>ROW()</f>
        <v>102</v>
      </c>
      <c r="B102" s="66" t="s">
        <v>660</v>
      </c>
      <c r="C102" s="201">
        <v>0</v>
      </c>
      <c r="D102" s="84" t="s">
        <v>457</v>
      </c>
      <c r="E102" s="84"/>
      <c r="F102" s="1396">
        <v>0</v>
      </c>
      <c r="G102" s="596">
        <v>0</v>
      </c>
      <c r="H102" s="596">
        <v>0</v>
      </c>
      <c r="I102" s="596">
        <v>0</v>
      </c>
      <c r="J102" s="596">
        <v>0</v>
      </c>
      <c r="K102" s="596">
        <v>0</v>
      </c>
      <c r="L102" s="596">
        <v>0</v>
      </c>
      <c r="R102" s="287"/>
    </row>
    <row r="103" spans="1:18">
      <c r="A103" s="290">
        <f>ROW()</f>
        <v>103</v>
      </c>
      <c r="B103" s="66" t="s">
        <v>661</v>
      </c>
      <c r="C103" s="669">
        <v>0</v>
      </c>
      <c r="D103" s="84" t="s">
        <v>643</v>
      </c>
      <c r="E103" s="84"/>
      <c r="F103" s="1396">
        <v>0</v>
      </c>
      <c r="G103" s="596">
        <v>0</v>
      </c>
      <c r="H103" s="596">
        <f>$C$103</f>
        <v>0</v>
      </c>
      <c r="I103" s="596">
        <f>$C$103</f>
        <v>0</v>
      </c>
      <c r="J103" s="596">
        <f>$C$103</f>
        <v>0</v>
      </c>
      <c r="K103" s="596">
        <f>$C$103</f>
        <v>0</v>
      </c>
      <c r="L103" s="596">
        <f>$C$103</f>
        <v>0</v>
      </c>
      <c r="R103" s="287"/>
    </row>
    <row r="104" spans="1:18">
      <c r="A104" s="290">
        <f>ROW()</f>
        <v>104</v>
      </c>
      <c r="B104" s="66" t="s">
        <v>662</v>
      </c>
      <c r="C104" s="201"/>
      <c r="D104" s="84" t="s">
        <v>663</v>
      </c>
      <c r="E104" s="84"/>
      <c r="F104" s="1396">
        <v>0</v>
      </c>
      <c r="G104" s="596">
        <v>0</v>
      </c>
      <c r="H104" s="596">
        <f>IF($C$104="yes",Staff!$C$74*Staff!$C$73*Staff!$C$72,0)</f>
        <v>0</v>
      </c>
      <c r="I104" s="596">
        <f>IF($C$104="yes",Staff!$C$74*Staff!$C$73*Staff!$C$72,0)</f>
        <v>0</v>
      </c>
      <c r="J104" s="596">
        <f>IF($C$104="yes",Staff!$C$74*Staff!$C$73*Staff!$C$72,0)</f>
        <v>0</v>
      </c>
      <c r="K104" s="596">
        <f>IF($C$104="yes",Staff!$C$74*Staff!$C$73*Staff!$C$72,0)</f>
        <v>0</v>
      </c>
      <c r="L104" s="596">
        <f>IF($C$104="yes",Staff!$C$74*Staff!$C$73*Staff!$C$72,0)</f>
        <v>0</v>
      </c>
      <c r="R104" s="287"/>
    </row>
    <row r="105" spans="1:18">
      <c r="A105" s="290">
        <f>ROW()</f>
        <v>105</v>
      </c>
      <c r="C105" s="109"/>
      <c r="D105" s="54"/>
      <c r="E105" s="54"/>
      <c r="F105" s="260"/>
      <c r="G105" s="260"/>
      <c r="H105" s="260"/>
      <c r="I105" s="260"/>
      <c r="J105" s="260"/>
      <c r="K105" s="260"/>
      <c r="L105" s="260"/>
      <c r="R105" s="287"/>
    </row>
    <row r="106" spans="1:18" ht="14.4" thickBot="1">
      <c r="A106" s="290">
        <f>ROW()</f>
        <v>106</v>
      </c>
      <c r="B106" s="1715" t="s">
        <v>1208</v>
      </c>
      <c r="C106" s="1716"/>
      <c r="D106" s="1715"/>
      <c r="E106" s="1715"/>
      <c r="F106" s="1717">
        <f t="shared" ref="F106:L106" si="16">SUM(F66:F105)</f>
        <v>0</v>
      </c>
      <c r="G106" s="1717">
        <f t="shared" si="16"/>
        <v>92300</v>
      </c>
      <c r="H106" s="1717">
        <f t="shared" si="16"/>
        <v>64300</v>
      </c>
      <c r="I106" s="1717">
        <f t="shared" si="16"/>
        <v>64300</v>
      </c>
      <c r="J106" s="1717">
        <f t="shared" si="16"/>
        <v>74300</v>
      </c>
      <c r="K106" s="1717">
        <f t="shared" si="16"/>
        <v>64300</v>
      </c>
      <c r="L106" s="1717">
        <f t="shared" si="16"/>
        <v>64300</v>
      </c>
      <c r="R106" s="287"/>
    </row>
    <row r="107" spans="1:18" ht="14.4" thickTop="1">
      <c r="A107" s="290">
        <f>ROW()</f>
        <v>107</v>
      </c>
      <c r="B107" s="74" t="s">
        <v>305</v>
      </c>
      <c r="C107" s="113"/>
      <c r="D107" s="74"/>
      <c r="E107" s="74"/>
      <c r="F107" s="506">
        <f>IFERROR(F106/' Enrol &amp; Rev'!F36,0)</f>
        <v>0</v>
      </c>
      <c r="G107" s="506">
        <f>IFERROR(G106/' Enrol &amp; Rev'!G36,0)</f>
        <v>401.30434782608694</v>
      </c>
      <c r="H107" s="506">
        <f>IFERROR(H106/' Enrol &amp; Rev'!H36,0)</f>
        <v>207.41935483870967</v>
      </c>
      <c r="I107" s="506">
        <f>IFERROR(I106/' Enrol &amp; Rev'!I36,0)</f>
        <v>164.87179487179486</v>
      </c>
      <c r="J107" s="506">
        <f>IFERROR(J106/' Enrol &amp; Rev'!J36,0)</f>
        <v>158.08510638297872</v>
      </c>
      <c r="K107" s="506">
        <f>IFERROR(K106/' Enrol &amp; Rev'!K36,0)</f>
        <v>116.90909090909091</v>
      </c>
      <c r="L107" s="506">
        <f>IFERROR(L106/' Enrol &amp; Rev'!L36,0)</f>
        <v>114.82142857142857</v>
      </c>
      <c r="M107" s="74"/>
      <c r="N107" s="74"/>
      <c r="O107" s="74"/>
      <c r="P107" s="74"/>
      <c r="Q107" s="74"/>
      <c r="R107" s="287"/>
    </row>
    <row r="108" spans="1:18">
      <c r="A108" s="290">
        <f>ROW()</f>
        <v>108</v>
      </c>
      <c r="B108" s="30"/>
      <c r="C108" s="112"/>
      <c r="D108" s="30"/>
      <c r="E108" s="74"/>
      <c r="F108" s="109"/>
      <c r="G108" s="490"/>
      <c r="H108" s="490"/>
      <c r="I108" s="490"/>
      <c r="J108" s="490"/>
      <c r="K108" s="490"/>
      <c r="L108" s="490"/>
      <c r="M108" s="55"/>
      <c r="R108" s="287"/>
    </row>
    <row r="109" spans="1:18">
      <c r="A109" s="290">
        <f>ROW()</f>
        <v>109</v>
      </c>
      <c r="B109" s="1509" t="s">
        <v>1186</v>
      </c>
      <c r="C109" s="1718"/>
      <c r="D109" s="1509"/>
      <c r="E109" s="1719"/>
      <c r="F109" s="1720"/>
      <c r="G109" s="1721"/>
      <c r="H109" s="1721"/>
      <c r="I109" s="1721"/>
      <c r="J109" s="1721"/>
      <c r="K109" s="1721"/>
      <c r="L109" s="1721"/>
      <c r="R109" s="287"/>
    </row>
    <row r="110" spans="1:18">
      <c r="A110" s="290">
        <f>ROW()</f>
        <v>110</v>
      </c>
      <c r="B110" s="32" t="s">
        <v>329</v>
      </c>
      <c r="C110" s="112"/>
      <c r="D110" s="30"/>
      <c r="E110" s="74"/>
      <c r="F110" s="1394">
        <v>0</v>
      </c>
      <c r="G110" s="1087">
        <v>0</v>
      </c>
      <c r="H110" s="1087">
        <v>0</v>
      </c>
      <c r="I110" s="1087">
        <v>0</v>
      </c>
      <c r="J110" s="1087">
        <v>0</v>
      </c>
      <c r="K110" s="1087">
        <v>0</v>
      </c>
      <c r="L110" s="1087">
        <v>0</v>
      </c>
      <c r="R110" s="287"/>
    </row>
    <row r="111" spans="1:18">
      <c r="A111" s="290">
        <f>ROW()</f>
        <v>111</v>
      </c>
      <c r="B111" s="66" t="s">
        <v>1189</v>
      </c>
      <c r="C111" s="112"/>
      <c r="D111" s="30"/>
      <c r="E111" s="74"/>
      <c r="F111" s="1394">
        <v>0</v>
      </c>
      <c r="G111" s="1087">
        <v>0</v>
      </c>
      <c r="H111" s="1087">
        <v>0</v>
      </c>
      <c r="I111" s="1087">
        <v>0</v>
      </c>
      <c r="J111" s="1087">
        <v>0</v>
      </c>
      <c r="K111" s="1087">
        <v>0</v>
      </c>
      <c r="L111" s="1087">
        <v>0</v>
      </c>
      <c r="R111" s="287"/>
    </row>
    <row r="112" spans="1:18">
      <c r="A112" s="290">
        <f>ROW()</f>
        <v>112</v>
      </c>
      <c r="B112" s="32" t="s">
        <v>664</v>
      </c>
      <c r="C112" s="112"/>
      <c r="D112" s="30"/>
      <c r="E112" s="74"/>
      <c r="F112" s="1087">
        <v>0</v>
      </c>
      <c r="G112" s="1087">
        <v>0</v>
      </c>
      <c r="H112" s="1087">
        <v>7500</v>
      </c>
      <c r="I112" s="1087">
        <v>7500</v>
      </c>
      <c r="J112" s="1087">
        <v>7500</v>
      </c>
      <c r="K112" s="1087">
        <v>10000</v>
      </c>
      <c r="L112" s="1087">
        <v>15000</v>
      </c>
      <c r="R112" s="287"/>
    </row>
    <row r="113" spans="1:18">
      <c r="A113" s="290">
        <f>ROW()</f>
        <v>113</v>
      </c>
      <c r="B113" s="32" t="s">
        <v>1283</v>
      </c>
      <c r="C113" s="112"/>
      <c r="D113" s="30"/>
      <c r="E113" s="74"/>
      <c r="F113" s="1087">
        <v>0</v>
      </c>
      <c r="G113" s="1087">
        <v>0</v>
      </c>
      <c r="H113" s="1087">
        <v>0</v>
      </c>
      <c r="I113" s="1087">
        <v>0</v>
      </c>
      <c r="J113" s="1087">
        <v>0</v>
      </c>
      <c r="K113" s="1087">
        <v>0</v>
      </c>
      <c r="L113" s="1087">
        <v>0</v>
      </c>
      <c r="R113" s="287"/>
    </row>
    <row r="114" spans="1:18">
      <c r="A114" s="290">
        <f>ROW()</f>
        <v>114</v>
      </c>
      <c r="B114" s="32" t="s">
        <v>331</v>
      </c>
      <c r="C114" s="112"/>
      <c r="D114" s="30"/>
      <c r="E114" s="74"/>
      <c r="F114" s="1087">
        <v>0</v>
      </c>
      <c r="G114" s="1087">
        <v>0</v>
      </c>
      <c r="H114" s="1087">
        <v>0</v>
      </c>
      <c r="I114" s="1087">
        <v>0</v>
      </c>
      <c r="J114" s="1087">
        <v>0</v>
      </c>
      <c r="K114" s="1087">
        <v>0</v>
      </c>
      <c r="L114" s="1087">
        <v>0</v>
      </c>
      <c r="R114" s="287"/>
    </row>
    <row r="115" spans="1:18">
      <c r="A115" s="290">
        <f>ROW()</f>
        <v>115</v>
      </c>
      <c r="B115" s="32" t="s">
        <v>665</v>
      </c>
      <c r="C115" s="112"/>
      <c r="D115" s="30"/>
      <c r="E115" s="74"/>
      <c r="F115" s="1087">
        <v>0</v>
      </c>
      <c r="G115" s="1087">
        <v>0</v>
      </c>
      <c r="H115" s="1087">
        <v>0</v>
      </c>
      <c r="I115" s="1087">
        <v>0</v>
      </c>
      <c r="J115" s="1087">
        <v>0</v>
      </c>
      <c r="K115" s="1087">
        <v>0</v>
      </c>
      <c r="L115" s="1087">
        <v>0</v>
      </c>
      <c r="R115" s="287"/>
    </row>
    <row r="116" spans="1:18">
      <c r="A116" s="290">
        <f>ROW()</f>
        <v>116</v>
      </c>
      <c r="B116" s="32" t="s">
        <v>333</v>
      </c>
      <c r="C116" s="112"/>
      <c r="D116" s="30"/>
      <c r="E116" s="74"/>
      <c r="F116" s="1087">
        <v>0</v>
      </c>
      <c r="G116" s="1087">
        <v>0</v>
      </c>
      <c r="H116" s="1087">
        <v>0</v>
      </c>
      <c r="I116" s="1087">
        <v>0</v>
      </c>
      <c r="J116" s="1087">
        <v>0</v>
      </c>
      <c r="K116" s="1087">
        <v>0</v>
      </c>
      <c r="L116" s="1087">
        <v>0</v>
      </c>
      <c r="R116" s="287"/>
    </row>
    <row r="117" spans="1:18">
      <c r="A117" s="290">
        <f>ROW()</f>
        <v>117</v>
      </c>
      <c r="B117" s="32" t="s">
        <v>666</v>
      </c>
      <c r="C117" s="112"/>
      <c r="D117" s="30"/>
      <c r="E117" s="74"/>
      <c r="F117" s="1087">
        <v>0</v>
      </c>
      <c r="G117" s="1087">
        <v>0</v>
      </c>
      <c r="H117" s="1087">
        <v>0</v>
      </c>
      <c r="I117" s="1087">
        <v>0</v>
      </c>
      <c r="J117" s="1087">
        <v>0</v>
      </c>
      <c r="K117" s="1087">
        <v>0</v>
      </c>
      <c r="L117" s="1087">
        <v>0</v>
      </c>
      <c r="R117" s="287"/>
    </row>
    <row r="118" spans="1:18">
      <c r="A118" s="290">
        <f>ROW()</f>
        <v>118</v>
      </c>
      <c r="B118" s="32" t="s">
        <v>334</v>
      </c>
      <c r="C118" s="112"/>
      <c r="D118" s="30"/>
      <c r="E118" s="74"/>
      <c r="F118" s="1087">
        <v>0</v>
      </c>
      <c r="G118" s="1087">
        <v>0</v>
      </c>
      <c r="H118" s="1087">
        <v>0</v>
      </c>
      <c r="I118" s="1087">
        <v>0</v>
      </c>
      <c r="J118" s="1087">
        <v>0</v>
      </c>
      <c r="K118" s="1087">
        <v>0</v>
      </c>
      <c r="L118" s="1087">
        <v>0</v>
      </c>
      <c r="R118" s="287"/>
    </row>
    <row r="119" spans="1:18">
      <c r="A119" s="290">
        <f>ROW()</f>
        <v>119</v>
      </c>
      <c r="B119" s="32" t="s">
        <v>667</v>
      </c>
      <c r="C119" s="112"/>
      <c r="D119" s="30"/>
      <c r="E119" s="74"/>
      <c r="F119" s="1087">
        <v>0</v>
      </c>
      <c r="G119" s="1087">
        <v>0</v>
      </c>
      <c r="H119" s="1087">
        <v>0</v>
      </c>
      <c r="I119" s="1087">
        <v>0</v>
      </c>
      <c r="J119" s="1087">
        <v>0</v>
      </c>
      <c r="K119" s="1087">
        <v>0</v>
      </c>
      <c r="L119" s="1087">
        <v>0</v>
      </c>
      <c r="R119" s="287"/>
    </row>
    <row r="120" spans="1:18">
      <c r="A120" s="290">
        <f>ROW()</f>
        <v>120</v>
      </c>
      <c r="B120" s="32" t="s">
        <v>336</v>
      </c>
      <c r="C120" s="112"/>
      <c r="D120" s="30"/>
      <c r="E120" s="74"/>
      <c r="F120" s="1087">
        <v>0</v>
      </c>
      <c r="G120" s="1087">
        <v>0</v>
      </c>
      <c r="H120" s="1087">
        <v>0</v>
      </c>
      <c r="I120" s="1087">
        <v>0</v>
      </c>
      <c r="J120" s="1087">
        <v>0</v>
      </c>
      <c r="K120" s="1087">
        <v>0</v>
      </c>
      <c r="L120" s="1087">
        <v>0</v>
      </c>
      <c r="R120" s="287"/>
    </row>
    <row r="121" spans="1:18" hidden="1">
      <c r="A121" s="290">
        <f>ROW()</f>
        <v>121</v>
      </c>
      <c r="B121" s="32" t="s">
        <v>668</v>
      </c>
      <c r="C121" s="112"/>
      <c r="D121" s="30"/>
      <c r="E121" s="74"/>
      <c r="F121" s="1087"/>
      <c r="G121" s="1087"/>
      <c r="H121" s="1087"/>
      <c r="I121" s="1087"/>
      <c r="J121" s="1087"/>
      <c r="K121" s="1087"/>
      <c r="L121" s="1087"/>
      <c r="R121" s="287"/>
    </row>
    <row r="122" spans="1:18">
      <c r="A122" s="290">
        <f>ROW()</f>
        <v>122</v>
      </c>
      <c r="B122" s="32" t="s">
        <v>1284</v>
      </c>
      <c r="C122" s="112"/>
      <c r="D122" s="30"/>
      <c r="E122" s="74"/>
      <c r="F122" s="1087">
        <v>0</v>
      </c>
      <c r="G122" s="1087">
        <v>0</v>
      </c>
      <c r="H122" s="1087">
        <v>0</v>
      </c>
      <c r="I122" s="1087">
        <v>0</v>
      </c>
      <c r="J122" s="1087">
        <v>0</v>
      </c>
      <c r="K122" s="1087">
        <v>0</v>
      </c>
      <c r="L122" s="1087">
        <v>0</v>
      </c>
      <c r="R122" s="287"/>
    </row>
    <row r="123" spans="1:18">
      <c r="A123" s="290">
        <f>ROW()</f>
        <v>123</v>
      </c>
      <c r="B123" s="32" t="s">
        <v>669</v>
      </c>
      <c r="C123" s="112"/>
      <c r="D123" s="30"/>
      <c r="E123" s="74"/>
      <c r="F123" s="1087">
        <v>0</v>
      </c>
      <c r="G123" s="1087">
        <v>0</v>
      </c>
      <c r="H123" s="1779"/>
      <c r="I123" s="1779"/>
      <c r="J123" s="1779"/>
      <c r="K123" s="1779"/>
      <c r="L123" s="1779"/>
      <c r="R123" s="287"/>
    </row>
    <row r="124" spans="1:18">
      <c r="A124" s="290">
        <f>ROW()</f>
        <v>124</v>
      </c>
      <c r="B124" s="32" t="s">
        <v>670</v>
      </c>
      <c r="C124" s="112"/>
      <c r="D124" s="30"/>
      <c r="E124" s="74"/>
      <c r="F124" s="1779"/>
      <c r="G124" s="1779"/>
      <c r="H124" s="1087">
        <v>0</v>
      </c>
      <c r="I124" s="1087">
        <v>0</v>
      </c>
      <c r="J124" s="1087">
        <v>0</v>
      </c>
      <c r="K124" s="1087">
        <v>0</v>
      </c>
      <c r="L124" s="1087">
        <v>0</v>
      </c>
      <c r="R124" s="287"/>
    </row>
    <row r="125" spans="1:18">
      <c r="A125" s="290">
        <f>ROW()</f>
        <v>125</v>
      </c>
      <c r="B125" s="32" t="s">
        <v>1281</v>
      </c>
      <c r="C125" s="112"/>
      <c r="D125" s="30"/>
      <c r="E125" s="74"/>
      <c r="F125" s="1087">
        <v>0</v>
      </c>
      <c r="G125" s="1087">
        <v>0</v>
      </c>
      <c r="H125" s="1087">
        <v>0</v>
      </c>
      <c r="I125" s="1087">
        <v>0</v>
      </c>
      <c r="J125" s="1087">
        <v>0</v>
      </c>
      <c r="K125" s="1087">
        <v>0</v>
      </c>
      <c r="L125" s="1087">
        <v>0</v>
      </c>
      <c r="R125" s="287"/>
    </row>
    <row r="126" spans="1:18">
      <c r="A126" s="290">
        <f>ROW()</f>
        <v>126</v>
      </c>
      <c r="B126" s="32" t="s">
        <v>1282</v>
      </c>
      <c r="C126" s="112"/>
      <c r="D126" s="30"/>
      <c r="E126" s="74"/>
      <c r="F126" s="1087">
        <v>0</v>
      </c>
      <c r="G126" s="1087">
        <v>0</v>
      </c>
      <c r="H126" s="1087">
        <v>0</v>
      </c>
      <c r="I126" s="1087">
        <v>0</v>
      </c>
      <c r="J126" s="1087">
        <v>0</v>
      </c>
      <c r="K126" s="1087">
        <v>0</v>
      </c>
      <c r="L126" s="1087">
        <v>0</v>
      </c>
      <c r="R126" s="287"/>
    </row>
    <row r="127" spans="1:18">
      <c r="A127" s="290">
        <f>ROW()</f>
        <v>127</v>
      </c>
      <c r="B127" s="32" t="s">
        <v>671</v>
      </c>
      <c r="C127" s="112"/>
      <c r="D127" s="30"/>
      <c r="E127" s="74"/>
      <c r="F127" s="1087">
        <v>0</v>
      </c>
      <c r="G127" s="1087">
        <v>0</v>
      </c>
      <c r="H127" s="1087">
        <v>0</v>
      </c>
      <c r="I127" s="1087">
        <v>0</v>
      </c>
      <c r="J127" s="1087">
        <v>0</v>
      </c>
      <c r="K127" s="1087">
        <v>0</v>
      </c>
      <c r="L127" s="1087">
        <v>0</v>
      </c>
      <c r="R127" s="287"/>
    </row>
    <row r="128" spans="1:18">
      <c r="A128" s="290">
        <f>ROW()</f>
        <v>128</v>
      </c>
      <c r="B128" s="32" t="s">
        <v>1285</v>
      </c>
      <c r="C128" s="112"/>
      <c r="D128" s="30"/>
      <c r="E128" s="74"/>
      <c r="F128" s="1087">
        <v>0</v>
      </c>
      <c r="G128" s="1087">
        <v>0</v>
      </c>
      <c r="H128" s="1087">
        <v>0</v>
      </c>
      <c r="I128" s="1087">
        <v>0</v>
      </c>
      <c r="J128" s="1087">
        <v>0</v>
      </c>
      <c r="K128" s="1087">
        <v>0</v>
      </c>
      <c r="L128" s="1087">
        <v>0</v>
      </c>
      <c r="R128" s="287"/>
    </row>
    <row r="129" spans="1:18">
      <c r="A129" s="290">
        <f>ROW()</f>
        <v>129</v>
      </c>
      <c r="B129" s="32" t="s">
        <v>346</v>
      </c>
      <c r="C129" s="112"/>
      <c r="D129" s="30"/>
      <c r="E129" s="74"/>
      <c r="F129" s="1087">
        <v>0</v>
      </c>
      <c r="G129" s="1087">
        <v>0</v>
      </c>
      <c r="H129" s="1087">
        <v>0</v>
      </c>
      <c r="I129" s="1087">
        <v>0</v>
      </c>
      <c r="J129" s="1087">
        <v>0</v>
      </c>
      <c r="K129" s="1087">
        <v>0</v>
      </c>
      <c r="L129" s="1087">
        <v>0</v>
      </c>
      <c r="R129" s="287"/>
    </row>
    <row r="130" spans="1:18">
      <c r="A130" s="290">
        <f>ROW()</f>
        <v>130</v>
      </c>
      <c r="B130" s="1722"/>
      <c r="C130" s="112"/>
      <c r="D130" s="30"/>
      <c r="E130" s="74"/>
      <c r="F130" s="1087">
        <v>0</v>
      </c>
      <c r="G130" s="1087">
        <v>0</v>
      </c>
      <c r="H130" s="1087">
        <v>0</v>
      </c>
      <c r="I130" s="1087">
        <v>0</v>
      </c>
      <c r="J130" s="1087">
        <v>0</v>
      </c>
      <c r="K130" s="1087">
        <v>0</v>
      </c>
      <c r="L130" s="1087">
        <v>0</v>
      </c>
      <c r="R130" s="287"/>
    </row>
    <row r="131" spans="1:18">
      <c r="A131" s="290">
        <f>ROW()</f>
        <v>131</v>
      </c>
      <c r="B131" s="1164"/>
      <c r="C131" s="112"/>
      <c r="D131" s="30"/>
      <c r="E131" s="74"/>
      <c r="F131" s="1087">
        <v>0</v>
      </c>
      <c r="G131" s="1087">
        <v>0</v>
      </c>
      <c r="H131" s="1087">
        <v>0</v>
      </c>
      <c r="I131" s="1087">
        <v>0</v>
      </c>
      <c r="J131" s="1087">
        <v>0</v>
      </c>
      <c r="K131" s="1087">
        <v>0</v>
      </c>
      <c r="L131" s="1087">
        <v>0</v>
      </c>
      <c r="R131" s="287"/>
    </row>
    <row r="132" spans="1:18">
      <c r="A132" s="290">
        <f>ROW()</f>
        <v>132</v>
      </c>
      <c r="B132" s="1164"/>
      <c r="C132" s="112"/>
      <c r="D132" s="30"/>
      <c r="E132" s="74"/>
      <c r="F132" s="1087">
        <v>0</v>
      </c>
      <c r="G132" s="1087">
        <v>0</v>
      </c>
      <c r="H132" s="1087">
        <v>0</v>
      </c>
      <c r="I132" s="1087">
        <v>0</v>
      </c>
      <c r="J132" s="1087">
        <v>0</v>
      </c>
      <c r="K132" s="1087">
        <v>0</v>
      </c>
      <c r="L132" s="1087">
        <v>0</v>
      </c>
      <c r="R132" s="287"/>
    </row>
    <row r="133" spans="1:18">
      <c r="A133" s="290">
        <f>ROW()</f>
        <v>133</v>
      </c>
      <c r="B133" s="1164"/>
      <c r="C133" s="112"/>
      <c r="D133" s="30"/>
      <c r="E133" s="74"/>
      <c r="F133" s="1087">
        <v>0</v>
      </c>
      <c r="G133" s="1087">
        <v>0</v>
      </c>
      <c r="H133" s="1087">
        <v>0</v>
      </c>
      <c r="I133" s="1087">
        <v>0</v>
      </c>
      <c r="J133" s="1087">
        <v>0</v>
      </c>
      <c r="K133" s="1087">
        <v>0</v>
      </c>
      <c r="L133" s="1087">
        <v>0</v>
      </c>
      <c r="R133" s="287"/>
    </row>
    <row r="134" spans="1:18">
      <c r="A134" s="290">
        <f>ROW()</f>
        <v>134</v>
      </c>
      <c r="B134" s="1164"/>
      <c r="C134" s="112"/>
      <c r="D134" s="30"/>
      <c r="E134" s="74"/>
      <c r="F134" s="1087">
        <v>0</v>
      </c>
      <c r="G134" s="1087">
        <v>0</v>
      </c>
      <c r="H134" s="1087">
        <v>0</v>
      </c>
      <c r="I134" s="1087">
        <v>0</v>
      </c>
      <c r="J134" s="1087">
        <v>0</v>
      </c>
      <c r="K134" s="1087">
        <v>0</v>
      </c>
      <c r="L134" s="1087">
        <v>0</v>
      </c>
      <c r="R134" s="287"/>
    </row>
    <row r="135" spans="1:18">
      <c r="A135" s="290">
        <f>ROW()</f>
        <v>135</v>
      </c>
      <c r="B135" s="1164"/>
      <c r="C135" s="112"/>
      <c r="D135" s="30"/>
      <c r="E135" s="74"/>
      <c r="F135" s="1087">
        <v>0</v>
      </c>
      <c r="G135" s="1087">
        <v>0</v>
      </c>
      <c r="H135" s="1087">
        <v>0</v>
      </c>
      <c r="I135" s="1087">
        <v>0</v>
      </c>
      <c r="J135" s="1087">
        <v>0</v>
      </c>
      <c r="K135" s="1087">
        <v>0</v>
      </c>
      <c r="L135" s="1087">
        <v>0</v>
      </c>
      <c r="R135" s="287"/>
    </row>
    <row r="136" spans="1:18">
      <c r="A136" s="290">
        <f>ROW()</f>
        <v>136</v>
      </c>
      <c r="B136" s="1164"/>
      <c r="C136" s="112"/>
      <c r="D136" s="30"/>
      <c r="E136" s="74"/>
      <c r="F136" s="1087">
        <v>0</v>
      </c>
      <c r="G136" s="1087">
        <v>0</v>
      </c>
      <c r="H136" s="1087">
        <v>0</v>
      </c>
      <c r="I136" s="1087">
        <v>0</v>
      </c>
      <c r="J136" s="1087">
        <v>0</v>
      </c>
      <c r="K136" s="1087">
        <v>0</v>
      </c>
      <c r="L136" s="1087">
        <v>0</v>
      </c>
      <c r="R136" s="287"/>
    </row>
    <row r="137" spans="1:18">
      <c r="A137" s="290">
        <f>ROW()</f>
        <v>137</v>
      </c>
      <c r="B137" s="1164"/>
      <c r="C137" s="112"/>
      <c r="D137" s="30"/>
      <c r="E137" s="74"/>
      <c r="F137" s="1087">
        <v>0</v>
      </c>
      <c r="G137" s="1087">
        <v>0</v>
      </c>
      <c r="H137" s="1087">
        <v>0</v>
      </c>
      <c r="I137" s="1087">
        <v>0</v>
      </c>
      <c r="J137" s="1087">
        <v>0</v>
      </c>
      <c r="K137" s="1087">
        <v>0</v>
      </c>
      <c r="L137" s="1087">
        <v>0</v>
      </c>
      <c r="R137" s="287"/>
    </row>
    <row r="138" spans="1:18">
      <c r="A138" s="290">
        <f>ROW()</f>
        <v>138</v>
      </c>
      <c r="B138" s="1164"/>
      <c r="C138" s="112"/>
      <c r="D138" s="30"/>
      <c r="E138" s="74"/>
      <c r="F138" s="1087">
        <v>0</v>
      </c>
      <c r="G138" s="1087">
        <v>0</v>
      </c>
      <c r="H138" s="1087">
        <v>0</v>
      </c>
      <c r="I138" s="1087">
        <v>0</v>
      </c>
      <c r="J138" s="1087">
        <v>0</v>
      </c>
      <c r="K138" s="1087">
        <v>0</v>
      </c>
      <c r="L138" s="1087">
        <v>0</v>
      </c>
      <c r="R138" s="287"/>
    </row>
    <row r="139" spans="1:18">
      <c r="A139" s="290">
        <f>ROW()</f>
        <v>139</v>
      </c>
      <c r="B139" s="1164"/>
      <c r="C139" s="112"/>
      <c r="D139" s="30"/>
      <c r="E139" s="74"/>
      <c r="F139" s="1087">
        <v>0</v>
      </c>
      <c r="G139" s="1087">
        <v>0</v>
      </c>
      <c r="H139" s="1087">
        <v>0</v>
      </c>
      <c r="I139" s="1087">
        <v>0</v>
      </c>
      <c r="J139" s="1087">
        <v>0</v>
      </c>
      <c r="K139" s="1087">
        <v>0</v>
      </c>
      <c r="L139" s="1087">
        <v>0</v>
      </c>
      <c r="R139" s="287"/>
    </row>
    <row r="140" spans="1:18">
      <c r="A140" s="290">
        <f>ROW()</f>
        <v>140</v>
      </c>
      <c r="B140" s="1164"/>
      <c r="C140" s="112"/>
      <c r="D140" s="30"/>
      <c r="E140" s="74"/>
      <c r="F140" s="1087">
        <v>0</v>
      </c>
      <c r="G140" s="1087">
        <v>0</v>
      </c>
      <c r="H140" s="1087">
        <v>0</v>
      </c>
      <c r="I140" s="1087">
        <v>0</v>
      </c>
      <c r="J140" s="1087">
        <v>0</v>
      </c>
      <c r="K140" s="1087">
        <v>0</v>
      </c>
      <c r="L140" s="1087">
        <v>0</v>
      </c>
      <c r="R140" s="287"/>
    </row>
    <row r="141" spans="1:18">
      <c r="A141" s="290">
        <f>ROW()</f>
        <v>141</v>
      </c>
      <c r="B141" s="1164"/>
      <c r="C141" s="112"/>
      <c r="D141" s="30"/>
      <c r="E141" s="74"/>
      <c r="F141" s="1087">
        <v>0</v>
      </c>
      <c r="G141" s="1087">
        <v>0</v>
      </c>
      <c r="H141" s="1087">
        <v>0</v>
      </c>
      <c r="I141" s="1087">
        <v>0</v>
      </c>
      <c r="J141" s="1087">
        <v>0</v>
      </c>
      <c r="K141" s="1087">
        <v>0</v>
      </c>
      <c r="L141" s="1087">
        <v>0</v>
      </c>
      <c r="R141" s="287"/>
    </row>
    <row r="142" spans="1:18">
      <c r="A142" s="290">
        <f>ROW()</f>
        <v>142</v>
      </c>
      <c r="B142" s="287"/>
      <c r="C142" s="112"/>
      <c r="D142" s="30"/>
      <c r="E142" s="74"/>
      <c r="F142" s="1087">
        <v>0</v>
      </c>
      <c r="G142" s="1087">
        <v>0</v>
      </c>
      <c r="H142" s="1087">
        <v>0</v>
      </c>
      <c r="I142" s="1087">
        <v>0</v>
      </c>
      <c r="J142" s="1087">
        <v>0</v>
      </c>
      <c r="K142" s="1087">
        <v>0</v>
      </c>
      <c r="L142" s="1087">
        <v>0</v>
      </c>
      <c r="R142" s="287"/>
    </row>
    <row r="143" spans="1:18">
      <c r="A143" s="290">
        <f>ROW()</f>
        <v>143</v>
      </c>
      <c r="B143" s="287"/>
      <c r="C143" s="112"/>
      <c r="D143" s="30"/>
      <c r="E143" s="74"/>
      <c r="F143" s="1087">
        <v>0</v>
      </c>
      <c r="G143" s="1087">
        <v>0</v>
      </c>
      <c r="H143" s="1087">
        <v>0</v>
      </c>
      <c r="I143" s="1087">
        <v>0</v>
      </c>
      <c r="J143" s="1087">
        <v>0</v>
      </c>
      <c r="K143" s="1087">
        <v>0</v>
      </c>
      <c r="L143" s="1087">
        <v>0</v>
      </c>
      <c r="R143" s="287"/>
    </row>
    <row r="144" spans="1:18">
      <c r="A144" s="290">
        <f>ROW()</f>
        <v>144</v>
      </c>
      <c r="B144" s="30"/>
      <c r="C144" s="109"/>
      <c r="D144" s="54"/>
      <c r="E144" s="74"/>
      <c r="F144" s="658"/>
      <c r="G144" s="658"/>
      <c r="H144" s="658"/>
      <c r="I144" s="658"/>
      <c r="J144" s="658"/>
      <c r="K144" s="658"/>
      <c r="L144" s="658"/>
      <c r="R144" s="287"/>
    </row>
    <row r="145" spans="1:18" ht="14.4" thickBot="1">
      <c r="A145" s="290">
        <f>ROW()</f>
        <v>145</v>
      </c>
      <c r="B145" s="1715" t="s">
        <v>672</v>
      </c>
      <c r="C145" s="1716"/>
      <c r="D145" s="1715"/>
      <c r="E145" s="1715"/>
      <c r="F145" s="1717">
        <f t="shared" ref="F145:L145" si="17">SUM(F110:F143)</f>
        <v>0</v>
      </c>
      <c r="G145" s="1717">
        <f t="shared" si="17"/>
        <v>0</v>
      </c>
      <c r="H145" s="1717">
        <f t="shared" si="17"/>
        <v>7500</v>
      </c>
      <c r="I145" s="1717">
        <f t="shared" si="17"/>
        <v>7500</v>
      </c>
      <c r="J145" s="1717">
        <f t="shared" si="17"/>
        <v>7500</v>
      </c>
      <c r="K145" s="1717">
        <f t="shared" si="17"/>
        <v>10000</v>
      </c>
      <c r="L145" s="1717">
        <f t="shared" si="17"/>
        <v>15000</v>
      </c>
      <c r="R145" s="287"/>
    </row>
    <row r="146" spans="1:18" ht="14.4" thickTop="1">
      <c r="A146" s="290">
        <f>ROW()</f>
        <v>146</v>
      </c>
      <c r="B146" s="30"/>
      <c r="C146" s="112"/>
      <c r="D146" s="30"/>
      <c r="E146" s="74"/>
      <c r="F146" s="109"/>
      <c r="G146" s="109"/>
      <c r="H146" s="109"/>
      <c r="I146" s="490"/>
      <c r="J146" s="490"/>
      <c r="K146" s="490"/>
      <c r="L146" s="490"/>
      <c r="N146" s="55"/>
      <c r="O146" s="55"/>
      <c r="P146" s="55"/>
      <c r="Q146" s="55"/>
      <c r="R146" s="287"/>
    </row>
    <row r="147" spans="1:18">
      <c r="A147" s="290">
        <f>ROW()</f>
        <v>147</v>
      </c>
      <c r="B147" s="1502" t="s">
        <v>1261</v>
      </c>
      <c r="C147" s="1712" t="s">
        <v>673</v>
      </c>
      <c r="D147" s="1502" t="s">
        <v>1302</v>
      </c>
      <c r="E147" s="1502"/>
      <c r="F147" s="1723"/>
      <c r="G147" s="1723"/>
      <c r="H147" s="1723"/>
      <c r="I147" s="1721"/>
      <c r="J147" s="1721"/>
      <c r="K147" s="1721"/>
      <c r="L147" s="1721"/>
      <c r="N147" s="55"/>
      <c r="O147" s="55"/>
      <c r="P147" s="55"/>
      <c r="Q147" s="55"/>
      <c r="R147" s="287"/>
    </row>
    <row r="148" spans="1:18">
      <c r="A148" s="290">
        <f>ROW()</f>
        <v>148</v>
      </c>
      <c r="B148" s="32" t="s">
        <v>674</v>
      </c>
      <c r="C148" s="269"/>
      <c r="D148" s="292">
        <v>0</v>
      </c>
      <c r="E148" s="509"/>
      <c r="F148" s="490"/>
      <c r="G148" s="490">
        <f>IF($C$148="yes",' Enrol &amp; Rev'!G36*Staff!$C$71*$D$148,(' Enrol &amp; Rev'!G36*' Enrol &amp; Rev'!G92)*Staff!$C$71*$D$148)</f>
        <v>0</v>
      </c>
      <c r="H148" s="490">
        <f>IF($C$148="yes",' Enrol &amp; Rev'!H36*Staff!$C$71*$D$148,(' Enrol &amp; Rev'!H36*' Enrol &amp; Rev'!H92)*Staff!$C$71*$D$148)</f>
        <v>0</v>
      </c>
      <c r="I148" s="490">
        <f>IF($C$148="yes",' Enrol &amp; Rev'!I36*Staff!$C$71*$D$148,(' Enrol &amp; Rev'!I36*' Enrol &amp; Rev'!I92)*Staff!$C$71*$D$148)</f>
        <v>0</v>
      </c>
      <c r="J148" s="490">
        <f>IF($C$148="yes",' Enrol &amp; Rev'!J36*Staff!$C$71*$D$148,(' Enrol &amp; Rev'!J36*' Enrol &amp; Rev'!J92)*Staff!$C$71*$D$148)</f>
        <v>0</v>
      </c>
      <c r="K148" s="490">
        <f>IF($C$148="yes",' Enrol &amp; Rev'!K36*Staff!$C$71*$D$148,(' Enrol &amp; Rev'!K36*' Enrol &amp; Rev'!K92)*Staff!$C$71*$D$148)</f>
        <v>0</v>
      </c>
      <c r="L148" s="490">
        <f>IF($C$148="yes",' Enrol &amp; Rev'!L36*Staff!$C$71*$D$148,(' Enrol &amp; Rev'!L36*' Enrol &amp; Rev'!L92)*Staff!$C$71*$D$148)</f>
        <v>0</v>
      </c>
      <c r="R148" s="287"/>
    </row>
    <row r="149" spans="1:18">
      <c r="A149" s="290">
        <f>ROW()</f>
        <v>149</v>
      </c>
      <c r="B149" s="41" t="s">
        <v>1260</v>
      </c>
      <c r="C149" s="269"/>
      <c r="D149" s="511">
        <v>0</v>
      </c>
      <c r="E149" s="510"/>
      <c r="F149" s="659"/>
      <c r="G149" s="490">
        <f>IF($C$149="yes",' Enrol &amp; Rev'!G36*Staff!$C$71*$D$149,(' Enrol &amp; Rev'!G36*' Enrol &amp; Rev'!G92)*Staff!$C$71*$D$149)</f>
        <v>0</v>
      </c>
      <c r="H149" s="490">
        <f>IF($C$149="yes",' Enrol &amp; Rev'!H36*Staff!$C$71*$D$149,(' Enrol &amp; Rev'!H36*' Enrol &amp; Rev'!H92)*Staff!$C$71*$D$149)</f>
        <v>0</v>
      </c>
      <c r="I149" s="490">
        <f>IF($C$149="yes",' Enrol &amp; Rev'!I36*Staff!$C$71*$D$149,(' Enrol &amp; Rev'!I36*' Enrol &amp; Rev'!I92)*Staff!$C$71*$D$149)</f>
        <v>0</v>
      </c>
      <c r="J149" s="490">
        <f>IF($C$149="yes",' Enrol &amp; Rev'!J36*Staff!$C$71*$D$149,(' Enrol &amp; Rev'!J36*' Enrol &amp; Rev'!J92)*Staff!$C$71*$D$149)</f>
        <v>0</v>
      </c>
      <c r="K149" s="490">
        <f>IF($C$149="yes",' Enrol &amp; Rev'!K36*Staff!$C$71*$D$149,(' Enrol &amp; Rev'!K36*' Enrol &amp; Rev'!K92)*Staff!$C$71*$D$149)</f>
        <v>0</v>
      </c>
      <c r="L149" s="490">
        <f>IF($C$149="yes",' Enrol &amp; Rev'!L36*Staff!$C$71*$D$149,(' Enrol &amp; Rev'!L36*' Enrol &amp; Rev'!L92)*Staff!$C$71*$D$149)</f>
        <v>0</v>
      </c>
      <c r="M149" s="41"/>
      <c r="N149" s="41"/>
      <c r="O149" s="41"/>
      <c r="P149" s="41"/>
      <c r="Q149" s="41"/>
      <c r="R149" s="287"/>
    </row>
    <row r="150" spans="1:18">
      <c r="A150" s="290">
        <f>ROW()</f>
        <v>150</v>
      </c>
      <c r="B150" s="32" t="s">
        <v>675</v>
      </c>
      <c r="C150" s="269"/>
      <c r="D150" s="292">
        <v>0</v>
      </c>
      <c r="E150" s="509"/>
      <c r="F150" s="490"/>
      <c r="G150" s="490">
        <f>IF($C$150="yes",$D$150*' Enrol &amp; Rev'!G36*Staff!$C$71,0)</f>
        <v>0</v>
      </c>
      <c r="H150" s="490">
        <f>IF($C$150="yes",$D$150*' Enrol &amp; Rev'!H36*Staff!$C$71,0)</f>
        <v>0</v>
      </c>
      <c r="I150" s="490">
        <f>IF($C$150="yes",$D$150*' Enrol &amp; Rev'!I36*Staff!$C$71,0)</f>
        <v>0</v>
      </c>
      <c r="J150" s="490">
        <f>IF($C$150="yes",$D$150*' Enrol &amp; Rev'!J36*Staff!$C$71,0)</f>
        <v>0</v>
      </c>
      <c r="K150" s="490">
        <f>IF($C$150="yes",$D$150*' Enrol &amp; Rev'!K36*Staff!$C$71,0)</f>
        <v>0</v>
      </c>
      <c r="L150" s="490">
        <f>IF($C$150="yes",$D$150*' Enrol &amp; Rev'!L36*Staff!$C$71,0)</f>
        <v>0</v>
      </c>
      <c r="R150" s="287"/>
    </row>
    <row r="151" spans="1:18">
      <c r="A151" s="290">
        <f>ROW()</f>
        <v>151</v>
      </c>
      <c r="B151" s="32" t="s">
        <v>676</v>
      </c>
      <c r="C151" s="269"/>
      <c r="D151" s="292">
        <v>0</v>
      </c>
      <c r="E151" s="509"/>
      <c r="F151" s="490"/>
      <c r="G151" s="490">
        <f>IF($C$151="yes",$D$151*Staff!$C$72*' Enrol &amp; Rev'!G36,0)</f>
        <v>0</v>
      </c>
      <c r="H151" s="490">
        <f>IF($C$151="yes",$D$151*Staff!$C$72*' Enrol &amp; Rev'!H36,0)</f>
        <v>0</v>
      </c>
      <c r="I151" s="490">
        <f>IF($C$151="yes",$D$151*Staff!$C$72*' Enrol &amp; Rev'!I36,0)</f>
        <v>0</v>
      </c>
      <c r="J151" s="490">
        <f>IF($C$151="yes",$D$151*Staff!$C$72*' Enrol &amp; Rev'!J36,0)</f>
        <v>0</v>
      </c>
      <c r="K151" s="490">
        <f>IF($C$151="yes",$D$151*Staff!$C$72*' Enrol &amp; Rev'!K36,0)</f>
        <v>0</v>
      </c>
      <c r="L151" s="490">
        <f>IF($C$151="yes",$D$151*Staff!$C$72*' Enrol &amp; Rev'!L36,0)</f>
        <v>0</v>
      </c>
      <c r="R151" s="287"/>
    </row>
    <row r="152" spans="1:18">
      <c r="A152" s="290">
        <f>ROW()</f>
        <v>152</v>
      </c>
      <c r="C152" s="109"/>
      <c r="F152" s="658"/>
      <c r="G152" s="658"/>
      <c r="H152" s="658"/>
      <c r="I152" s="658"/>
      <c r="J152" s="658"/>
      <c r="K152" s="658"/>
      <c r="L152" s="658"/>
      <c r="R152" s="287"/>
    </row>
    <row r="153" spans="1:18" ht="14.4" thickBot="1">
      <c r="A153" s="290">
        <f>ROW()</f>
        <v>153</v>
      </c>
      <c r="B153" s="1715" t="s">
        <v>677</v>
      </c>
      <c r="C153" s="1716"/>
      <c r="D153" s="1715"/>
      <c r="E153" s="1715"/>
      <c r="F153" s="1717">
        <f t="shared" ref="F153:L153" si="18">SUM(F148:F151)</f>
        <v>0</v>
      </c>
      <c r="G153" s="1717">
        <f t="shared" si="18"/>
        <v>0</v>
      </c>
      <c r="H153" s="1717">
        <f t="shared" si="18"/>
        <v>0</v>
      </c>
      <c r="I153" s="1717">
        <f t="shared" si="18"/>
        <v>0</v>
      </c>
      <c r="J153" s="1717">
        <f t="shared" si="18"/>
        <v>0</v>
      </c>
      <c r="K153" s="1717">
        <f t="shared" si="18"/>
        <v>0</v>
      </c>
      <c r="L153" s="1717">
        <f t="shared" si="18"/>
        <v>0</v>
      </c>
      <c r="R153" s="287"/>
    </row>
    <row r="154" spans="1:18" ht="14.4" thickTop="1">
      <c r="A154" s="290">
        <f>ROW()</f>
        <v>154</v>
      </c>
      <c r="C154" s="109"/>
      <c r="F154" s="490"/>
      <c r="G154" s="490"/>
      <c r="H154" s="490"/>
      <c r="I154" s="490"/>
      <c r="J154" s="490"/>
      <c r="K154" s="490"/>
      <c r="L154" s="490"/>
      <c r="R154" s="287"/>
    </row>
    <row r="155" spans="1:18">
      <c r="A155" s="290">
        <f>ROW()</f>
        <v>155</v>
      </c>
      <c r="B155" s="1502" t="s">
        <v>678</v>
      </c>
      <c r="C155" s="1712"/>
      <c r="D155" s="1502"/>
      <c r="E155" s="1502"/>
      <c r="F155" s="1503"/>
      <c r="G155" s="1727"/>
      <c r="H155" s="1727"/>
      <c r="I155" s="1727"/>
      <c r="J155" s="1727"/>
      <c r="K155" s="1727"/>
      <c r="L155" s="1727"/>
      <c r="R155" s="287"/>
    </row>
    <row r="156" spans="1:18">
      <c r="A156" s="290">
        <f>ROW()</f>
        <v>156</v>
      </c>
      <c r="B156" s="39" t="s">
        <v>679</v>
      </c>
      <c r="C156" s="115"/>
      <c r="F156" s="597">
        <v>0</v>
      </c>
      <c r="G156" s="597">
        <v>0</v>
      </c>
      <c r="H156" s="597">
        <v>0</v>
      </c>
      <c r="I156" s="597">
        <v>0</v>
      </c>
      <c r="J156" s="597">
        <v>0</v>
      </c>
      <c r="K156" s="597">
        <v>0</v>
      </c>
      <c r="L156" s="597">
        <v>0</v>
      </c>
      <c r="R156" s="287"/>
    </row>
    <row r="157" spans="1:18">
      <c r="A157" s="290"/>
      <c r="B157" s="74" t="s">
        <v>1172</v>
      </c>
      <c r="C157" s="109"/>
      <c r="G157" s="89"/>
      <c r="H157" s="89"/>
      <c r="I157" s="89"/>
      <c r="J157" s="89"/>
      <c r="K157" s="89"/>
      <c r="L157" s="89"/>
      <c r="R157" s="287"/>
    </row>
    <row r="158" spans="1:18">
      <c r="A158" s="290">
        <f>ROW()</f>
        <v>158</v>
      </c>
      <c r="B158" s="74" t="s">
        <v>1369</v>
      </c>
      <c r="C158" s="109"/>
      <c r="G158" s="89"/>
      <c r="H158" s="89"/>
      <c r="I158" s="89"/>
      <c r="J158" s="89"/>
      <c r="K158" s="89"/>
      <c r="L158" s="89"/>
      <c r="R158" s="287"/>
    </row>
    <row r="159" spans="1:18">
      <c r="A159" s="290"/>
      <c r="B159" s="74"/>
      <c r="C159" s="109"/>
      <c r="G159" s="89"/>
      <c r="H159" s="89"/>
      <c r="I159" s="89"/>
      <c r="J159" s="89"/>
      <c r="K159" s="89"/>
      <c r="L159" s="89"/>
      <c r="R159" s="287"/>
    </row>
    <row r="160" spans="1:18">
      <c r="A160" s="290">
        <f>ROW()</f>
        <v>160</v>
      </c>
      <c r="B160" s="30" t="s">
        <v>680</v>
      </c>
      <c r="C160" s="112"/>
      <c r="D160" s="30"/>
      <c r="E160" s="30"/>
      <c r="M160" s="31"/>
      <c r="N160" s="31"/>
      <c r="O160" s="31"/>
      <c r="P160" s="31"/>
      <c r="Q160" s="31"/>
      <c r="R160" s="287"/>
    </row>
    <row r="161" spans="1:18">
      <c r="A161" s="290">
        <f>ROW()</f>
        <v>161</v>
      </c>
      <c r="B161" s="32" t="s">
        <v>1286</v>
      </c>
      <c r="C161" s="112"/>
      <c r="G161" s="1275"/>
      <c r="H161" s="1275"/>
      <c r="I161" s="1275"/>
      <c r="J161" s="1275"/>
      <c r="K161" s="1275"/>
      <c r="L161" s="1275"/>
      <c r="M161" s="39"/>
      <c r="N161" s="39"/>
      <c r="O161" s="39"/>
      <c r="P161" s="39"/>
      <c r="Q161" s="88"/>
      <c r="R161" s="287"/>
    </row>
    <row r="162" spans="1:18">
      <c r="A162" s="290">
        <f>ROW()</f>
        <v>162</v>
      </c>
      <c r="B162" s="32" t="s">
        <v>681</v>
      </c>
      <c r="C162" s="112"/>
      <c r="G162" s="127">
        <v>0</v>
      </c>
      <c r="H162" s="127">
        <v>0</v>
      </c>
      <c r="I162" s="127">
        <v>0</v>
      </c>
      <c r="J162" s="127">
        <v>0</v>
      </c>
      <c r="K162" s="127">
        <v>0</v>
      </c>
      <c r="L162" s="127">
        <v>0</v>
      </c>
      <c r="M162" s="39"/>
      <c r="N162" s="39"/>
      <c r="O162" s="39"/>
      <c r="P162" s="39"/>
      <c r="Q162" s="39"/>
      <c r="R162" s="287"/>
    </row>
    <row r="163" spans="1:18">
      <c r="A163" s="290">
        <f>ROW()</f>
        <v>163</v>
      </c>
      <c r="B163" s="32" t="s">
        <v>682</v>
      </c>
      <c r="C163" s="261"/>
      <c r="D163" s="1725"/>
      <c r="G163" s="666">
        <v>0</v>
      </c>
      <c r="H163" s="666">
        <v>0</v>
      </c>
      <c r="I163" s="666">
        <v>0</v>
      </c>
      <c r="J163" s="666">
        <v>0</v>
      </c>
      <c r="K163" s="666">
        <v>0</v>
      </c>
      <c r="L163" s="666">
        <v>0</v>
      </c>
      <c r="M163" s="39"/>
      <c r="N163" s="39"/>
      <c r="O163" s="39"/>
      <c r="P163" s="39"/>
      <c r="Q163" s="39"/>
      <c r="R163" s="287"/>
    </row>
    <row r="164" spans="1:18">
      <c r="A164" s="290">
        <f>ROW()</f>
        <v>164</v>
      </c>
      <c r="B164" s="32" t="s">
        <v>683</v>
      </c>
      <c r="C164" s="709">
        <v>0</v>
      </c>
      <c r="D164" s="1724"/>
      <c r="H164" s="1724"/>
      <c r="I164" s="1724"/>
      <c r="M164" s="39"/>
      <c r="N164" s="39"/>
      <c r="O164" s="39"/>
      <c r="P164" s="39"/>
      <c r="Q164" s="39"/>
      <c r="R164" s="287"/>
    </row>
    <row r="165" spans="1:18">
      <c r="A165" s="290">
        <f>ROW()</f>
        <v>165</v>
      </c>
      <c r="B165" s="32" t="s">
        <v>684</v>
      </c>
      <c r="C165" s="1165">
        <f>C164*Staff!C71</f>
        <v>0</v>
      </c>
      <c r="D165" s="1724"/>
      <c r="H165" s="1724"/>
      <c r="I165" s="1724"/>
      <c r="M165" s="39"/>
      <c r="N165" s="39"/>
      <c r="O165" s="39"/>
      <c r="P165" s="39"/>
      <c r="Q165" s="39"/>
      <c r="R165" s="287"/>
    </row>
    <row r="166" spans="1:18">
      <c r="A166" s="290">
        <f>ROW()</f>
        <v>166</v>
      </c>
      <c r="B166" s="32" t="s">
        <v>685</v>
      </c>
      <c r="C166" s="711">
        <v>0</v>
      </c>
      <c r="M166" s="39"/>
      <c r="N166" s="39"/>
      <c r="O166" s="39"/>
      <c r="P166" s="39"/>
      <c r="Q166" s="39"/>
      <c r="R166" s="287"/>
    </row>
    <row r="167" spans="1:18">
      <c r="A167" s="290">
        <f>ROW()</f>
        <v>167</v>
      </c>
      <c r="B167" s="32" t="s">
        <v>686</v>
      </c>
      <c r="C167" s="1165">
        <f>IF(C165&lt;&gt;0,C165/C166,0)</f>
        <v>0</v>
      </c>
      <c r="M167" s="39"/>
      <c r="N167" s="39"/>
      <c r="O167" s="39"/>
      <c r="P167" s="39"/>
      <c r="Q167" s="39"/>
      <c r="R167" s="287"/>
    </row>
    <row r="168" spans="1:18">
      <c r="A168" s="290">
        <f>ROW()</f>
        <v>168</v>
      </c>
      <c r="B168" s="32" t="s">
        <v>687</v>
      </c>
      <c r="C168" s="712">
        <v>0</v>
      </c>
      <c r="M168" s="39"/>
      <c r="N168" s="39"/>
      <c r="O168" s="39"/>
      <c r="P168" s="39"/>
      <c r="Q168" s="39"/>
      <c r="R168" s="287"/>
    </row>
    <row r="169" spans="1:18">
      <c r="A169" s="290">
        <f>ROW()</f>
        <v>169</v>
      </c>
      <c r="B169" s="32" t="s">
        <v>688</v>
      </c>
      <c r="C169" s="1166">
        <f>C167*C168</f>
        <v>0</v>
      </c>
      <c r="M169" s="39"/>
      <c r="N169" s="39"/>
      <c r="O169" s="39"/>
      <c r="P169" s="39"/>
      <c r="Q169" s="39"/>
      <c r="R169" s="287"/>
    </row>
    <row r="170" spans="1:18">
      <c r="A170" s="290">
        <f>ROW()</f>
        <v>170</v>
      </c>
      <c r="B170" s="32" t="s">
        <v>689</v>
      </c>
      <c r="C170" s="713">
        <v>0</v>
      </c>
      <c r="D170" s="32" t="s">
        <v>690</v>
      </c>
      <c r="M170" s="39"/>
      <c r="N170" s="39"/>
      <c r="O170" s="39"/>
      <c r="P170" s="39"/>
      <c r="Q170" s="39"/>
      <c r="R170" s="287"/>
    </row>
    <row r="171" spans="1:18">
      <c r="A171" s="290">
        <f>ROW()</f>
        <v>171</v>
      </c>
      <c r="B171" s="32" t="s">
        <v>691</v>
      </c>
      <c r="C171" s="1167">
        <f>C170*C165</f>
        <v>0</v>
      </c>
      <c r="M171" s="39"/>
      <c r="N171" s="39"/>
      <c r="O171" s="39"/>
      <c r="P171" s="39"/>
      <c r="Q171" s="39"/>
      <c r="R171" s="287"/>
    </row>
    <row r="172" spans="1:18">
      <c r="A172" s="290">
        <f>ROW()</f>
        <v>172</v>
      </c>
      <c r="B172" s="32" t="s">
        <v>692</v>
      </c>
      <c r="C172" s="710">
        <v>0</v>
      </c>
      <c r="D172" s="32" t="s">
        <v>693</v>
      </c>
      <c r="M172" s="39"/>
      <c r="N172" s="39"/>
      <c r="O172" s="39"/>
      <c r="P172" s="39"/>
      <c r="Q172" s="39"/>
      <c r="R172" s="287"/>
    </row>
    <row r="173" spans="1:18">
      <c r="A173" s="290">
        <f>ROW()</f>
        <v>173</v>
      </c>
      <c r="B173" s="32" t="s">
        <v>1287</v>
      </c>
      <c r="C173" s="1116"/>
      <c r="G173" s="429">
        <f>' Enrol &amp; Rev'!G36</f>
        <v>230</v>
      </c>
      <c r="H173" s="429">
        <f>' Enrol &amp; Rev'!H36</f>
        <v>310</v>
      </c>
      <c r="I173" s="429">
        <f>' Enrol &amp; Rev'!I36</f>
        <v>390</v>
      </c>
      <c r="J173" s="429">
        <f>' Enrol &amp; Rev'!J36</f>
        <v>470</v>
      </c>
      <c r="K173" s="429">
        <f>' Enrol &amp; Rev'!K36</f>
        <v>550</v>
      </c>
      <c r="L173" s="429">
        <f>' Enrol &amp; Rev'!L36</f>
        <v>560</v>
      </c>
      <c r="R173" s="287"/>
    </row>
    <row r="174" spans="1:18">
      <c r="A174" s="290">
        <f>ROW()</f>
        <v>174</v>
      </c>
      <c r="B174" s="32" t="s">
        <v>1288</v>
      </c>
      <c r="C174" s="109"/>
      <c r="F174" s="40"/>
      <c r="G174" s="117">
        <f t="shared" ref="G174:L174" si="19">G$161*G173</f>
        <v>0</v>
      </c>
      <c r="H174" s="117">
        <f t="shared" si="19"/>
        <v>0</v>
      </c>
      <c r="I174" s="117">
        <f t="shared" si="19"/>
        <v>0</v>
      </c>
      <c r="J174" s="117">
        <f t="shared" si="19"/>
        <v>0</v>
      </c>
      <c r="K174" s="117">
        <f t="shared" si="19"/>
        <v>0</v>
      </c>
      <c r="L174" s="117">
        <f t="shared" si="19"/>
        <v>0</v>
      </c>
      <c r="R174" s="287"/>
    </row>
    <row r="175" spans="1:18">
      <c r="A175" s="290">
        <f>ROW()</f>
        <v>175</v>
      </c>
      <c r="B175" s="58" t="s">
        <v>694</v>
      </c>
      <c r="C175" s="116"/>
      <c r="D175" s="58"/>
      <c r="E175" s="58"/>
      <c r="F175" s="262"/>
      <c r="G175" s="118">
        <f t="shared" ref="G175:L175" si="20">IF(G174=0,0,IF(G174&gt;(G$162*5),6,IF(G174&gt;(G$162*4),5,IF(G174&gt;(G$162*3),4,IF(G174&gt;(G$162*2),3,IF(G174&gt;G$162,2,IF(G174&gt;0,1)))))))</f>
        <v>0</v>
      </c>
      <c r="H175" s="118">
        <f t="shared" si="20"/>
        <v>0</v>
      </c>
      <c r="I175" s="118">
        <f t="shared" si="20"/>
        <v>0</v>
      </c>
      <c r="J175" s="118">
        <f t="shared" si="20"/>
        <v>0</v>
      </c>
      <c r="K175" s="118">
        <f t="shared" si="20"/>
        <v>0</v>
      </c>
      <c r="L175" s="118">
        <f t="shared" si="20"/>
        <v>0</v>
      </c>
      <c r="R175" s="287"/>
    </row>
    <row r="176" spans="1:18">
      <c r="A176" s="290">
        <f>ROW()</f>
        <v>176</v>
      </c>
      <c r="B176" s="32" t="s">
        <v>695</v>
      </c>
      <c r="C176" s="109"/>
      <c r="F176" s="55"/>
      <c r="G176" s="490">
        <f>G175*G$163</f>
        <v>0</v>
      </c>
      <c r="H176" s="490">
        <f>(H175-G175)*H$163</f>
        <v>0</v>
      </c>
      <c r="I176" s="490">
        <f>(I175-H175)*I$163</f>
        <v>0</v>
      </c>
      <c r="J176" s="490">
        <f>(J175-I175)*J$163</f>
        <v>0</v>
      </c>
      <c r="K176" s="490">
        <f t="shared" ref="K176:L176" si="21">(K175-J175)*K$163</f>
        <v>0</v>
      </c>
      <c r="L176" s="490">
        <f t="shared" si="21"/>
        <v>0</v>
      </c>
      <c r="R176" s="287"/>
    </row>
    <row r="177" spans="1:18">
      <c r="A177" s="290">
        <f>ROW()</f>
        <v>177</v>
      </c>
      <c r="B177" s="32" t="s">
        <v>696</v>
      </c>
      <c r="C177" s="109"/>
      <c r="F177" s="50"/>
      <c r="G177" s="109">
        <f t="shared" ref="G177:L177" si="22">G175*$C$169</f>
        <v>0</v>
      </c>
      <c r="H177" s="109">
        <f t="shared" si="22"/>
        <v>0</v>
      </c>
      <c r="I177" s="109">
        <f t="shared" si="22"/>
        <v>0</v>
      </c>
      <c r="J177" s="109">
        <f t="shared" si="22"/>
        <v>0</v>
      </c>
      <c r="K177" s="109">
        <f t="shared" si="22"/>
        <v>0</v>
      </c>
      <c r="L177" s="109">
        <f t="shared" si="22"/>
        <v>0</v>
      </c>
      <c r="R177" s="287"/>
    </row>
    <row r="178" spans="1:18">
      <c r="A178" s="290">
        <f>ROW()</f>
        <v>178</v>
      </c>
      <c r="B178" s="32" t="s">
        <v>697</v>
      </c>
      <c r="C178" s="109"/>
      <c r="F178" s="50"/>
      <c r="G178" s="109">
        <f t="shared" ref="G178:L178" si="23">G175*$C$171</f>
        <v>0</v>
      </c>
      <c r="H178" s="109">
        <f t="shared" si="23"/>
        <v>0</v>
      </c>
      <c r="I178" s="109">
        <f t="shared" si="23"/>
        <v>0</v>
      </c>
      <c r="J178" s="109">
        <f t="shared" si="23"/>
        <v>0</v>
      </c>
      <c r="K178" s="109">
        <f t="shared" si="23"/>
        <v>0</v>
      </c>
      <c r="L178" s="109">
        <f t="shared" si="23"/>
        <v>0</v>
      </c>
      <c r="R178" s="287"/>
    </row>
    <row r="179" spans="1:18">
      <c r="A179" s="290">
        <f>ROW()</f>
        <v>179</v>
      </c>
      <c r="B179" s="32" t="s">
        <v>692</v>
      </c>
      <c r="C179" s="109"/>
      <c r="F179" s="50"/>
      <c r="G179" s="109">
        <f t="shared" ref="G179:L179" si="24">G175*$C$172</f>
        <v>0</v>
      </c>
      <c r="H179" s="109">
        <f t="shared" si="24"/>
        <v>0</v>
      </c>
      <c r="I179" s="109">
        <f t="shared" si="24"/>
        <v>0</v>
      </c>
      <c r="J179" s="109">
        <f t="shared" si="24"/>
        <v>0</v>
      </c>
      <c r="K179" s="109">
        <f t="shared" si="24"/>
        <v>0</v>
      </c>
      <c r="L179" s="109">
        <f t="shared" si="24"/>
        <v>0</v>
      </c>
      <c r="R179" s="287"/>
    </row>
    <row r="180" spans="1:18" ht="14.4" thickBot="1">
      <c r="A180" s="290">
        <f>ROW()</f>
        <v>180</v>
      </c>
      <c r="C180" s="109"/>
      <c r="F180" s="263"/>
      <c r="G180" s="263"/>
      <c r="H180" s="263"/>
      <c r="I180" s="263"/>
      <c r="J180" s="263"/>
      <c r="K180" s="263"/>
      <c r="L180" s="263"/>
      <c r="R180" s="287"/>
    </row>
    <row r="181" spans="1:18" ht="14.4" thickBot="1">
      <c r="A181" s="290">
        <f>ROW()</f>
        <v>181</v>
      </c>
      <c r="B181" s="1726" t="s">
        <v>698</v>
      </c>
      <c r="C181" s="731">
        <f>SUM(F181:L181)</f>
        <v>0</v>
      </c>
      <c r="D181" s="637"/>
      <c r="E181" s="637"/>
      <c r="F181" s="731">
        <f t="shared" ref="F181" si="25">SUM(F176:F179)</f>
        <v>0</v>
      </c>
      <c r="G181" s="731">
        <f t="shared" ref="G181:L181" si="26">SUM(G176:G179)</f>
        <v>0</v>
      </c>
      <c r="H181" s="731">
        <f>SUM(H176:H179)</f>
        <v>0</v>
      </c>
      <c r="I181" s="731">
        <f t="shared" si="26"/>
        <v>0</v>
      </c>
      <c r="J181" s="731">
        <f t="shared" si="26"/>
        <v>0</v>
      </c>
      <c r="K181" s="731">
        <f t="shared" si="26"/>
        <v>0</v>
      </c>
      <c r="L181" s="731">
        <f t="shared" si="26"/>
        <v>0</v>
      </c>
      <c r="R181" s="287"/>
    </row>
    <row r="182" spans="1:18">
      <c r="A182" s="290">
        <f>ROW()</f>
        <v>182</v>
      </c>
      <c r="B182" s="32" t="s">
        <v>699</v>
      </c>
      <c r="G182" s="518" t="e">
        <f>+G181/G162</f>
        <v>#DIV/0!</v>
      </c>
      <c r="H182" s="518" t="e">
        <f t="shared" ref="H182:L182" si="27">+H181/H162</f>
        <v>#DIV/0!</v>
      </c>
      <c r="I182" s="518" t="e">
        <f t="shared" si="27"/>
        <v>#DIV/0!</v>
      </c>
      <c r="J182" s="518" t="e">
        <f t="shared" si="27"/>
        <v>#DIV/0!</v>
      </c>
      <c r="K182" s="518" t="e">
        <f t="shared" si="27"/>
        <v>#DIV/0!</v>
      </c>
      <c r="L182" s="518" t="e">
        <f t="shared" si="27"/>
        <v>#DIV/0!</v>
      </c>
      <c r="R182" s="287"/>
    </row>
    <row r="183" spans="1:18">
      <c r="A183" s="290">
        <f>ROW()</f>
        <v>183</v>
      </c>
      <c r="R183" s="287"/>
    </row>
    <row r="184" spans="1:18" ht="14.4" thickBot="1">
      <c r="A184" s="290">
        <f>ROW()</f>
        <v>184</v>
      </c>
      <c r="B184" s="1715" t="s">
        <v>700</v>
      </c>
      <c r="C184" s="1716">
        <f>SUM(F184:L184)</f>
        <v>0</v>
      </c>
      <c r="D184" s="1715"/>
      <c r="E184" s="1715"/>
      <c r="F184" s="1717">
        <f t="shared" ref="F184" si="28">F181-F156</f>
        <v>0</v>
      </c>
      <c r="G184" s="1717">
        <f>G181-G156</f>
        <v>0</v>
      </c>
      <c r="H184" s="1717">
        <f t="shared" ref="H184:L184" si="29">H181-H156</f>
        <v>0</v>
      </c>
      <c r="I184" s="1717">
        <f t="shared" si="29"/>
        <v>0</v>
      </c>
      <c r="J184" s="1717">
        <f t="shared" si="29"/>
        <v>0</v>
      </c>
      <c r="K184" s="1717">
        <f t="shared" si="29"/>
        <v>0</v>
      </c>
      <c r="L184" s="1717">
        <f t="shared" si="29"/>
        <v>0</v>
      </c>
      <c r="R184" s="762"/>
    </row>
    <row r="185" spans="1:18" ht="14.4" thickTop="1">
      <c r="A185" s="290">
        <f>ROW()</f>
        <v>185</v>
      </c>
      <c r="C185" s="109"/>
    </row>
    <row r="186" spans="1:18">
      <c r="A186" s="290">
        <f>ROW()</f>
        <v>186</v>
      </c>
      <c r="B186" s="1509" t="s">
        <v>701</v>
      </c>
      <c r="C186" s="1670"/>
      <c r="D186" s="1643"/>
      <c r="E186" s="1643"/>
      <c r="F186" s="1491"/>
      <c r="G186" s="1445"/>
      <c r="H186" s="1509"/>
      <c r="I186" s="1445"/>
      <c r="J186" s="1445"/>
      <c r="K186" s="1445"/>
      <c r="L186" s="1445"/>
    </row>
    <row r="187" spans="1:18">
      <c r="A187" s="290">
        <f>ROW()</f>
        <v>187</v>
      </c>
      <c r="B187" s="213"/>
      <c r="C187" s="1116"/>
      <c r="D187" s="1168"/>
      <c r="E187" s="764"/>
      <c r="F187" s="595">
        <v>0</v>
      </c>
      <c r="G187" s="595">
        <v>0</v>
      </c>
      <c r="H187" s="595">
        <v>0</v>
      </c>
      <c r="I187" s="595">
        <v>0</v>
      </c>
      <c r="J187" s="595">
        <v>0</v>
      </c>
      <c r="K187" s="595">
        <v>0</v>
      </c>
      <c r="L187" s="595">
        <v>0</v>
      </c>
    </row>
    <row r="188" spans="1:18">
      <c r="A188" s="290">
        <f>ROW()</f>
        <v>188</v>
      </c>
      <c r="B188" s="1309"/>
      <c r="C188" s="1116"/>
      <c r="D188" s="1169"/>
      <c r="E188" s="763"/>
      <c r="F188" s="596">
        <v>0</v>
      </c>
      <c r="G188" s="596">
        <v>0</v>
      </c>
      <c r="H188" s="596">
        <v>0</v>
      </c>
      <c r="I188" s="596">
        <v>0</v>
      </c>
      <c r="J188" s="596">
        <v>0</v>
      </c>
      <c r="K188" s="596">
        <v>0</v>
      </c>
      <c r="L188" s="596">
        <v>0</v>
      </c>
    </row>
    <row r="189" spans="1:18">
      <c r="A189" s="290">
        <f>ROW()</f>
        <v>189</v>
      </c>
      <c r="B189" s="1309"/>
      <c r="C189" s="1116"/>
      <c r="D189" s="1169"/>
      <c r="E189" s="763"/>
      <c r="F189" s="596">
        <v>0</v>
      </c>
      <c r="G189" s="596">
        <v>0</v>
      </c>
      <c r="H189" s="596">
        <v>0</v>
      </c>
      <c r="I189" s="596">
        <v>0</v>
      </c>
      <c r="J189" s="596">
        <v>0</v>
      </c>
      <c r="K189" s="596">
        <v>0</v>
      </c>
      <c r="L189" s="596">
        <v>0</v>
      </c>
    </row>
    <row r="190" spans="1:18">
      <c r="A190" s="290">
        <f>ROW()</f>
        <v>190</v>
      </c>
      <c r="B190" s="1309"/>
      <c r="C190" s="1116"/>
      <c r="D190" s="1169"/>
      <c r="E190" s="763"/>
      <c r="F190" s="596">
        <v>0</v>
      </c>
      <c r="G190" s="596">
        <v>0</v>
      </c>
      <c r="H190" s="596">
        <v>0</v>
      </c>
      <c r="I190" s="596">
        <v>0</v>
      </c>
      <c r="J190" s="596">
        <v>0</v>
      </c>
      <c r="K190" s="596">
        <v>0</v>
      </c>
      <c r="L190" s="596">
        <v>0</v>
      </c>
    </row>
    <row r="191" spans="1:18">
      <c r="A191" s="290">
        <f>ROW()</f>
        <v>191</v>
      </c>
      <c r="B191" s="1309"/>
      <c r="C191" s="1116"/>
      <c r="D191" s="1169"/>
      <c r="E191" s="763"/>
      <c r="F191" s="596">
        <v>0</v>
      </c>
      <c r="G191" s="596">
        <v>0</v>
      </c>
      <c r="H191" s="596">
        <v>0</v>
      </c>
      <c r="I191" s="596">
        <v>0</v>
      </c>
      <c r="J191" s="596">
        <v>0</v>
      </c>
      <c r="K191" s="596">
        <v>0</v>
      </c>
      <c r="L191" s="596">
        <v>0</v>
      </c>
    </row>
    <row r="192" spans="1:18">
      <c r="A192" s="290">
        <f>ROW()</f>
        <v>192</v>
      </c>
      <c r="B192" s="1309"/>
      <c r="C192" s="1116"/>
      <c r="D192" s="1169"/>
      <c r="E192" s="763"/>
      <c r="F192" s="596">
        <v>0</v>
      </c>
      <c r="G192" s="596">
        <v>0</v>
      </c>
      <c r="H192" s="596">
        <v>0</v>
      </c>
      <c r="I192" s="596">
        <v>0</v>
      </c>
      <c r="J192" s="596">
        <v>0</v>
      </c>
      <c r="K192" s="596">
        <v>0</v>
      </c>
      <c r="L192" s="596">
        <v>0</v>
      </c>
    </row>
    <row r="193" spans="1:12">
      <c r="A193" s="290">
        <f>ROW()</f>
        <v>193</v>
      </c>
      <c r="B193" s="1309"/>
      <c r="C193" s="1116"/>
      <c r="D193" s="1169"/>
      <c r="E193" s="763"/>
      <c r="F193" s="596">
        <v>0</v>
      </c>
      <c r="G193" s="596">
        <v>0</v>
      </c>
      <c r="H193" s="596">
        <v>0</v>
      </c>
      <c r="I193" s="596">
        <v>0</v>
      </c>
      <c r="J193" s="596">
        <v>0</v>
      </c>
      <c r="K193" s="596">
        <v>0</v>
      </c>
      <c r="L193" s="596">
        <v>0</v>
      </c>
    </row>
    <row r="194" spans="1:12">
      <c r="A194" s="290">
        <f>ROW()</f>
        <v>194</v>
      </c>
      <c r="B194" s="1309"/>
      <c r="C194" s="1116"/>
      <c r="D194" s="1169"/>
      <c r="E194" s="763"/>
      <c r="F194" s="596">
        <v>0</v>
      </c>
      <c r="G194" s="596">
        <v>0</v>
      </c>
      <c r="H194" s="596">
        <v>0</v>
      </c>
      <c r="I194" s="596">
        <v>0</v>
      </c>
      <c r="J194" s="596">
        <v>0</v>
      </c>
      <c r="K194" s="596">
        <v>0</v>
      </c>
      <c r="L194" s="596">
        <v>0</v>
      </c>
    </row>
    <row r="195" spans="1:12">
      <c r="A195" s="290">
        <f>ROW()</f>
        <v>195</v>
      </c>
      <c r="B195" s="1309"/>
      <c r="C195" s="1116"/>
      <c r="D195" s="1169"/>
      <c r="E195" s="763"/>
      <c r="F195" s="596">
        <v>0</v>
      </c>
      <c r="G195" s="596">
        <v>0</v>
      </c>
      <c r="H195" s="596">
        <v>0</v>
      </c>
      <c r="I195" s="596">
        <v>0</v>
      </c>
      <c r="J195" s="596">
        <v>0</v>
      </c>
      <c r="K195" s="596">
        <v>0</v>
      </c>
      <c r="L195" s="596">
        <v>0</v>
      </c>
    </row>
    <row r="196" spans="1:12" ht="14.4" thickBot="1">
      <c r="A196" s="290">
        <f>ROW()</f>
        <v>196</v>
      </c>
      <c r="C196" s="109"/>
      <c r="D196" s="52"/>
    </row>
    <row r="197" spans="1:12" ht="14.4" thickBot="1">
      <c r="A197" s="290">
        <f>ROW()</f>
        <v>197</v>
      </c>
      <c r="B197" s="730" t="s">
        <v>702</v>
      </c>
      <c r="C197" s="731">
        <f>SUM(F197:L197)</f>
        <v>0</v>
      </c>
      <c r="D197" s="1040"/>
      <c r="E197" s="1040"/>
      <c r="F197" s="731">
        <f t="shared" ref="F197:L197" si="30">SUM(F187:F195)</f>
        <v>0</v>
      </c>
      <c r="G197" s="731">
        <f t="shared" si="30"/>
        <v>0</v>
      </c>
      <c r="H197" s="731">
        <f t="shared" si="30"/>
        <v>0</v>
      </c>
      <c r="I197" s="731">
        <f t="shared" si="30"/>
        <v>0</v>
      </c>
      <c r="J197" s="731">
        <f t="shared" si="30"/>
        <v>0</v>
      </c>
      <c r="K197" s="731">
        <f t="shared" si="30"/>
        <v>0</v>
      </c>
      <c r="L197" s="731">
        <f t="shared" si="30"/>
        <v>0</v>
      </c>
    </row>
    <row r="198" spans="1:12">
      <c r="A198" s="290">
        <f>ROW()</f>
        <v>198</v>
      </c>
    </row>
    <row r="199" spans="1:12">
      <c r="A199" s="290">
        <f>ROW()</f>
        <v>199</v>
      </c>
      <c r="B199" s="32" t="s">
        <v>703</v>
      </c>
      <c r="C199" s="391">
        <v>0</v>
      </c>
      <c r="F199" s="660">
        <f t="shared" ref="F199:L199" si="31">SUM(F153,F145,F106,F184,F197)*((1+$C$199)^(F11-$F11)-1)</f>
        <v>0</v>
      </c>
      <c r="G199" s="490">
        <f>SUM(G153,G145,G106,G184,G197)*((1+$C$199)^(G11-$F11)-1)</f>
        <v>0</v>
      </c>
      <c r="H199" s="490">
        <f>SUM(H153,H145,H106,H184,H197)*((1+$C$199)^(H11-$F11)-1)</f>
        <v>0</v>
      </c>
      <c r="I199" s="660">
        <f t="shared" si="31"/>
        <v>0</v>
      </c>
      <c r="J199" s="660">
        <f t="shared" si="31"/>
        <v>0</v>
      </c>
      <c r="K199" s="660">
        <f>SUM(K153,K145,K106,K184,K197)*((1+$C$199)^(K11-$F11)-1)</f>
        <v>0</v>
      </c>
      <c r="L199" s="660">
        <f t="shared" si="31"/>
        <v>0</v>
      </c>
    </row>
    <row r="200" spans="1:12" ht="14.4" thickBot="1">
      <c r="A200" s="290">
        <f>ROW()</f>
        <v>200</v>
      </c>
      <c r="C200" s="109"/>
      <c r="F200" s="505"/>
      <c r="G200" s="592"/>
      <c r="H200" s="592"/>
      <c r="I200" s="592"/>
      <c r="J200" s="592"/>
      <c r="K200" s="592"/>
      <c r="L200" s="592"/>
    </row>
    <row r="201" spans="1:12" ht="14.4" thickBot="1">
      <c r="A201" s="290">
        <f>ROW()</f>
        <v>201</v>
      </c>
      <c r="B201" s="730" t="s">
        <v>704</v>
      </c>
      <c r="C201" s="544">
        <f>SUM(F201:L201)</f>
        <v>471300</v>
      </c>
      <c r="D201" s="1040"/>
      <c r="E201" s="1040"/>
      <c r="F201" s="544">
        <f>SUM(F153,F145,F106,F199,F184,F197)</f>
        <v>0</v>
      </c>
      <c r="G201" s="544">
        <f>SUM(G153,G145,G106,G199,G184,G197)</f>
        <v>92300</v>
      </c>
      <c r="H201" s="544">
        <f t="shared" ref="H201:L201" si="32">SUM(H153,H145,H106,H199,H184,H197)</f>
        <v>71800</v>
      </c>
      <c r="I201" s="544">
        <f>SUM(I153,I145,I106,I199,I184,I197)</f>
        <v>71800</v>
      </c>
      <c r="J201" s="544">
        <f t="shared" si="32"/>
        <v>81800</v>
      </c>
      <c r="K201" s="544">
        <f t="shared" si="32"/>
        <v>74300</v>
      </c>
      <c r="L201" s="544">
        <f t="shared" si="32"/>
        <v>79300</v>
      </c>
    </row>
    <row r="202" spans="1:12" ht="14.4" thickBot="1">
      <c r="A202" s="290">
        <f>ROW()</f>
        <v>202</v>
      </c>
    </row>
    <row r="203" spans="1:12" ht="14.4" thickBot="1">
      <c r="A203" s="290">
        <f>ROW()</f>
        <v>203</v>
      </c>
      <c r="B203" s="1291" t="s">
        <v>705</v>
      </c>
      <c r="C203" s="1292">
        <f>SUM(F203:L203)</f>
        <v>471300</v>
      </c>
      <c r="D203" s="1293"/>
      <c r="E203" s="1293"/>
      <c r="F203" s="1292">
        <f>+F201-F184</f>
        <v>0</v>
      </c>
      <c r="G203" s="1292">
        <f>+G201-G184</f>
        <v>92300</v>
      </c>
      <c r="H203" s="1292">
        <f t="shared" ref="H203:L203" si="33">+H201-H184</f>
        <v>71800</v>
      </c>
      <c r="I203" s="1292">
        <f t="shared" si="33"/>
        <v>71800</v>
      </c>
      <c r="J203" s="1292">
        <f t="shared" si="33"/>
        <v>81800</v>
      </c>
      <c r="K203" s="1292">
        <f t="shared" si="33"/>
        <v>74300</v>
      </c>
      <c r="L203" s="1292">
        <f t="shared" si="33"/>
        <v>79300</v>
      </c>
    </row>
    <row r="204" spans="1:12">
      <c r="B204" s="205"/>
    </row>
  </sheetData>
  <sheetProtection sheet="1" objects="1" scenarios="1"/>
  <sortState xmlns:xlrd2="http://schemas.microsoft.com/office/spreadsheetml/2017/richdata2" ref="B112:B129">
    <sortCondition ref="B112:B129"/>
  </sortState>
  <mergeCells count="1">
    <mergeCell ref="D10:E10"/>
  </mergeCells>
  <conditionalFormatting sqref="B43:E43">
    <cfRule type="expression" dxfId="39" priority="19" stopIfTrue="1">
      <formula>MOD(ROW(),2)=0</formula>
    </cfRule>
  </conditionalFormatting>
  <conditionalFormatting sqref="B15:L34">
    <cfRule type="expression" dxfId="38" priority="26" stopIfTrue="1">
      <formula>MOD(ROW(),2)=0</formula>
    </cfRule>
  </conditionalFormatting>
  <conditionalFormatting sqref="B36:L42">
    <cfRule type="expression" dxfId="37" priority="25" stopIfTrue="1">
      <formula>MOD(ROW(),2)=0</formula>
    </cfRule>
  </conditionalFormatting>
  <conditionalFormatting sqref="B46:L52">
    <cfRule type="expression" dxfId="36" priority="27" stopIfTrue="1">
      <formula>MOD(ROW(),2)=0</formula>
    </cfRule>
  </conditionalFormatting>
  <conditionalFormatting sqref="B55:L60">
    <cfRule type="expression" dxfId="35" priority="28"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FFFF99"/>
  </sheetPr>
  <dimension ref="A1:AM100"/>
  <sheetViews>
    <sheetView topLeftCell="A7" zoomScale="68" workbookViewId="0">
      <selection activeCell="D35" sqref="D35"/>
    </sheetView>
  </sheetViews>
  <sheetFormatPr defaultColWidth="8.6640625" defaultRowHeight="13.8"/>
  <cols>
    <col min="1" max="1" width="5.44140625" style="32" customWidth="1"/>
    <col min="2" max="2" width="57.44140625" style="32" customWidth="1"/>
    <col min="3" max="3" width="12.33203125" style="32" customWidth="1"/>
    <col min="4" max="4" width="8.6640625" style="32" customWidth="1"/>
    <col min="5" max="5" width="11.33203125" style="32" customWidth="1"/>
    <col min="6" max="6" width="12.6640625" style="32" customWidth="1"/>
    <col min="7" max="7" width="12.6640625" style="32" bestFit="1" customWidth="1"/>
    <col min="8" max="8" width="12.44140625" style="32" bestFit="1" customWidth="1"/>
    <col min="9" max="12" width="12.6640625" style="32" bestFit="1" customWidth="1"/>
    <col min="13" max="13" width="4.6640625" style="32" customWidth="1"/>
    <col min="14" max="14" width="56.6640625" style="257" customWidth="1"/>
    <col min="15" max="16384" width="8.6640625" style="32"/>
  </cols>
  <sheetData>
    <row r="1" spans="1:39" ht="15.6">
      <c r="A1" s="1633" t="s">
        <v>741</v>
      </c>
      <c r="B1" s="1634"/>
      <c r="C1" s="347"/>
      <c r="D1" s="154"/>
      <c r="K1" s="34"/>
      <c r="Y1" s="1444" cm="1">
        <f t="array" aca="1" ref="Y1" ca="1">CELL("protect",A1)</f>
        <v>1</v>
      </c>
      <c r="Z1" s="1444" cm="1">
        <f t="array" aca="1" ref="Z1" ca="1">CELL("protect",B1)</f>
        <v>1</v>
      </c>
      <c r="AA1" s="1444" cm="1">
        <f t="array" aca="1" ref="AA1" ca="1">CELL("protect",C1)</f>
        <v>1</v>
      </c>
      <c r="AB1" s="1444" cm="1">
        <f t="array" aca="1" ref="AB1" ca="1">CELL("protect",D1)</f>
        <v>1</v>
      </c>
      <c r="AC1" s="1444" cm="1">
        <f t="array" aca="1" ref="AC1" ca="1">CELL("protect",E1)</f>
        <v>1</v>
      </c>
      <c r="AD1" s="1444" cm="1">
        <f t="array" aca="1" ref="AD1" ca="1">CELL("protect",F1)</f>
        <v>1</v>
      </c>
      <c r="AE1" s="1444" cm="1">
        <f t="array" aca="1" ref="AE1" ca="1">CELL("protect",G1)</f>
        <v>1</v>
      </c>
      <c r="AF1" s="1444" cm="1">
        <f t="array" aca="1" ref="AF1" ca="1">CELL("protect",H1)</f>
        <v>1</v>
      </c>
      <c r="AG1" s="1444" cm="1">
        <f t="array" aca="1" ref="AG1" ca="1">CELL("protect",I1)</f>
        <v>1</v>
      </c>
      <c r="AH1" s="1444" cm="1">
        <f t="array" aca="1" ref="AH1" ca="1">CELL("protect",J1)</f>
        <v>1</v>
      </c>
      <c r="AI1" s="1444" cm="1">
        <f t="array" aca="1" ref="AI1" ca="1">CELL("protect",K1)</f>
        <v>1</v>
      </c>
      <c r="AJ1" s="1444" cm="1">
        <f t="array" aca="1" ref="AJ1" ca="1">CELL("protect",L1)</f>
        <v>1</v>
      </c>
      <c r="AK1" s="1444"/>
      <c r="AL1" s="1444"/>
      <c r="AM1" s="1444"/>
    </row>
    <row r="2" spans="1:39" ht="15.6">
      <c r="A2" s="35" t="str">
        <f>SchoolName</f>
        <v>Game Changers Sports Academy</v>
      </c>
      <c r="B2" s="36"/>
      <c r="Y2" s="1444" cm="1">
        <f t="array" aca="1" ref="Y2" ca="1">CELL("protect",A2)</f>
        <v>1</v>
      </c>
      <c r="Z2" s="1444" cm="1">
        <f t="array" aca="1" ref="Z2" ca="1">CELL("protect",B2)</f>
        <v>1</v>
      </c>
      <c r="AA2" s="1444" cm="1">
        <f t="array" aca="1" ref="AA2" ca="1">CELL("protect",C2)</f>
        <v>1</v>
      </c>
      <c r="AB2" s="1444" cm="1">
        <f t="array" aca="1" ref="AB2" ca="1">CELL("protect",D2)</f>
        <v>1</v>
      </c>
      <c r="AC2" s="1444" cm="1">
        <f t="array" aca="1" ref="AC2" ca="1">CELL("protect",E2)</f>
        <v>1</v>
      </c>
      <c r="AD2" s="1444" cm="1">
        <f t="array" aca="1" ref="AD2" ca="1">CELL("protect",F2)</f>
        <v>1</v>
      </c>
      <c r="AE2" s="1444" cm="1">
        <f t="array" aca="1" ref="AE2" ca="1">CELL("protect",G2)</f>
        <v>1</v>
      </c>
      <c r="AF2" s="1444" cm="1">
        <f t="array" aca="1" ref="AF2" ca="1">CELL("protect",H2)</f>
        <v>1</v>
      </c>
      <c r="AG2" s="1444" cm="1">
        <f t="array" aca="1" ref="AG2" ca="1">CELL("protect",I2)</f>
        <v>1</v>
      </c>
      <c r="AH2" s="1444" cm="1">
        <f t="array" aca="1" ref="AH2" ca="1">CELL("protect",J2)</f>
        <v>1</v>
      </c>
      <c r="AI2" s="1444" cm="1">
        <f t="array" aca="1" ref="AI2" ca="1">CELL("protect",K2)</f>
        <v>1</v>
      </c>
      <c r="AJ2" s="1444" cm="1">
        <f t="array" aca="1" ref="AJ2" ca="1">CELL("protect",L2)</f>
        <v>1</v>
      </c>
      <c r="AK2" s="1444"/>
      <c r="AL2" s="1444"/>
      <c r="AM2" s="1444"/>
    </row>
    <row r="3" spans="1:39">
      <c r="A3" s="37"/>
      <c r="Y3" s="1444" cm="1">
        <f t="array" aca="1" ref="Y3" ca="1">CELL("protect",A3)</f>
        <v>1</v>
      </c>
      <c r="Z3" s="1444" cm="1">
        <f t="array" aca="1" ref="Z3" ca="1">CELL("protect",B3)</f>
        <v>1</v>
      </c>
      <c r="AA3" s="1444" cm="1">
        <f t="array" aca="1" ref="AA3" ca="1">CELL("protect",C3)</f>
        <v>1</v>
      </c>
      <c r="AB3" s="1444" cm="1">
        <f t="array" aca="1" ref="AB3" ca="1">CELL("protect",D3)</f>
        <v>1</v>
      </c>
      <c r="AC3" s="1444" cm="1">
        <f t="array" aca="1" ref="AC3" ca="1">CELL("protect",E3)</f>
        <v>1</v>
      </c>
      <c r="AD3" s="1444" cm="1">
        <f t="array" aca="1" ref="AD3" ca="1">CELL("protect",F3)</f>
        <v>1</v>
      </c>
      <c r="AE3" s="1444" cm="1">
        <f t="array" aca="1" ref="AE3" ca="1">CELL("protect",G3)</f>
        <v>1</v>
      </c>
      <c r="AF3" s="1444" cm="1">
        <f t="array" aca="1" ref="AF3" ca="1">CELL("protect",H3)</f>
        <v>1</v>
      </c>
      <c r="AG3" s="1444" cm="1">
        <f t="array" aca="1" ref="AG3" ca="1">CELL("protect",I3)</f>
        <v>1</v>
      </c>
      <c r="AH3" s="1444" cm="1">
        <f t="array" aca="1" ref="AH3" ca="1">CELL("protect",J3)</f>
        <v>1</v>
      </c>
      <c r="AI3" s="1444" cm="1">
        <f t="array" aca="1" ref="AI3" ca="1">CELL("protect",K3)</f>
        <v>1</v>
      </c>
      <c r="AJ3" s="1444" cm="1">
        <f t="array" aca="1" ref="AJ3" ca="1">CELL("protect",L3)</f>
        <v>1</v>
      </c>
      <c r="AK3" s="1444"/>
      <c r="AL3" s="1444"/>
      <c r="AM3" s="1444"/>
    </row>
    <row r="4" spans="1:39">
      <c r="A4" s="38"/>
      <c r="Y4" s="1444" cm="1">
        <f t="array" aca="1" ref="Y4" ca="1">CELL("protect",A4)</f>
        <v>1</v>
      </c>
      <c r="Z4" s="1444" cm="1">
        <f t="array" aca="1" ref="Z4" ca="1">CELL("protect",B4)</f>
        <v>1</v>
      </c>
      <c r="AA4" s="1444" cm="1">
        <f t="array" aca="1" ref="AA4" ca="1">CELL("protect",C4)</f>
        <v>1</v>
      </c>
      <c r="AB4" s="1444" cm="1">
        <f t="array" aca="1" ref="AB4" ca="1">CELL("protect",D4)</f>
        <v>1</v>
      </c>
      <c r="AC4" s="1444" cm="1">
        <f t="array" aca="1" ref="AC4" ca="1">CELL("protect",E4)</f>
        <v>1</v>
      </c>
      <c r="AD4" s="1444" cm="1">
        <f t="array" aca="1" ref="AD4" ca="1">CELL("protect",F4)</f>
        <v>1</v>
      </c>
      <c r="AE4" s="1444" cm="1">
        <f t="array" aca="1" ref="AE4" ca="1">CELL("protect",G4)</f>
        <v>1</v>
      </c>
      <c r="AF4" s="1444" cm="1">
        <f t="array" aca="1" ref="AF4" ca="1">CELL("protect",H4)</f>
        <v>1</v>
      </c>
      <c r="AG4" s="1444" cm="1">
        <f t="array" aca="1" ref="AG4" ca="1">CELL("protect",I4)</f>
        <v>1</v>
      </c>
      <c r="AH4" s="1444" cm="1">
        <f t="array" aca="1" ref="AH4" ca="1">CELL("protect",J4)</f>
        <v>1</v>
      </c>
      <c r="AI4" s="1444" cm="1">
        <f t="array" aca="1" ref="AI4" ca="1">CELL("protect",K4)</f>
        <v>1</v>
      </c>
      <c r="AJ4" s="1444" cm="1">
        <f t="array" aca="1" ref="AJ4" ca="1">CELL("protect",L4)</f>
        <v>1</v>
      </c>
      <c r="AK4" s="1444"/>
      <c r="AL4" s="1444"/>
      <c r="AM4" s="1444"/>
    </row>
    <row r="5" spans="1:39">
      <c r="A5" s="29"/>
      <c r="Y5" s="1444" cm="1">
        <f t="array" aca="1" ref="Y5" ca="1">CELL("protect",A5)</f>
        <v>1</v>
      </c>
      <c r="Z5" s="1444" cm="1">
        <f t="array" aca="1" ref="Z5" ca="1">CELL("protect",B5)</f>
        <v>1</v>
      </c>
      <c r="AA5" s="1444" cm="1">
        <f t="array" aca="1" ref="AA5" ca="1">CELL("protect",C5)</f>
        <v>1</v>
      </c>
      <c r="AB5" s="1444" cm="1">
        <f t="array" aca="1" ref="AB5" ca="1">CELL("protect",D5)</f>
        <v>1</v>
      </c>
      <c r="AC5" s="1444" cm="1">
        <f t="array" aca="1" ref="AC5" ca="1">CELL("protect",E5)</f>
        <v>1</v>
      </c>
      <c r="AD5" s="1444" cm="1">
        <f t="array" aca="1" ref="AD5" ca="1">CELL("protect",F5)</f>
        <v>1</v>
      </c>
      <c r="AE5" s="1444" cm="1">
        <f t="array" aca="1" ref="AE5" ca="1">CELL("protect",G5)</f>
        <v>1</v>
      </c>
      <c r="AF5" s="1444" cm="1">
        <f t="array" aca="1" ref="AF5" ca="1">CELL("protect",H5)</f>
        <v>1</v>
      </c>
      <c r="AG5" s="1444" cm="1">
        <f t="array" aca="1" ref="AG5" ca="1">CELL("protect",I5)</f>
        <v>1</v>
      </c>
      <c r="AH5" s="1444" cm="1">
        <f t="array" aca="1" ref="AH5" ca="1">CELL("protect",J5)</f>
        <v>1</v>
      </c>
      <c r="AI5" s="1444" cm="1">
        <f t="array" aca="1" ref="AI5" ca="1">CELL("protect",K5)</f>
        <v>1</v>
      </c>
      <c r="AJ5" s="1444" cm="1">
        <f t="array" aca="1" ref="AJ5" ca="1">CELL("protect",L5)</f>
        <v>1</v>
      </c>
      <c r="AK5" s="1444"/>
      <c r="AL5" s="1444"/>
      <c r="AM5" s="1444"/>
    </row>
    <row r="6" spans="1:39" ht="14.4">
      <c r="F6" s="30" t="s">
        <v>742</v>
      </c>
      <c r="G6" s="154" t="s">
        <v>743</v>
      </c>
      <c r="Y6" s="1444" cm="1">
        <f t="array" aca="1" ref="Y6" ca="1">CELL("protect",A6)</f>
        <v>1</v>
      </c>
      <c r="Z6" s="1444" cm="1">
        <f t="array" aca="1" ref="Z6" ca="1">CELL("protect",B6)</f>
        <v>1</v>
      </c>
      <c r="AA6" s="1444" cm="1">
        <f t="array" aca="1" ref="AA6" ca="1">CELL("protect",C6)</f>
        <v>1</v>
      </c>
      <c r="AB6" s="1444" cm="1">
        <f t="array" aca="1" ref="AB6" ca="1">CELL("protect",D6)</f>
        <v>1</v>
      </c>
      <c r="AC6" s="1444" cm="1">
        <f t="array" aca="1" ref="AC6" ca="1">CELL("protect",E6)</f>
        <v>1</v>
      </c>
      <c r="AD6" s="1444" cm="1">
        <f t="array" aca="1" ref="AD6" ca="1">CELL("protect",F6)</f>
        <v>1</v>
      </c>
      <c r="AE6" s="1444" cm="1">
        <f t="array" aca="1" ref="AE6" ca="1">CELL("protect",G6)</f>
        <v>1</v>
      </c>
      <c r="AF6" s="1444" cm="1">
        <f t="array" aca="1" ref="AF6" ca="1">CELL("protect",H6)</f>
        <v>1</v>
      </c>
      <c r="AG6" s="1444" cm="1">
        <f t="array" aca="1" ref="AG6" ca="1">CELL("protect",I6)</f>
        <v>1</v>
      </c>
      <c r="AH6" s="1444" cm="1">
        <f t="array" aca="1" ref="AH6" ca="1">CELL("protect",J6)</f>
        <v>1</v>
      </c>
      <c r="AI6" s="1444" cm="1">
        <f t="array" aca="1" ref="AI6" ca="1">CELL("protect",K6)</f>
        <v>1</v>
      </c>
      <c r="AJ6" s="1444" cm="1">
        <f t="array" aca="1" ref="AJ6" ca="1">CELL("protect",L6)</f>
        <v>1</v>
      </c>
      <c r="AK6" s="1444"/>
      <c r="AL6" s="1444"/>
      <c r="AM6" s="1444"/>
    </row>
    <row r="7" spans="1:39" ht="15.6">
      <c r="B7" s="1728" t="s">
        <v>744</v>
      </c>
      <c r="C7" s="1729" t="s">
        <v>745</v>
      </c>
      <c r="D7" s="1730" t="s">
        <v>746</v>
      </c>
      <c r="E7" s="1731" t="s">
        <v>244</v>
      </c>
      <c r="F7" s="1510">
        <v>0</v>
      </c>
      <c r="G7" s="1732">
        <v>1</v>
      </c>
      <c r="H7" s="1732">
        <f>+G7+1</f>
        <v>2</v>
      </c>
      <c r="I7" s="1732">
        <f>+H7+1</f>
        <v>3</v>
      </c>
      <c r="J7" s="1732">
        <f>+I7+1</f>
        <v>4</v>
      </c>
      <c r="K7" s="1732">
        <f>+J7+1</f>
        <v>5</v>
      </c>
      <c r="L7" s="1733">
        <f>+K7+1</f>
        <v>6</v>
      </c>
      <c r="N7" s="1099"/>
      <c r="Y7" s="1444" cm="1">
        <f t="array" aca="1" ref="Y7" ca="1">CELL("protect",A7)</f>
        <v>1</v>
      </c>
      <c r="Z7" s="1444" cm="1">
        <f t="array" aca="1" ref="Z7" ca="1">CELL("protect",B7)</f>
        <v>1</v>
      </c>
      <c r="AA7" s="1444" cm="1">
        <f t="array" aca="1" ref="AA7" ca="1">CELL("protect",C7)</f>
        <v>1</v>
      </c>
      <c r="AB7" s="1444" cm="1">
        <f t="array" aca="1" ref="AB7" ca="1">CELL("protect",D7)</f>
        <v>1</v>
      </c>
      <c r="AC7" s="1444" cm="1">
        <f t="array" aca="1" ref="AC7" ca="1">CELL("protect",E7)</f>
        <v>1</v>
      </c>
      <c r="AD7" s="1444" cm="1">
        <f t="array" aca="1" ref="AD7" ca="1">CELL("protect",F7)</f>
        <v>1</v>
      </c>
      <c r="AE7" s="1444" cm="1">
        <f t="array" aca="1" ref="AE7" ca="1">CELL("protect",G7)</f>
        <v>1</v>
      </c>
      <c r="AF7" s="1444" cm="1">
        <f t="array" aca="1" ref="AF7" ca="1">CELL("protect",H7)</f>
        <v>1</v>
      </c>
      <c r="AG7" s="1444" cm="1">
        <f t="array" aca="1" ref="AG7" ca="1">CELL("protect",I7)</f>
        <v>1</v>
      </c>
      <c r="AH7" s="1444" cm="1">
        <f t="array" aca="1" ref="AH7" ca="1">CELL("protect",J7)</f>
        <v>1</v>
      </c>
      <c r="AI7" s="1444" cm="1">
        <f t="array" aca="1" ref="AI7" ca="1">CELL("protect",K7)</f>
        <v>1</v>
      </c>
      <c r="AJ7" s="1444" cm="1">
        <f t="array" aca="1" ref="AJ7" ca="1">CELL("protect",L7)</f>
        <v>1</v>
      </c>
      <c r="AK7" s="1444"/>
      <c r="AL7" s="1444"/>
      <c r="AM7" s="1444"/>
    </row>
    <row r="8" spans="1:39" ht="15.6">
      <c r="B8" s="1734"/>
      <c r="C8" s="1735"/>
      <c r="D8" s="1730"/>
      <c r="E8" s="1736"/>
      <c r="F8" s="1737">
        <f>+'FFE&amp;T'!F7</f>
        <v>2025</v>
      </c>
      <c r="G8" s="1737">
        <f>+'FFE&amp;T'!G7</f>
        <v>2026</v>
      </c>
      <c r="H8" s="1738">
        <f>+'FFE&amp;T'!H7</f>
        <v>2027</v>
      </c>
      <c r="I8" s="1738">
        <f>+'FFE&amp;T'!I7</f>
        <v>2028</v>
      </c>
      <c r="J8" s="1738">
        <f>+'FFE&amp;T'!J7</f>
        <v>2029</v>
      </c>
      <c r="K8" s="1738">
        <f>+'FFE&amp;T'!K7</f>
        <v>2030</v>
      </c>
      <c r="L8" s="1739">
        <f>+'FFE&amp;T'!L7</f>
        <v>2031</v>
      </c>
      <c r="N8" s="1425" t="s">
        <v>1253</v>
      </c>
      <c r="Y8" s="1444"/>
      <c r="Z8" s="1444"/>
      <c r="AA8" s="1444"/>
      <c r="AB8" s="1444"/>
      <c r="AC8" s="1444"/>
      <c r="AD8" s="1444"/>
      <c r="AE8" s="1444"/>
      <c r="AF8" s="1444"/>
      <c r="AG8" s="1444"/>
      <c r="AH8" s="1444"/>
      <c r="AI8" s="1444"/>
      <c r="AJ8" s="1444"/>
      <c r="AK8" s="1444"/>
      <c r="AL8" s="1444"/>
      <c r="AM8" s="1444"/>
    </row>
    <row r="9" spans="1:39" s="30" customFormat="1" ht="15.6">
      <c r="B9" s="1740" t="s">
        <v>747</v>
      </c>
      <c r="C9" s="1741" t="s">
        <v>748</v>
      </c>
      <c r="D9" s="1730" t="s">
        <v>749</v>
      </c>
      <c r="E9" s="1742" t="s">
        <v>750</v>
      </c>
      <c r="F9" s="1743">
        <f>' Enrol &amp; Rev'!F11</f>
        <v>2026</v>
      </c>
      <c r="G9" s="1743">
        <f>' Enrol &amp; Rev'!G11</f>
        <v>2027</v>
      </c>
      <c r="H9" s="1741">
        <f>' Enrol &amp; Rev'!H11</f>
        <v>2028</v>
      </c>
      <c r="I9" s="1741">
        <f>' Enrol &amp; Rev'!I11</f>
        <v>2029</v>
      </c>
      <c r="J9" s="1741">
        <f>' Enrol &amp; Rev'!J11</f>
        <v>2030</v>
      </c>
      <c r="K9" s="1741">
        <f>' Enrol &amp; Rev'!K11</f>
        <v>2031</v>
      </c>
      <c r="L9" s="1744">
        <f>' Enrol &amp; Rev'!L11</f>
        <v>2032</v>
      </c>
      <c r="N9" s="394"/>
      <c r="Y9" s="1444" cm="1">
        <f t="array" aca="1" ref="Y9" ca="1">CELL("protect",A9)</f>
        <v>1</v>
      </c>
      <c r="Z9" s="1444" cm="1">
        <f t="array" aca="1" ref="Z9" ca="1">CELL("protect",B9)</f>
        <v>1</v>
      </c>
      <c r="AA9" s="1444" cm="1">
        <f t="array" aca="1" ref="AA9" ca="1">CELL("protect",C9)</f>
        <v>1</v>
      </c>
      <c r="AB9" s="1444" cm="1">
        <f t="array" aca="1" ref="AB9" ca="1">CELL("protect",D9)</f>
        <v>1</v>
      </c>
      <c r="AC9" s="1444" cm="1">
        <f t="array" aca="1" ref="AC9" ca="1">CELL("protect",E9)</f>
        <v>1</v>
      </c>
      <c r="AD9" s="1444" cm="1">
        <f t="array" aca="1" ref="AD9" ca="1">CELL("protect",F9)</f>
        <v>1</v>
      </c>
      <c r="AE9" s="1444" cm="1">
        <f t="array" aca="1" ref="AE9" ca="1">CELL("protect",G9)</f>
        <v>1</v>
      </c>
      <c r="AF9" s="1444" cm="1">
        <f t="array" aca="1" ref="AF9" ca="1">CELL("protect",H9)</f>
        <v>1</v>
      </c>
      <c r="AG9" s="1444" cm="1">
        <f t="array" aca="1" ref="AG9" ca="1">CELL("protect",I9)</f>
        <v>1</v>
      </c>
      <c r="AH9" s="1444" cm="1">
        <f t="array" aca="1" ref="AH9" ca="1">CELL("protect",J9)</f>
        <v>1</v>
      </c>
      <c r="AI9" s="1444" cm="1">
        <f t="array" aca="1" ref="AI9" ca="1">CELL("protect",K9)</f>
        <v>1</v>
      </c>
      <c r="AJ9" s="1444" cm="1">
        <f t="array" aca="1" ref="AJ9" ca="1">CELL("protect",L9)</f>
        <v>1</v>
      </c>
      <c r="AK9" s="1444"/>
      <c r="AL9" s="1444"/>
      <c r="AM9" s="1444"/>
    </row>
    <row r="10" spans="1:39">
      <c r="A10" s="108"/>
      <c r="B10" s="334"/>
      <c r="C10" s="335"/>
      <c r="D10" s="335"/>
      <c r="E10" s="52"/>
      <c r="F10" s="701"/>
      <c r="G10" s="701"/>
      <c r="H10" s="338"/>
      <c r="I10" s="338"/>
      <c r="J10" s="338"/>
      <c r="K10" s="338"/>
      <c r="L10" s="338"/>
      <c r="N10" s="287"/>
      <c r="Y10" s="1444" cm="1">
        <f t="array" aca="1" ref="Y10" ca="1">CELL("protect",A10)</f>
        <v>1</v>
      </c>
      <c r="Z10" s="1444" cm="1">
        <f t="array" aca="1" ref="Z10" ca="1">CELL("protect",B10)</f>
        <v>0</v>
      </c>
      <c r="AA10" s="1444" cm="1">
        <f t="array" aca="1" ref="AA10" ca="1">CELL("protect",C10)</f>
        <v>0</v>
      </c>
      <c r="AB10" s="1444" cm="1">
        <f t="array" aca="1" ref="AB10" ca="1">CELL("protect",D10)</f>
        <v>0</v>
      </c>
      <c r="AC10" s="1444" cm="1">
        <f t="array" aca="1" ref="AC10" ca="1">CELL("protect",E10)</f>
        <v>1</v>
      </c>
      <c r="AD10" s="1444" cm="1">
        <f t="array" aca="1" ref="AD10" ca="1">CELL("protect",F10)</f>
        <v>1</v>
      </c>
      <c r="AE10" s="1444" cm="1">
        <f t="array" aca="1" ref="AE10" ca="1">CELL("protect",G10)</f>
        <v>1</v>
      </c>
      <c r="AF10" s="1444" cm="1">
        <f t="array" aca="1" ref="AF10" ca="1">CELL("protect",H10)</f>
        <v>1</v>
      </c>
      <c r="AG10" s="1444" cm="1">
        <f t="array" aca="1" ref="AG10" ca="1">CELL("protect",I10)</f>
        <v>1</v>
      </c>
      <c r="AH10" s="1444" cm="1">
        <f t="array" aca="1" ref="AH10" ca="1">CELL("protect",J10)</f>
        <v>1</v>
      </c>
      <c r="AI10" s="1444" cm="1">
        <f t="array" aca="1" ref="AI10" ca="1">CELL("protect",K10)</f>
        <v>1</v>
      </c>
      <c r="AJ10" s="1444" cm="1">
        <f t="array" aca="1" ref="AJ10" ca="1">CELL("protect",L10)</f>
        <v>1</v>
      </c>
      <c r="AK10" s="1444"/>
      <c r="AL10" s="1444"/>
      <c r="AM10" s="1444"/>
    </row>
    <row r="11" spans="1:39">
      <c r="A11" s="108">
        <f>ROW()</f>
        <v>11</v>
      </c>
      <c r="B11" s="399" t="s">
        <v>751</v>
      </c>
      <c r="C11" s="400"/>
      <c r="D11" s="333"/>
      <c r="E11" s="48"/>
      <c r="F11" s="718"/>
      <c r="G11" s="718"/>
      <c r="H11" s="719"/>
      <c r="I11" s="719"/>
      <c r="J11" s="719"/>
      <c r="K11" s="719"/>
      <c r="L11" s="719"/>
      <c r="N11" s="287"/>
      <c r="Y11" s="1444" cm="1">
        <f t="array" aca="1" ref="Y11" ca="1">CELL("protect",A11)</f>
        <v>1</v>
      </c>
      <c r="Z11" s="1444" cm="1">
        <f t="array" aca="1" ref="Z11" ca="1">CELL("protect",B11)</f>
        <v>1</v>
      </c>
      <c r="AA11" s="1444" cm="1">
        <f t="array" aca="1" ref="AA11" ca="1">CELL("protect",C11)</f>
        <v>1</v>
      </c>
      <c r="AB11" s="1444" cm="1">
        <f t="array" aca="1" ref="AB11" ca="1">CELL("protect",D11)</f>
        <v>0</v>
      </c>
      <c r="AC11" s="1444" cm="1">
        <f t="array" aca="1" ref="AC11" ca="1">CELL("protect",E11)</f>
        <v>1</v>
      </c>
      <c r="AD11" s="1444" cm="1">
        <f t="array" aca="1" ref="AD11" ca="1">CELL("protect",F11)</f>
        <v>0</v>
      </c>
      <c r="AE11" s="1444" cm="1">
        <f t="array" aca="1" ref="AE11" ca="1">CELL("protect",G11)</f>
        <v>0</v>
      </c>
      <c r="AF11" s="1444" cm="1">
        <f t="array" aca="1" ref="AF11" ca="1">CELL("protect",H11)</f>
        <v>0</v>
      </c>
      <c r="AG11" s="1444" cm="1">
        <f t="array" aca="1" ref="AG11" ca="1">CELL("protect",I11)</f>
        <v>0</v>
      </c>
      <c r="AH11" s="1444" cm="1">
        <f t="array" aca="1" ref="AH11" ca="1">CELL("protect",J11)</f>
        <v>0</v>
      </c>
      <c r="AI11" s="1444" cm="1">
        <f t="array" aca="1" ref="AI11" ca="1">CELL("protect",K11)</f>
        <v>0</v>
      </c>
      <c r="AJ11" s="1444" cm="1">
        <f t="array" aca="1" ref="AJ11" ca="1">CELL("protect",L11)</f>
        <v>0</v>
      </c>
      <c r="AK11" s="1444"/>
      <c r="AL11" s="1444"/>
      <c r="AM11" s="1444"/>
    </row>
    <row r="12" spans="1:39">
      <c r="A12" s="108">
        <f>ROW()</f>
        <v>12</v>
      </c>
      <c r="B12" s="401" t="s">
        <v>752</v>
      </c>
      <c r="C12" s="453">
        <v>0</v>
      </c>
      <c r="D12" s="454">
        <v>0</v>
      </c>
      <c r="E12" s="1176">
        <f t="shared" ref="E12:E48" si="0">SUM(F12:L12)</f>
        <v>0</v>
      </c>
      <c r="F12" s="735">
        <v>0</v>
      </c>
      <c r="G12" s="720">
        <f t="shared" ref="G12:G45" si="1">+$D12</f>
        <v>0</v>
      </c>
      <c r="H12" s="695">
        <f t="shared" ref="H12:L29" si="2">+$D12</f>
        <v>0</v>
      </c>
      <c r="I12" s="695">
        <f t="shared" si="2"/>
        <v>0</v>
      </c>
      <c r="J12" s="695">
        <f t="shared" si="2"/>
        <v>0</v>
      </c>
      <c r="K12" s="695">
        <f t="shared" si="2"/>
        <v>0</v>
      </c>
      <c r="L12" s="695">
        <f t="shared" si="2"/>
        <v>0</v>
      </c>
      <c r="N12" s="287"/>
      <c r="Y12" s="1444" cm="1">
        <f t="array" aca="1" ref="Y12" ca="1">CELL("protect",A12)</f>
        <v>1</v>
      </c>
      <c r="Z12" s="1444" cm="1">
        <f t="array" aca="1" ref="Z12" ca="1">CELL("protect",B12)</f>
        <v>1</v>
      </c>
      <c r="AA12" s="1444" cm="1">
        <f t="array" aca="1" ref="AA12" ca="1">CELL("protect",C12)</f>
        <v>1</v>
      </c>
      <c r="AB12" s="1444" cm="1">
        <f t="array" aca="1" ref="AB12" ca="1">CELL("protect",D12)</f>
        <v>0</v>
      </c>
      <c r="AC12" s="1444" cm="1">
        <f t="array" aca="1" ref="AC12" ca="1">CELL("protect",E12)</f>
        <v>0</v>
      </c>
      <c r="AD12" s="1444" cm="1">
        <f t="array" aca="1" ref="AD12" ca="1">CELL("protect",F12)</f>
        <v>0</v>
      </c>
      <c r="AE12" s="1444" cm="1">
        <f t="array" aca="1" ref="AE12" ca="1">CELL("protect",G12)</f>
        <v>0</v>
      </c>
      <c r="AF12" s="1444" cm="1">
        <f t="array" aca="1" ref="AF12" ca="1">CELL("protect",H12)</f>
        <v>0</v>
      </c>
      <c r="AG12" s="1444" cm="1">
        <f t="array" aca="1" ref="AG12" ca="1">CELL("protect",I12)</f>
        <v>0</v>
      </c>
      <c r="AH12" s="1444" cm="1">
        <f t="array" aca="1" ref="AH12" ca="1">CELL("protect",J12)</f>
        <v>0</v>
      </c>
      <c r="AI12" s="1444" cm="1">
        <f t="array" aca="1" ref="AI12" ca="1">CELL("protect",K12)</f>
        <v>0</v>
      </c>
      <c r="AJ12" s="1444" cm="1">
        <f t="array" aca="1" ref="AJ12" ca="1">CELL("protect",L12)</f>
        <v>0</v>
      </c>
      <c r="AK12" s="1444"/>
      <c r="AL12" s="1444"/>
      <c r="AM12" s="1444"/>
    </row>
    <row r="13" spans="1:39" ht="41.4">
      <c r="A13" s="723">
        <f>ROW()</f>
        <v>13</v>
      </c>
      <c r="B13" s="402" t="s">
        <v>753</v>
      </c>
      <c r="C13" s="403">
        <v>1000000</v>
      </c>
      <c r="D13" s="217">
        <v>6283</v>
      </c>
      <c r="E13" s="1175">
        <f t="shared" si="0"/>
        <v>37698</v>
      </c>
      <c r="F13" s="736">
        <v>0</v>
      </c>
      <c r="G13" s="702">
        <f t="shared" si="1"/>
        <v>6283</v>
      </c>
      <c r="H13" s="393">
        <f t="shared" si="2"/>
        <v>6283</v>
      </c>
      <c r="I13" s="393">
        <f t="shared" si="2"/>
        <v>6283</v>
      </c>
      <c r="J13" s="393">
        <f t="shared" si="2"/>
        <v>6283</v>
      </c>
      <c r="K13" s="393">
        <f t="shared" si="2"/>
        <v>6283</v>
      </c>
      <c r="L13" s="393">
        <f t="shared" si="2"/>
        <v>6283</v>
      </c>
      <c r="N13" s="287"/>
      <c r="Y13" s="1444" cm="1">
        <f t="array" aca="1" ref="Y13" ca="1">CELL("protect",A13)</f>
        <v>1</v>
      </c>
      <c r="Z13" s="1444" cm="1">
        <f t="array" aca="1" ref="Z13" ca="1">CELL("protect",B13)</f>
        <v>1</v>
      </c>
      <c r="AA13" s="1444" cm="1">
        <f t="array" aca="1" ref="AA13" ca="1">CELL("protect",C13)</f>
        <v>1</v>
      </c>
      <c r="AB13" s="1444" cm="1">
        <f t="array" aca="1" ref="AB13" ca="1">CELL("protect",D13)</f>
        <v>0</v>
      </c>
      <c r="AC13" s="1444" cm="1">
        <f t="array" aca="1" ref="AC13" ca="1">CELL("protect",E13)</f>
        <v>0</v>
      </c>
      <c r="AD13" s="1444" cm="1">
        <f t="array" aca="1" ref="AD13" ca="1">CELL("protect",F13)</f>
        <v>0</v>
      </c>
      <c r="AE13" s="1444" cm="1">
        <f t="array" aca="1" ref="AE13" ca="1">CELL("protect",G13)</f>
        <v>0</v>
      </c>
      <c r="AF13" s="1444" cm="1">
        <f t="array" aca="1" ref="AF13" ca="1">CELL("protect",H13)</f>
        <v>0</v>
      </c>
      <c r="AG13" s="1444" cm="1">
        <f t="array" aca="1" ref="AG13" ca="1">CELL("protect",I13)</f>
        <v>0</v>
      </c>
      <c r="AH13" s="1444" cm="1">
        <f t="array" aca="1" ref="AH13" ca="1">CELL("protect",J13)</f>
        <v>0</v>
      </c>
      <c r="AI13" s="1444" cm="1">
        <f t="array" aca="1" ref="AI13" ca="1">CELL("protect",K13)</f>
        <v>0</v>
      </c>
      <c r="AJ13" s="1444" cm="1">
        <f t="array" aca="1" ref="AJ13" ca="1">CELL("protect",L13)</f>
        <v>0</v>
      </c>
      <c r="AK13" s="1444"/>
      <c r="AL13" s="1444"/>
      <c r="AM13" s="1444"/>
    </row>
    <row r="14" spans="1:39">
      <c r="A14" s="108">
        <f>ROW()</f>
        <v>14</v>
      </c>
      <c r="B14" s="404" t="s">
        <v>754</v>
      </c>
      <c r="C14" s="405">
        <v>3000000</v>
      </c>
      <c r="D14" s="217">
        <v>3000</v>
      </c>
      <c r="E14" s="1175">
        <f t="shared" si="0"/>
        <v>18000</v>
      </c>
      <c r="F14" s="736">
        <v>0</v>
      </c>
      <c r="G14" s="702">
        <f t="shared" si="1"/>
        <v>3000</v>
      </c>
      <c r="H14" s="393">
        <f t="shared" si="2"/>
        <v>3000</v>
      </c>
      <c r="I14" s="393">
        <f t="shared" si="2"/>
        <v>3000</v>
      </c>
      <c r="J14" s="393">
        <f t="shared" si="2"/>
        <v>3000</v>
      </c>
      <c r="K14" s="393">
        <f t="shared" si="2"/>
        <v>3000</v>
      </c>
      <c r="L14" s="393">
        <f t="shared" si="2"/>
        <v>3000</v>
      </c>
      <c r="N14" s="287"/>
      <c r="Y14" s="1444" cm="1">
        <f t="array" aca="1" ref="Y14" ca="1">CELL("protect",A14)</f>
        <v>1</v>
      </c>
      <c r="Z14" s="1444" cm="1">
        <f t="array" aca="1" ref="Z14" ca="1">CELL("protect",B14)</f>
        <v>1</v>
      </c>
      <c r="AA14" s="1444" cm="1">
        <f t="array" aca="1" ref="AA14" ca="1">CELL("protect",C14)</f>
        <v>1</v>
      </c>
      <c r="AB14" s="1444" cm="1">
        <f t="array" aca="1" ref="AB14" ca="1">CELL("protect",D14)</f>
        <v>0</v>
      </c>
      <c r="AC14" s="1444" cm="1">
        <f t="array" aca="1" ref="AC14" ca="1">CELL("protect",E14)</f>
        <v>0</v>
      </c>
      <c r="AD14" s="1444" cm="1">
        <f t="array" aca="1" ref="AD14" ca="1">CELL("protect",F14)</f>
        <v>0</v>
      </c>
      <c r="AE14" s="1444" cm="1">
        <f t="array" aca="1" ref="AE14" ca="1">CELL("protect",G14)</f>
        <v>0</v>
      </c>
      <c r="AF14" s="1444" cm="1">
        <f t="array" aca="1" ref="AF14" ca="1">CELL("protect",H14)</f>
        <v>0</v>
      </c>
      <c r="AG14" s="1444" cm="1">
        <f t="array" aca="1" ref="AG14" ca="1">CELL("protect",I14)</f>
        <v>0</v>
      </c>
      <c r="AH14" s="1444" cm="1">
        <f t="array" aca="1" ref="AH14" ca="1">CELL("protect",J14)</f>
        <v>0</v>
      </c>
      <c r="AI14" s="1444" cm="1">
        <f t="array" aca="1" ref="AI14" ca="1">CELL("protect",K14)</f>
        <v>0</v>
      </c>
      <c r="AJ14" s="1444" cm="1">
        <f t="array" aca="1" ref="AJ14" ca="1">CELL("protect",L14)</f>
        <v>0</v>
      </c>
      <c r="AK14" s="1444"/>
      <c r="AL14" s="1444"/>
      <c r="AM14" s="1444"/>
    </row>
    <row r="15" spans="1:39">
      <c r="A15" s="108">
        <f>ROW()</f>
        <v>15</v>
      </c>
      <c r="B15" s="404" t="s">
        <v>755</v>
      </c>
      <c r="C15" s="405">
        <v>1000000</v>
      </c>
      <c r="D15" s="217">
        <v>750</v>
      </c>
      <c r="E15" s="1175">
        <f t="shared" si="0"/>
        <v>4500</v>
      </c>
      <c r="F15" s="736">
        <v>0</v>
      </c>
      <c r="G15" s="702">
        <f t="shared" si="1"/>
        <v>750</v>
      </c>
      <c r="H15" s="393">
        <f t="shared" si="2"/>
        <v>750</v>
      </c>
      <c r="I15" s="393">
        <f t="shared" si="2"/>
        <v>750</v>
      </c>
      <c r="J15" s="393">
        <f t="shared" si="2"/>
        <v>750</v>
      </c>
      <c r="K15" s="393">
        <f t="shared" si="2"/>
        <v>750</v>
      </c>
      <c r="L15" s="393">
        <f t="shared" si="2"/>
        <v>750</v>
      </c>
      <c r="N15" s="287"/>
      <c r="Y15" s="1444" cm="1">
        <f t="array" aca="1" ref="Y15" ca="1">CELL("protect",A15)</f>
        <v>1</v>
      </c>
      <c r="Z15" s="1444" cm="1">
        <f t="array" aca="1" ref="Z15" ca="1">CELL("protect",B15)</f>
        <v>1</v>
      </c>
      <c r="AA15" s="1444" cm="1">
        <f t="array" aca="1" ref="AA15" ca="1">CELL("protect",C15)</f>
        <v>1</v>
      </c>
      <c r="AB15" s="1444" cm="1">
        <f t="array" aca="1" ref="AB15" ca="1">CELL("protect",D15)</f>
        <v>0</v>
      </c>
      <c r="AC15" s="1444" cm="1">
        <f t="array" aca="1" ref="AC15" ca="1">CELL("protect",E15)</f>
        <v>0</v>
      </c>
      <c r="AD15" s="1444" cm="1">
        <f t="array" aca="1" ref="AD15" ca="1">CELL("protect",F15)</f>
        <v>0</v>
      </c>
      <c r="AE15" s="1444" cm="1">
        <f t="array" aca="1" ref="AE15" ca="1">CELL("protect",G15)</f>
        <v>0</v>
      </c>
      <c r="AF15" s="1444" cm="1">
        <f t="array" aca="1" ref="AF15" ca="1">CELL("protect",H15)</f>
        <v>0</v>
      </c>
      <c r="AG15" s="1444" cm="1">
        <f t="array" aca="1" ref="AG15" ca="1">CELL("protect",I15)</f>
        <v>0</v>
      </c>
      <c r="AH15" s="1444" cm="1">
        <f t="array" aca="1" ref="AH15" ca="1">CELL("protect",J15)</f>
        <v>0</v>
      </c>
      <c r="AI15" s="1444" cm="1">
        <f t="array" aca="1" ref="AI15" ca="1">CELL("protect",K15)</f>
        <v>0</v>
      </c>
      <c r="AJ15" s="1444" cm="1">
        <f t="array" aca="1" ref="AJ15" ca="1">CELL("protect",L15)</f>
        <v>0</v>
      </c>
      <c r="AK15" s="1444"/>
      <c r="AL15" s="1444"/>
      <c r="AM15" s="1444"/>
    </row>
    <row r="16" spans="1:39">
      <c r="A16" s="108">
        <f>ROW()</f>
        <v>16</v>
      </c>
      <c r="B16" s="404" t="s">
        <v>756</v>
      </c>
      <c r="C16" s="405">
        <v>1000000</v>
      </c>
      <c r="D16" s="217">
        <v>750</v>
      </c>
      <c r="E16" s="1175">
        <f t="shared" si="0"/>
        <v>4500</v>
      </c>
      <c r="F16" s="736">
        <v>0</v>
      </c>
      <c r="G16" s="702">
        <f t="shared" si="1"/>
        <v>750</v>
      </c>
      <c r="H16" s="393">
        <f t="shared" si="2"/>
        <v>750</v>
      </c>
      <c r="I16" s="393">
        <f t="shared" si="2"/>
        <v>750</v>
      </c>
      <c r="J16" s="393">
        <f t="shared" si="2"/>
        <v>750</v>
      </c>
      <c r="K16" s="393">
        <f t="shared" si="2"/>
        <v>750</v>
      </c>
      <c r="L16" s="393">
        <f t="shared" si="2"/>
        <v>750</v>
      </c>
      <c r="N16" s="287"/>
      <c r="Y16" s="1444" cm="1">
        <f t="array" aca="1" ref="Y16" ca="1">CELL("protect",A16)</f>
        <v>1</v>
      </c>
      <c r="Z16" s="1444" cm="1">
        <f t="array" aca="1" ref="Z16" ca="1">CELL("protect",B16)</f>
        <v>1</v>
      </c>
      <c r="AA16" s="1444" cm="1">
        <f t="array" aca="1" ref="AA16" ca="1">CELL("protect",C16)</f>
        <v>1</v>
      </c>
      <c r="AB16" s="1444" cm="1">
        <f t="array" aca="1" ref="AB16" ca="1">CELL("protect",D16)</f>
        <v>0</v>
      </c>
      <c r="AC16" s="1444" cm="1">
        <f t="array" aca="1" ref="AC16" ca="1">CELL("protect",E16)</f>
        <v>0</v>
      </c>
      <c r="AD16" s="1444" cm="1">
        <f t="array" aca="1" ref="AD16" ca="1">CELL("protect",F16)</f>
        <v>0</v>
      </c>
      <c r="AE16" s="1444" cm="1">
        <f t="array" aca="1" ref="AE16" ca="1">CELL("protect",G16)</f>
        <v>0</v>
      </c>
      <c r="AF16" s="1444" cm="1">
        <f t="array" aca="1" ref="AF16" ca="1">CELL("protect",H16)</f>
        <v>0</v>
      </c>
      <c r="AG16" s="1444" cm="1">
        <f t="array" aca="1" ref="AG16" ca="1">CELL("protect",I16)</f>
        <v>0</v>
      </c>
      <c r="AH16" s="1444" cm="1">
        <f t="array" aca="1" ref="AH16" ca="1">CELL("protect",J16)</f>
        <v>0</v>
      </c>
      <c r="AI16" s="1444" cm="1">
        <f t="array" aca="1" ref="AI16" ca="1">CELL("protect",K16)</f>
        <v>0</v>
      </c>
      <c r="AJ16" s="1444" cm="1">
        <f t="array" aca="1" ref="AJ16" ca="1">CELL("protect",L16)</f>
        <v>0</v>
      </c>
      <c r="AK16" s="1444"/>
      <c r="AL16" s="1444"/>
      <c r="AM16" s="1444"/>
    </row>
    <row r="17" spans="1:39">
      <c r="A17" s="108">
        <f>ROW()</f>
        <v>17</v>
      </c>
      <c r="B17" s="406" t="s">
        <v>757</v>
      </c>
      <c r="C17" s="405">
        <v>1000000</v>
      </c>
      <c r="D17" s="217">
        <v>300</v>
      </c>
      <c r="E17" s="1175">
        <f t="shared" si="0"/>
        <v>1800</v>
      </c>
      <c r="F17" s="736">
        <v>0</v>
      </c>
      <c r="G17" s="702">
        <f t="shared" si="1"/>
        <v>300</v>
      </c>
      <c r="H17" s="393">
        <f t="shared" si="2"/>
        <v>300</v>
      </c>
      <c r="I17" s="393">
        <f t="shared" si="2"/>
        <v>300</v>
      </c>
      <c r="J17" s="393">
        <f t="shared" si="2"/>
        <v>300</v>
      </c>
      <c r="K17" s="393">
        <f t="shared" si="2"/>
        <v>300</v>
      </c>
      <c r="L17" s="393">
        <f t="shared" si="2"/>
        <v>300</v>
      </c>
      <c r="N17" s="287"/>
      <c r="Y17" s="1444" cm="1">
        <f t="array" aca="1" ref="Y17" ca="1">CELL("protect",A17)</f>
        <v>1</v>
      </c>
      <c r="Z17" s="1444" cm="1">
        <f t="array" aca="1" ref="Z17" ca="1">CELL("protect",B17)</f>
        <v>1</v>
      </c>
      <c r="AA17" s="1444" cm="1">
        <f t="array" aca="1" ref="AA17" ca="1">CELL("protect",C17)</f>
        <v>1</v>
      </c>
      <c r="AB17" s="1444" cm="1">
        <f t="array" aca="1" ref="AB17" ca="1">CELL("protect",D17)</f>
        <v>0</v>
      </c>
      <c r="AC17" s="1444" cm="1">
        <f t="array" aca="1" ref="AC17" ca="1">CELL("protect",E17)</f>
        <v>0</v>
      </c>
      <c r="AD17" s="1444" cm="1">
        <f t="array" aca="1" ref="AD17" ca="1">CELL("protect",F17)</f>
        <v>0</v>
      </c>
      <c r="AE17" s="1444" cm="1">
        <f t="array" aca="1" ref="AE17" ca="1">CELL("protect",G17)</f>
        <v>0</v>
      </c>
      <c r="AF17" s="1444" cm="1">
        <f t="array" aca="1" ref="AF17" ca="1">CELL("protect",H17)</f>
        <v>0</v>
      </c>
      <c r="AG17" s="1444" cm="1">
        <f t="array" aca="1" ref="AG17" ca="1">CELL("protect",I17)</f>
        <v>0</v>
      </c>
      <c r="AH17" s="1444" cm="1">
        <f t="array" aca="1" ref="AH17" ca="1">CELL("protect",J17)</f>
        <v>0</v>
      </c>
      <c r="AI17" s="1444" cm="1">
        <f t="array" aca="1" ref="AI17" ca="1">CELL("protect",K17)</f>
        <v>0</v>
      </c>
      <c r="AJ17" s="1444" cm="1">
        <f t="array" aca="1" ref="AJ17" ca="1">CELL("protect",L17)</f>
        <v>0</v>
      </c>
      <c r="AK17" s="1444"/>
      <c r="AL17" s="1444"/>
      <c r="AM17" s="1444"/>
    </row>
    <row r="18" spans="1:39" ht="30" customHeight="1">
      <c r="A18" s="723">
        <f>ROW()</f>
        <v>18</v>
      </c>
      <c r="B18" s="402" t="s">
        <v>758</v>
      </c>
      <c r="C18" s="405">
        <v>1000000</v>
      </c>
      <c r="D18" s="217">
        <v>0</v>
      </c>
      <c r="E18" s="1175">
        <f t="shared" si="0"/>
        <v>0</v>
      </c>
      <c r="F18" s="736">
        <v>0</v>
      </c>
      <c r="G18" s="702">
        <f t="shared" si="1"/>
        <v>0</v>
      </c>
      <c r="H18" s="393">
        <f t="shared" si="2"/>
        <v>0</v>
      </c>
      <c r="I18" s="393">
        <f t="shared" si="2"/>
        <v>0</v>
      </c>
      <c r="J18" s="393">
        <f t="shared" si="2"/>
        <v>0</v>
      </c>
      <c r="K18" s="393">
        <f t="shared" si="2"/>
        <v>0</v>
      </c>
      <c r="L18" s="393">
        <f t="shared" si="2"/>
        <v>0</v>
      </c>
      <c r="N18" s="287"/>
      <c r="Y18" s="1444" cm="1">
        <f t="array" aca="1" ref="Y18" ca="1">CELL("protect",A18)</f>
        <v>1</v>
      </c>
      <c r="Z18" s="1444" cm="1">
        <f t="array" aca="1" ref="Z18" ca="1">CELL("protect",B18)</f>
        <v>1</v>
      </c>
      <c r="AA18" s="1444" cm="1">
        <f t="array" aca="1" ref="AA18" ca="1">CELL("protect",C18)</f>
        <v>1</v>
      </c>
      <c r="AB18" s="1444" cm="1">
        <f t="array" aca="1" ref="AB18" ca="1">CELL("protect",D18)</f>
        <v>0</v>
      </c>
      <c r="AC18" s="1444" cm="1">
        <f t="array" aca="1" ref="AC18" ca="1">CELL("protect",E18)</f>
        <v>0</v>
      </c>
      <c r="AD18" s="1444" cm="1">
        <f t="array" aca="1" ref="AD18" ca="1">CELL("protect",F18)</f>
        <v>0</v>
      </c>
      <c r="AE18" s="1444" cm="1">
        <f t="array" aca="1" ref="AE18" ca="1">CELL("protect",G18)</f>
        <v>0</v>
      </c>
      <c r="AF18" s="1444" cm="1">
        <f t="array" aca="1" ref="AF18" ca="1">CELL("protect",H18)</f>
        <v>0</v>
      </c>
      <c r="AG18" s="1444" cm="1">
        <f t="array" aca="1" ref="AG18" ca="1">CELL("protect",I18)</f>
        <v>0</v>
      </c>
      <c r="AH18" s="1444" cm="1">
        <f t="array" aca="1" ref="AH18" ca="1">CELL("protect",J18)</f>
        <v>0</v>
      </c>
      <c r="AI18" s="1444" cm="1">
        <f t="array" aca="1" ref="AI18" ca="1">CELL("protect",K18)</f>
        <v>0</v>
      </c>
      <c r="AJ18" s="1444" cm="1">
        <f t="array" aca="1" ref="AJ18" ca="1">CELL("protect",L18)</f>
        <v>0</v>
      </c>
      <c r="AK18" s="1444"/>
      <c r="AL18" s="1444"/>
      <c r="AM18" s="1444"/>
    </row>
    <row r="19" spans="1:39">
      <c r="A19" s="108">
        <f>ROW()</f>
        <v>19</v>
      </c>
      <c r="B19" s="404" t="s">
        <v>759</v>
      </c>
      <c r="C19" s="405">
        <v>1000000</v>
      </c>
      <c r="D19" s="217">
        <v>250</v>
      </c>
      <c r="E19" s="1175">
        <f t="shared" si="0"/>
        <v>1500</v>
      </c>
      <c r="F19" s="736">
        <v>0</v>
      </c>
      <c r="G19" s="702">
        <f t="shared" si="1"/>
        <v>250</v>
      </c>
      <c r="H19" s="393">
        <f t="shared" si="2"/>
        <v>250</v>
      </c>
      <c r="I19" s="393">
        <f t="shared" si="2"/>
        <v>250</v>
      </c>
      <c r="J19" s="393">
        <f t="shared" si="2"/>
        <v>250</v>
      </c>
      <c r="K19" s="393">
        <f t="shared" si="2"/>
        <v>250</v>
      </c>
      <c r="L19" s="393">
        <f t="shared" si="2"/>
        <v>250</v>
      </c>
      <c r="N19" s="287"/>
      <c r="Y19" s="1444" cm="1">
        <f t="array" aca="1" ref="Y19" ca="1">CELL("protect",A19)</f>
        <v>1</v>
      </c>
      <c r="Z19" s="1444" cm="1">
        <f t="array" aca="1" ref="Z19" ca="1">CELL("protect",B19)</f>
        <v>1</v>
      </c>
      <c r="AA19" s="1444" cm="1">
        <f t="array" aca="1" ref="AA19" ca="1">CELL("protect",C19)</f>
        <v>1</v>
      </c>
      <c r="AB19" s="1444" cm="1">
        <f t="array" aca="1" ref="AB19" ca="1">CELL("protect",D19)</f>
        <v>0</v>
      </c>
      <c r="AC19" s="1444" cm="1">
        <f t="array" aca="1" ref="AC19" ca="1">CELL("protect",E19)</f>
        <v>0</v>
      </c>
      <c r="AD19" s="1444" cm="1">
        <f t="array" aca="1" ref="AD19" ca="1">CELL("protect",F19)</f>
        <v>0</v>
      </c>
      <c r="AE19" s="1444" cm="1">
        <f t="array" aca="1" ref="AE19" ca="1">CELL("protect",G19)</f>
        <v>0</v>
      </c>
      <c r="AF19" s="1444" cm="1">
        <f t="array" aca="1" ref="AF19" ca="1">CELL("protect",H19)</f>
        <v>0</v>
      </c>
      <c r="AG19" s="1444" cm="1">
        <f t="array" aca="1" ref="AG19" ca="1">CELL("protect",I19)</f>
        <v>0</v>
      </c>
      <c r="AH19" s="1444" cm="1">
        <f t="array" aca="1" ref="AH19" ca="1">CELL("protect",J19)</f>
        <v>0</v>
      </c>
      <c r="AI19" s="1444" cm="1">
        <f t="array" aca="1" ref="AI19" ca="1">CELL("protect",K19)</f>
        <v>0</v>
      </c>
      <c r="AJ19" s="1444" cm="1">
        <f t="array" aca="1" ref="AJ19" ca="1">CELL("protect",L19)</f>
        <v>0</v>
      </c>
      <c r="AK19" s="1444"/>
      <c r="AL19" s="1444"/>
      <c r="AM19" s="1444"/>
    </row>
    <row r="20" spans="1:39">
      <c r="A20" s="108">
        <f>ROW()</f>
        <v>20</v>
      </c>
      <c r="B20" s="404" t="s">
        <v>760</v>
      </c>
      <c r="C20" s="405">
        <v>1000000</v>
      </c>
      <c r="D20" s="217">
        <v>0</v>
      </c>
      <c r="E20" s="1175">
        <f t="shared" si="0"/>
        <v>0</v>
      </c>
      <c r="F20" s="736">
        <v>0</v>
      </c>
      <c r="G20" s="702">
        <f t="shared" si="1"/>
        <v>0</v>
      </c>
      <c r="H20" s="393">
        <f t="shared" si="2"/>
        <v>0</v>
      </c>
      <c r="I20" s="393">
        <f t="shared" si="2"/>
        <v>0</v>
      </c>
      <c r="J20" s="393">
        <f t="shared" si="2"/>
        <v>0</v>
      </c>
      <c r="K20" s="393">
        <f t="shared" si="2"/>
        <v>0</v>
      </c>
      <c r="L20" s="393">
        <f t="shared" si="2"/>
        <v>0</v>
      </c>
      <c r="N20" s="287"/>
      <c r="Y20" s="1444" cm="1">
        <f t="array" aca="1" ref="Y20" ca="1">CELL("protect",A20)</f>
        <v>1</v>
      </c>
      <c r="Z20" s="1444" cm="1">
        <f t="array" aca="1" ref="Z20" ca="1">CELL("protect",B20)</f>
        <v>1</v>
      </c>
      <c r="AA20" s="1444" cm="1">
        <f t="array" aca="1" ref="AA20" ca="1">CELL("protect",C20)</f>
        <v>1</v>
      </c>
      <c r="AB20" s="1444" cm="1">
        <f t="array" aca="1" ref="AB20" ca="1">CELL("protect",D20)</f>
        <v>0</v>
      </c>
      <c r="AC20" s="1444" cm="1">
        <f t="array" aca="1" ref="AC20" ca="1">CELL("protect",E20)</f>
        <v>0</v>
      </c>
      <c r="AD20" s="1444" cm="1">
        <f t="array" aca="1" ref="AD20" ca="1">CELL("protect",F20)</f>
        <v>0</v>
      </c>
      <c r="AE20" s="1444" cm="1">
        <f t="array" aca="1" ref="AE20" ca="1">CELL("protect",G20)</f>
        <v>0</v>
      </c>
      <c r="AF20" s="1444" cm="1">
        <f t="array" aca="1" ref="AF20" ca="1">CELL("protect",H20)</f>
        <v>0</v>
      </c>
      <c r="AG20" s="1444" cm="1">
        <f t="array" aca="1" ref="AG20" ca="1">CELL("protect",I20)</f>
        <v>0</v>
      </c>
      <c r="AH20" s="1444" cm="1">
        <f t="array" aca="1" ref="AH20" ca="1">CELL("protect",J20)</f>
        <v>0</v>
      </c>
      <c r="AI20" s="1444" cm="1">
        <f t="array" aca="1" ref="AI20" ca="1">CELL("protect",K20)</f>
        <v>0</v>
      </c>
      <c r="AJ20" s="1444" cm="1">
        <f t="array" aca="1" ref="AJ20" ca="1">CELL("protect",L20)</f>
        <v>0</v>
      </c>
      <c r="AK20" s="1444"/>
      <c r="AL20" s="1444"/>
      <c r="AM20" s="1444"/>
    </row>
    <row r="21" spans="1:39">
      <c r="A21" s="108">
        <f>ROW()</f>
        <v>21</v>
      </c>
      <c r="B21" s="341"/>
      <c r="C21" s="336"/>
      <c r="D21" s="336"/>
      <c r="E21" s="1175"/>
      <c r="F21" s="737"/>
      <c r="G21" s="703"/>
      <c r="H21" s="456"/>
      <c r="I21" s="456"/>
      <c r="J21" s="456"/>
      <c r="K21" s="456"/>
      <c r="L21" s="456"/>
      <c r="N21" s="287"/>
      <c r="Y21" s="1444" cm="1">
        <f t="array" aca="1" ref="Y21" ca="1">CELL("protect",A21)</f>
        <v>1</v>
      </c>
      <c r="Z21" s="1444" cm="1">
        <f t="array" aca="1" ref="Z21" ca="1">CELL("protect",B21)</f>
        <v>0</v>
      </c>
      <c r="AA21" s="1444" cm="1">
        <f t="array" aca="1" ref="AA21" ca="1">CELL("protect",C21)</f>
        <v>0</v>
      </c>
      <c r="AB21" s="1444" cm="1">
        <f t="array" aca="1" ref="AB21" ca="1">CELL("protect",D21)</f>
        <v>0</v>
      </c>
      <c r="AC21" s="1444" cm="1">
        <f t="array" aca="1" ref="AC21" ca="1">CELL("protect",E21)</f>
        <v>0</v>
      </c>
      <c r="AD21" s="1444" cm="1">
        <f t="array" aca="1" ref="AD21" ca="1">CELL("protect",F21)</f>
        <v>0</v>
      </c>
      <c r="AE21" s="1444" cm="1">
        <f t="array" aca="1" ref="AE21" ca="1">CELL("protect",G21)</f>
        <v>0</v>
      </c>
      <c r="AF21" s="1444" cm="1">
        <f t="array" aca="1" ref="AF21" ca="1">CELL("protect",H21)</f>
        <v>0</v>
      </c>
      <c r="AG21" s="1444" cm="1">
        <f t="array" aca="1" ref="AG21" ca="1">CELL("protect",I21)</f>
        <v>0</v>
      </c>
      <c r="AH21" s="1444" cm="1">
        <f t="array" aca="1" ref="AH21" ca="1">CELL("protect",J21)</f>
        <v>0</v>
      </c>
      <c r="AI21" s="1444" cm="1">
        <f t="array" aca="1" ref="AI21" ca="1">CELL("protect",K21)</f>
        <v>0</v>
      </c>
      <c r="AJ21" s="1444" cm="1">
        <f t="array" aca="1" ref="AJ21" ca="1">CELL("protect",L21)</f>
        <v>0</v>
      </c>
      <c r="AK21" s="1444"/>
      <c r="AL21" s="1444"/>
      <c r="AM21" s="1444"/>
    </row>
    <row r="22" spans="1:39">
      <c r="A22" s="108">
        <f>ROW()</f>
        <v>22</v>
      </c>
      <c r="B22" s="399" t="s">
        <v>761</v>
      </c>
      <c r="C22" s="733"/>
      <c r="D22" s="733"/>
      <c r="E22" s="1177"/>
      <c r="F22" s="738"/>
      <c r="G22" s="714"/>
      <c r="H22" s="715"/>
      <c r="I22" s="715"/>
      <c r="J22" s="715"/>
      <c r="K22" s="715"/>
      <c r="L22" s="715"/>
      <c r="N22" s="287"/>
      <c r="Y22" s="1444"/>
      <c r="Z22" s="1444"/>
      <c r="AA22" s="1444"/>
      <c r="AB22" s="1444"/>
      <c r="AC22" s="1444"/>
      <c r="AD22" s="1444"/>
      <c r="AE22" s="1444"/>
      <c r="AF22" s="1444"/>
      <c r="AG22" s="1444"/>
      <c r="AH22" s="1444"/>
      <c r="AI22" s="1444"/>
      <c r="AJ22" s="1444"/>
      <c r="AK22" s="1444"/>
      <c r="AL22" s="1444"/>
      <c r="AM22" s="1444"/>
    </row>
    <row r="23" spans="1:39">
      <c r="A23" s="108">
        <f>ROW()</f>
        <v>23</v>
      </c>
      <c r="B23" s="734" t="s">
        <v>762</v>
      </c>
      <c r="C23" s="405" t="s">
        <v>763</v>
      </c>
      <c r="D23" s="217">
        <v>0</v>
      </c>
      <c r="E23" s="1178">
        <f t="shared" ref="E23" si="3">SUM(F23:L23)</f>
        <v>0</v>
      </c>
      <c r="F23" s="736">
        <v>0</v>
      </c>
      <c r="G23" s="702">
        <v>0</v>
      </c>
      <c r="H23" s="393">
        <v>0</v>
      </c>
      <c r="I23" s="393">
        <v>0</v>
      </c>
      <c r="J23" s="393">
        <v>0</v>
      </c>
      <c r="K23" s="393">
        <v>0</v>
      </c>
      <c r="L23" s="393">
        <v>0</v>
      </c>
      <c r="N23" s="287"/>
      <c r="Y23" s="1444"/>
      <c r="Z23" s="1444"/>
      <c r="AA23" s="1444"/>
      <c r="AB23" s="1444"/>
      <c r="AC23" s="1444"/>
      <c r="AD23" s="1444"/>
      <c r="AE23" s="1444"/>
      <c r="AF23" s="1444"/>
      <c r="AG23" s="1444"/>
      <c r="AH23" s="1444"/>
      <c r="AI23" s="1444"/>
      <c r="AJ23" s="1444"/>
      <c r="AK23" s="1444"/>
      <c r="AL23" s="1444"/>
      <c r="AM23" s="1444"/>
    </row>
    <row r="24" spans="1:39">
      <c r="A24" s="108">
        <f>ROW()</f>
        <v>24</v>
      </c>
      <c r="B24" s="734" t="s">
        <v>764</v>
      </c>
      <c r="C24" s="733"/>
      <c r="D24" s="733"/>
      <c r="E24" s="700"/>
      <c r="F24" s="738"/>
      <c r="G24" s="714"/>
      <c r="H24" s="715"/>
      <c r="I24" s="715"/>
      <c r="J24" s="715"/>
      <c r="K24" s="715"/>
      <c r="L24" s="715"/>
      <c r="N24" s="287"/>
      <c r="Y24" s="1444"/>
      <c r="Z24" s="1444"/>
      <c r="AA24" s="1444"/>
      <c r="AB24" s="1444"/>
      <c r="AC24" s="1444"/>
      <c r="AD24" s="1444"/>
      <c r="AE24" s="1444"/>
      <c r="AF24" s="1444"/>
      <c r="AG24" s="1444"/>
      <c r="AH24" s="1444"/>
      <c r="AI24" s="1444"/>
      <c r="AJ24" s="1444"/>
      <c r="AK24" s="1444"/>
      <c r="AL24" s="1444"/>
      <c r="AM24" s="1444"/>
    </row>
    <row r="25" spans="1:39">
      <c r="A25" s="108">
        <f>ROW()</f>
        <v>25</v>
      </c>
      <c r="B25" s="732"/>
      <c r="C25" s="733"/>
      <c r="D25" s="733"/>
      <c r="E25" s="700"/>
      <c r="F25" s="738"/>
      <c r="G25" s="714"/>
      <c r="H25" s="715"/>
      <c r="I25" s="715"/>
      <c r="J25" s="715"/>
      <c r="K25" s="715"/>
      <c r="L25" s="715"/>
      <c r="N25" s="287"/>
      <c r="Y25" s="1444"/>
      <c r="Z25" s="1444"/>
      <c r="AA25" s="1444"/>
      <c r="AB25" s="1444"/>
      <c r="AC25" s="1444"/>
      <c r="AD25" s="1444"/>
      <c r="AE25" s="1444"/>
      <c r="AF25" s="1444"/>
      <c r="AG25" s="1444"/>
      <c r="AH25" s="1444"/>
      <c r="AI25" s="1444"/>
      <c r="AJ25" s="1444"/>
      <c r="AK25" s="1444"/>
      <c r="AL25" s="1444"/>
      <c r="AM25" s="1444"/>
    </row>
    <row r="26" spans="1:39">
      <c r="A26" s="108">
        <f>ROW()</f>
        <v>26</v>
      </c>
      <c r="B26" s="337" t="s">
        <v>1303</v>
      </c>
      <c r="C26" s="333"/>
      <c r="D26" s="333"/>
      <c r="E26" s="700"/>
      <c r="F26" s="738"/>
      <c r="G26" s="714"/>
      <c r="H26" s="715"/>
      <c r="I26" s="715"/>
      <c r="J26" s="715"/>
      <c r="K26" s="715"/>
      <c r="L26" s="715"/>
      <c r="N26" s="287"/>
      <c r="Y26" s="1444" cm="1">
        <f t="array" aca="1" ref="Y26" ca="1">CELL("protect",A26)</f>
        <v>1</v>
      </c>
      <c r="Z26" s="1444" cm="1">
        <f t="array" aca="1" ref="Z26" ca="1">CELL("protect",B26)</f>
        <v>0</v>
      </c>
      <c r="AA26" s="1444" cm="1">
        <f t="array" aca="1" ref="AA26" ca="1">CELL("protect",C26)</f>
        <v>0</v>
      </c>
      <c r="AB26" s="1444" cm="1">
        <f t="array" aca="1" ref="AB26" ca="1">CELL("protect",D26)</f>
        <v>0</v>
      </c>
      <c r="AC26" s="1444" cm="1">
        <f t="array" aca="1" ref="AC26" ca="1">CELL("protect",E26)</f>
        <v>1</v>
      </c>
      <c r="AD26" s="1444" cm="1">
        <f t="array" aca="1" ref="AD26" ca="1">CELL("protect",F26)</f>
        <v>0</v>
      </c>
      <c r="AE26" s="1444" cm="1">
        <f t="array" aca="1" ref="AE26" ca="1">CELL("protect",G26)</f>
        <v>0</v>
      </c>
      <c r="AF26" s="1444" cm="1">
        <f t="array" aca="1" ref="AF26" ca="1">CELL("protect",H26)</f>
        <v>0</v>
      </c>
      <c r="AG26" s="1444" cm="1">
        <f t="array" aca="1" ref="AG26" ca="1">CELL("protect",I26)</f>
        <v>0</v>
      </c>
      <c r="AH26" s="1444" cm="1">
        <f t="array" aca="1" ref="AH26" ca="1">CELL("protect",J26)</f>
        <v>0</v>
      </c>
      <c r="AI26" s="1444" cm="1">
        <f t="array" aca="1" ref="AI26" ca="1">CELL("protect",K26)</f>
        <v>0</v>
      </c>
      <c r="AJ26" s="1444" cm="1">
        <f t="array" aca="1" ref="AJ26" ca="1">CELL("protect",L26)</f>
        <v>0</v>
      </c>
      <c r="AK26" s="1444"/>
      <c r="AL26" s="1444"/>
      <c r="AM26" s="1444"/>
    </row>
    <row r="27" spans="1:39">
      <c r="A27" s="108">
        <f>ROW()</f>
        <v>27</v>
      </c>
      <c r="B27" s="213" t="s">
        <v>1411</v>
      </c>
      <c r="C27" s="332">
        <v>50000</v>
      </c>
      <c r="D27" s="332">
        <v>524</v>
      </c>
      <c r="E27" s="1174">
        <f t="shared" si="0"/>
        <v>3144</v>
      </c>
      <c r="F27" s="739">
        <v>0</v>
      </c>
      <c r="G27" s="716">
        <f t="shared" si="1"/>
        <v>524</v>
      </c>
      <c r="H27" s="717">
        <f t="shared" si="2"/>
        <v>524</v>
      </c>
      <c r="I27" s="717">
        <f t="shared" si="2"/>
        <v>524</v>
      </c>
      <c r="J27" s="717">
        <f t="shared" si="2"/>
        <v>524</v>
      </c>
      <c r="K27" s="717">
        <f t="shared" si="2"/>
        <v>524</v>
      </c>
      <c r="L27" s="717">
        <f t="shared" si="2"/>
        <v>524</v>
      </c>
      <c r="N27" s="287"/>
      <c r="Y27" s="1444" cm="1">
        <f t="array" aca="1" ref="Y27" ca="1">CELL("protect",A27)</f>
        <v>1</v>
      </c>
      <c r="Z27" s="1444" cm="1">
        <f t="array" aca="1" ref="Z27" ca="1">CELL("protect",B27)</f>
        <v>0</v>
      </c>
      <c r="AA27" s="1444" cm="1">
        <f t="array" aca="1" ref="AA27" ca="1">CELL("protect",C27)</f>
        <v>0</v>
      </c>
      <c r="AB27" s="1444" cm="1">
        <f t="array" aca="1" ref="AB27" ca="1">CELL("protect",D27)</f>
        <v>0</v>
      </c>
      <c r="AC27" s="1444" cm="1">
        <f t="array" aca="1" ref="AC27" ca="1">CELL("protect",E27)</f>
        <v>0</v>
      </c>
      <c r="AD27" s="1444" cm="1">
        <f t="array" aca="1" ref="AD27" ca="1">CELL("protect",F27)</f>
        <v>0</v>
      </c>
      <c r="AE27" s="1444" cm="1">
        <f t="array" aca="1" ref="AE27" ca="1">CELL("protect",G27)</f>
        <v>0</v>
      </c>
      <c r="AF27" s="1444" cm="1">
        <f t="array" aca="1" ref="AF27" ca="1">CELL("protect",H27)</f>
        <v>0</v>
      </c>
      <c r="AG27" s="1444" cm="1">
        <f t="array" aca="1" ref="AG27" ca="1">CELL("protect",I27)</f>
        <v>0</v>
      </c>
      <c r="AH27" s="1444" cm="1">
        <f t="array" aca="1" ref="AH27" ca="1">CELL("protect",J27)</f>
        <v>0</v>
      </c>
      <c r="AI27" s="1444" cm="1">
        <f t="array" aca="1" ref="AI27" ca="1">CELL("protect",K27)</f>
        <v>0</v>
      </c>
      <c r="AJ27" s="1444" cm="1">
        <f t="array" aca="1" ref="AJ27" ca="1">CELL("protect",L27)</f>
        <v>0</v>
      </c>
      <c r="AK27" s="1444"/>
      <c r="AL27" s="1444"/>
      <c r="AM27" s="1444"/>
    </row>
    <row r="28" spans="1:39">
      <c r="A28" s="108">
        <f>ROW()</f>
        <v>28</v>
      </c>
      <c r="B28" s="218" t="s">
        <v>1412</v>
      </c>
      <c r="C28" s="217">
        <v>2000000</v>
      </c>
      <c r="D28" s="217">
        <v>2500</v>
      </c>
      <c r="E28" s="1175">
        <f t="shared" si="0"/>
        <v>15000</v>
      </c>
      <c r="F28" s="736">
        <v>0</v>
      </c>
      <c r="G28" s="702">
        <f t="shared" si="1"/>
        <v>2500</v>
      </c>
      <c r="H28" s="393">
        <f t="shared" si="2"/>
        <v>2500</v>
      </c>
      <c r="I28" s="393">
        <f t="shared" si="2"/>
        <v>2500</v>
      </c>
      <c r="J28" s="393">
        <f t="shared" si="2"/>
        <v>2500</v>
      </c>
      <c r="K28" s="393">
        <f t="shared" si="2"/>
        <v>2500</v>
      </c>
      <c r="L28" s="393">
        <f t="shared" si="2"/>
        <v>2500</v>
      </c>
      <c r="N28" s="287"/>
      <c r="Y28" s="1444" cm="1">
        <f t="array" aca="1" ref="Y28" ca="1">CELL("protect",A28)</f>
        <v>1</v>
      </c>
      <c r="Z28" s="1444" cm="1">
        <f t="array" aca="1" ref="Z28" ca="1">CELL("protect",B28)</f>
        <v>0</v>
      </c>
      <c r="AA28" s="1444" cm="1">
        <f t="array" aca="1" ref="AA28" ca="1">CELL("protect",C28)</f>
        <v>0</v>
      </c>
      <c r="AB28" s="1444" cm="1">
        <f t="array" aca="1" ref="AB28" ca="1">CELL("protect",D28)</f>
        <v>0</v>
      </c>
      <c r="AC28" s="1444" cm="1">
        <f t="array" aca="1" ref="AC28" ca="1">CELL("protect",E28)</f>
        <v>0</v>
      </c>
      <c r="AD28" s="1444" cm="1">
        <f t="array" aca="1" ref="AD28" ca="1">CELL("protect",F28)</f>
        <v>0</v>
      </c>
      <c r="AE28" s="1444" cm="1">
        <f t="array" aca="1" ref="AE28" ca="1">CELL("protect",G28)</f>
        <v>0</v>
      </c>
      <c r="AF28" s="1444" cm="1">
        <f t="array" aca="1" ref="AF28" ca="1">CELL("protect",H28)</f>
        <v>0</v>
      </c>
      <c r="AG28" s="1444" cm="1">
        <f t="array" aca="1" ref="AG28" ca="1">CELL("protect",I28)</f>
        <v>0</v>
      </c>
      <c r="AH28" s="1444" cm="1">
        <f t="array" aca="1" ref="AH28" ca="1">CELL("protect",J28)</f>
        <v>0</v>
      </c>
      <c r="AI28" s="1444" cm="1">
        <f t="array" aca="1" ref="AI28" ca="1">CELL("protect",K28)</f>
        <v>0</v>
      </c>
      <c r="AJ28" s="1444" cm="1">
        <f t="array" aca="1" ref="AJ28" ca="1">CELL("protect",L28)</f>
        <v>0</v>
      </c>
      <c r="AK28" s="1444"/>
      <c r="AL28" s="1444"/>
      <c r="AM28" s="1444"/>
    </row>
    <row r="29" spans="1:39">
      <c r="A29" s="108">
        <f>ROW()</f>
        <v>29</v>
      </c>
      <c r="B29" s="1309" t="s">
        <v>1413</v>
      </c>
      <c r="C29" s="217">
        <v>0</v>
      </c>
      <c r="D29" s="217">
        <v>0</v>
      </c>
      <c r="E29" s="1175">
        <f t="shared" si="0"/>
        <v>0</v>
      </c>
      <c r="F29" s="736">
        <v>0</v>
      </c>
      <c r="G29" s="702">
        <f t="shared" si="1"/>
        <v>0</v>
      </c>
      <c r="H29" s="393">
        <f t="shared" si="2"/>
        <v>0</v>
      </c>
      <c r="I29" s="393">
        <f t="shared" si="2"/>
        <v>0</v>
      </c>
      <c r="J29" s="393">
        <f t="shared" si="2"/>
        <v>0</v>
      </c>
      <c r="K29" s="393">
        <f t="shared" si="2"/>
        <v>0</v>
      </c>
      <c r="L29" s="393">
        <f t="shared" si="2"/>
        <v>0</v>
      </c>
      <c r="N29" s="287"/>
      <c r="Y29" s="1444" cm="1">
        <f t="array" aca="1" ref="Y29" ca="1">CELL("protect",A29)</f>
        <v>1</v>
      </c>
      <c r="Z29" s="1444" cm="1">
        <f t="array" aca="1" ref="Z29" ca="1">CELL("protect",B29)</f>
        <v>0</v>
      </c>
      <c r="AA29" s="1444" cm="1">
        <f t="array" aca="1" ref="AA29" ca="1">CELL("protect",C29)</f>
        <v>0</v>
      </c>
      <c r="AB29" s="1444" cm="1">
        <f t="array" aca="1" ref="AB29" ca="1">CELL("protect",D29)</f>
        <v>0</v>
      </c>
      <c r="AC29" s="1444" cm="1">
        <f t="array" aca="1" ref="AC29" ca="1">CELL("protect",E29)</f>
        <v>0</v>
      </c>
      <c r="AD29" s="1444" cm="1">
        <f t="array" aca="1" ref="AD29" ca="1">CELL("protect",F29)</f>
        <v>0</v>
      </c>
      <c r="AE29" s="1444" cm="1">
        <f t="array" aca="1" ref="AE29" ca="1">CELL("protect",G29)</f>
        <v>0</v>
      </c>
      <c r="AF29" s="1444" cm="1">
        <f t="array" aca="1" ref="AF29" ca="1">CELL("protect",H29)</f>
        <v>0</v>
      </c>
      <c r="AG29" s="1444" cm="1">
        <f t="array" aca="1" ref="AG29" ca="1">CELL("protect",I29)</f>
        <v>0</v>
      </c>
      <c r="AH29" s="1444" cm="1">
        <f t="array" aca="1" ref="AH29" ca="1">CELL("protect",J29)</f>
        <v>0</v>
      </c>
      <c r="AI29" s="1444" cm="1">
        <f t="array" aca="1" ref="AI29" ca="1">CELL("protect",K29)</f>
        <v>0</v>
      </c>
      <c r="AJ29" s="1444" cm="1">
        <f t="array" aca="1" ref="AJ29" ca="1">CELL("protect",L29)</f>
        <v>0</v>
      </c>
      <c r="AK29" s="1444"/>
      <c r="AL29" s="1444"/>
      <c r="AM29" s="1444"/>
    </row>
    <row r="30" spans="1:39">
      <c r="A30" s="108">
        <f>ROW()</f>
        <v>30</v>
      </c>
      <c r="B30" s="1309" t="s">
        <v>1414</v>
      </c>
      <c r="C30" s="217">
        <v>1000000</v>
      </c>
      <c r="D30" s="217"/>
      <c r="E30" s="1175">
        <f t="shared" si="0"/>
        <v>0</v>
      </c>
      <c r="F30" s="736">
        <v>0</v>
      </c>
      <c r="G30" s="702">
        <f t="shared" si="1"/>
        <v>0</v>
      </c>
      <c r="H30" s="393">
        <f t="shared" ref="H30:L39" si="4">+$D30</f>
        <v>0</v>
      </c>
      <c r="I30" s="393">
        <f t="shared" si="4"/>
        <v>0</v>
      </c>
      <c r="J30" s="393">
        <f t="shared" si="4"/>
        <v>0</v>
      </c>
      <c r="K30" s="393">
        <f t="shared" si="4"/>
        <v>0</v>
      </c>
      <c r="L30" s="393">
        <f t="shared" si="4"/>
        <v>0</v>
      </c>
      <c r="N30" s="287"/>
      <c r="Y30" s="1444" cm="1">
        <f t="array" aca="1" ref="Y30" ca="1">CELL("protect",A30)</f>
        <v>1</v>
      </c>
      <c r="Z30" s="1444" cm="1">
        <f t="array" aca="1" ref="Z30" ca="1">CELL("protect",B30)</f>
        <v>0</v>
      </c>
      <c r="AA30" s="1444" cm="1">
        <f t="array" aca="1" ref="AA30" ca="1">CELL("protect",C30)</f>
        <v>0</v>
      </c>
      <c r="AB30" s="1444" cm="1">
        <f t="array" aca="1" ref="AB30" ca="1">CELL("protect",D30)</f>
        <v>0</v>
      </c>
      <c r="AC30" s="1444" cm="1">
        <f t="array" aca="1" ref="AC30" ca="1">CELL("protect",E30)</f>
        <v>0</v>
      </c>
      <c r="AD30" s="1444" cm="1">
        <f t="array" aca="1" ref="AD30" ca="1">CELL("protect",F30)</f>
        <v>0</v>
      </c>
      <c r="AE30" s="1444" cm="1">
        <f t="array" aca="1" ref="AE30" ca="1">CELL("protect",G30)</f>
        <v>0</v>
      </c>
      <c r="AF30" s="1444" cm="1">
        <f t="array" aca="1" ref="AF30" ca="1">CELL("protect",H30)</f>
        <v>0</v>
      </c>
      <c r="AG30" s="1444" cm="1">
        <f t="array" aca="1" ref="AG30" ca="1">CELL("protect",I30)</f>
        <v>0</v>
      </c>
      <c r="AH30" s="1444" cm="1">
        <f t="array" aca="1" ref="AH30" ca="1">CELL("protect",J30)</f>
        <v>0</v>
      </c>
      <c r="AI30" s="1444" cm="1">
        <f t="array" aca="1" ref="AI30" ca="1">CELL("protect",K30)</f>
        <v>0</v>
      </c>
      <c r="AJ30" s="1444" cm="1">
        <f t="array" aca="1" ref="AJ30" ca="1">CELL("protect",L30)</f>
        <v>0</v>
      </c>
      <c r="AK30" s="1444"/>
      <c r="AL30" s="1444"/>
      <c r="AM30" s="1444"/>
    </row>
    <row r="31" spans="1:39">
      <c r="A31" s="108">
        <f>ROW()</f>
        <v>31</v>
      </c>
      <c r="B31" s="1309" t="s">
        <v>1415</v>
      </c>
      <c r="C31" s="217">
        <v>1000000</v>
      </c>
      <c r="D31" s="217">
        <v>2000</v>
      </c>
      <c r="E31" s="1175">
        <f t="shared" si="0"/>
        <v>12000</v>
      </c>
      <c r="F31" s="736">
        <v>0</v>
      </c>
      <c r="G31" s="702">
        <f t="shared" si="1"/>
        <v>2000</v>
      </c>
      <c r="H31" s="393">
        <f t="shared" si="4"/>
        <v>2000</v>
      </c>
      <c r="I31" s="393">
        <f t="shared" si="4"/>
        <v>2000</v>
      </c>
      <c r="J31" s="393">
        <f t="shared" si="4"/>
        <v>2000</v>
      </c>
      <c r="K31" s="393">
        <f t="shared" si="4"/>
        <v>2000</v>
      </c>
      <c r="L31" s="393">
        <f t="shared" si="4"/>
        <v>2000</v>
      </c>
      <c r="N31" s="287"/>
      <c r="Y31" s="1444" cm="1">
        <f t="array" aca="1" ref="Y31" ca="1">CELL("protect",A31)</f>
        <v>1</v>
      </c>
      <c r="Z31" s="1444" cm="1">
        <f t="array" aca="1" ref="Z31" ca="1">CELL("protect",B31)</f>
        <v>0</v>
      </c>
      <c r="AA31" s="1444" cm="1">
        <f t="array" aca="1" ref="AA31" ca="1">CELL("protect",C31)</f>
        <v>0</v>
      </c>
      <c r="AB31" s="1444" cm="1">
        <f t="array" aca="1" ref="AB31" ca="1">CELL("protect",D31)</f>
        <v>0</v>
      </c>
      <c r="AC31" s="1444" cm="1">
        <f t="array" aca="1" ref="AC31" ca="1">CELL("protect",E31)</f>
        <v>0</v>
      </c>
      <c r="AD31" s="1444" cm="1">
        <f t="array" aca="1" ref="AD31" ca="1">CELL("protect",F31)</f>
        <v>0</v>
      </c>
      <c r="AE31" s="1444" cm="1">
        <f t="array" aca="1" ref="AE31" ca="1">CELL("protect",G31)</f>
        <v>0</v>
      </c>
      <c r="AF31" s="1444" cm="1">
        <f t="array" aca="1" ref="AF31" ca="1">CELL("protect",H31)</f>
        <v>0</v>
      </c>
      <c r="AG31" s="1444" cm="1">
        <f t="array" aca="1" ref="AG31" ca="1">CELL("protect",I31)</f>
        <v>0</v>
      </c>
      <c r="AH31" s="1444" cm="1">
        <f t="array" aca="1" ref="AH31" ca="1">CELL("protect",J31)</f>
        <v>0</v>
      </c>
      <c r="AI31" s="1444" cm="1">
        <f t="array" aca="1" ref="AI31" ca="1">CELL("protect",K31)</f>
        <v>0</v>
      </c>
      <c r="AJ31" s="1444" cm="1">
        <f t="array" aca="1" ref="AJ31" ca="1">CELL("protect",L31)</f>
        <v>0</v>
      </c>
      <c r="AK31" s="1444"/>
      <c r="AL31" s="1444"/>
      <c r="AM31" s="1444"/>
    </row>
    <row r="32" spans="1:39">
      <c r="A32" s="108">
        <f>ROW()</f>
        <v>32</v>
      </c>
      <c r="B32" s="1309" t="s">
        <v>1416</v>
      </c>
      <c r="C32" s="217">
        <v>1000000</v>
      </c>
      <c r="D32" s="217">
        <v>2500</v>
      </c>
      <c r="E32" s="1175">
        <f t="shared" si="0"/>
        <v>15000</v>
      </c>
      <c r="F32" s="736">
        <v>0</v>
      </c>
      <c r="G32" s="702">
        <f t="shared" si="1"/>
        <v>2500</v>
      </c>
      <c r="H32" s="393">
        <f t="shared" si="4"/>
        <v>2500</v>
      </c>
      <c r="I32" s="393">
        <f t="shared" si="4"/>
        <v>2500</v>
      </c>
      <c r="J32" s="393">
        <f t="shared" si="4"/>
        <v>2500</v>
      </c>
      <c r="K32" s="393">
        <f t="shared" si="4"/>
        <v>2500</v>
      </c>
      <c r="L32" s="393">
        <f t="shared" si="4"/>
        <v>2500</v>
      </c>
      <c r="N32" s="287"/>
      <c r="Y32" s="1444" cm="1">
        <f t="array" aca="1" ref="Y32" ca="1">CELL("protect",A32)</f>
        <v>1</v>
      </c>
      <c r="Z32" s="1444" cm="1">
        <f t="array" aca="1" ref="Z32" ca="1">CELL("protect",B32)</f>
        <v>0</v>
      </c>
      <c r="AA32" s="1444" cm="1">
        <f t="array" aca="1" ref="AA32" ca="1">CELL("protect",C32)</f>
        <v>0</v>
      </c>
      <c r="AB32" s="1444" cm="1">
        <f t="array" aca="1" ref="AB32" ca="1">CELL("protect",D32)</f>
        <v>0</v>
      </c>
      <c r="AC32" s="1444" cm="1">
        <f t="array" aca="1" ref="AC32" ca="1">CELL("protect",E32)</f>
        <v>0</v>
      </c>
      <c r="AD32" s="1444" cm="1">
        <f t="array" aca="1" ref="AD32" ca="1">CELL("protect",F32)</f>
        <v>0</v>
      </c>
      <c r="AE32" s="1444" cm="1">
        <f t="array" aca="1" ref="AE32" ca="1">CELL("protect",G32)</f>
        <v>0</v>
      </c>
      <c r="AF32" s="1444" cm="1">
        <f t="array" aca="1" ref="AF32" ca="1">CELL("protect",H32)</f>
        <v>0</v>
      </c>
      <c r="AG32" s="1444" cm="1">
        <f t="array" aca="1" ref="AG32" ca="1">CELL("protect",I32)</f>
        <v>0</v>
      </c>
      <c r="AH32" s="1444" cm="1">
        <f t="array" aca="1" ref="AH32" ca="1">CELL("protect",J32)</f>
        <v>0</v>
      </c>
      <c r="AI32" s="1444" cm="1">
        <f t="array" aca="1" ref="AI32" ca="1">CELL("protect",K32)</f>
        <v>0</v>
      </c>
      <c r="AJ32" s="1444" cm="1">
        <f t="array" aca="1" ref="AJ32" ca="1">CELL("protect",L32)</f>
        <v>0</v>
      </c>
      <c r="AK32" s="1444"/>
      <c r="AL32" s="1444"/>
      <c r="AM32" s="1444"/>
    </row>
    <row r="33" spans="1:39">
      <c r="A33" s="108">
        <f>ROW()</f>
        <v>33</v>
      </c>
      <c r="B33" s="1309" t="s">
        <v>1417</v>
      </c>
      <c r="C33" s="217">
        <v>25000</v>
      </c>
      <c r="D33" s="217">
        <v>250</v>
      </c>
      <c r="E33" s="1175">
        <f t="shared" si="0"/>
        <v>1500</v>
      </c>
      <c r="F33" s="736">
        <v>0</v>
      </c>
      <c r="G33" s="702">
        <f t="shared" si="1"/>
        <v>250</v>
      </c>
      <c r="H33" s="393">
        <f t="shared" si="4"/>
        <v>250</v>
      </c>
      <c r="I33" s="393">
        <f t="shared" si="4"/>
        <v>250</v>
      </c>
      <c r="J33" s="393">
        <f t="shared" si="4"/>
        <v>250</v>
      </c>
      <c r="K33" s="393">
        <f t="shared" si="4"/>
        <v>250</v>
      </c>
      <c r="L33" s="393">
        <f t="shared" si="4"/>
        <v>250</v>
      </c>
      <c r="N33" s="287"/>
      <c r="Y33" s="1444" cm="1">
        <f t="array" aca="1" ref="Y33" ca="1">CELL("protect",A33)</f>
        <v>1</v>
      </c>
      <c r="Z33" s="1444" cm="1">
        <f t="array" aca="1" ref="Z33" ca="1">CELL("protect",B33)</f>
        <v>0</v>
      </c>
      <c r="AA33" s="1444" cm="1">
        <f t="array" aca="1" ref="AA33" ca="1">CELL("protect",C33)</f>
        <v>0</v>
      </c>
      <c r="AB33" s="1444" cm="1">
        <f t="array" aca="1" ref="AB33" ca="1">CELL("protect",D33)</f>
        <v>0</v>
      </c>
      <c r="AC33" s="1444" cm="1">
        <f t="array" aca="1" ref="AC33" ca="1">CELL("protect",E33)</f>
        <v>0</v>
      </c>
      <c r="AD33" s="1444" cm="1">
        <f t="array" aca="1" ref="AD33" ca="1">CELL("protect",F33)</f>
        <v>0</v>
      </c>
      <c r="AE33" s="1444" cm="1">
        <f t="array" aca="1" ref="AE33" ca="1">CELL("protect",G33)</f>
        <v>0</v>
      </c>
      <c r="AF33" s="1444" cm="1">
        <f t="array" aca="1" ref="AF33" ca="1">CELL("protect",H33)</f>
        <v>0</v>
      </c>
      <c r="AG33" s="1444" cm="1">
        <f t="array" aca="1" ref="AG33" ca="1">CELL("protect",I33)</f>
        <v>0</v>
      </c>
      <c r="AH33" s="1444" cm="1">
        <f t="array" aca="1" ref="AH33" ca="1">CELL("protect",J33)</f>
        <v>0</v>
      </c>
      <c r="AI33" s="1444" cm="1">
        <f t="array" aca="1" ref="AI33" ca="1">CELL("protect",K33)</f>
        <v>0</v>
      </c>
      <c r="AJ33" s="1444" cm="1">
        <f t="array" aca="1" ref="AJ33" ca="1">CELL("protect",L33)</f>
        <v>0</v>
      </c>
      <c r="AK33" s="1444"/>
      <c r="AL33" s="1444"/>
      <c r="AM33" s="1444"/>
    </row>
    <row r="34" spans="1:39">
      <c r="A34" s="108">
        <f>ROW()</f>
        <v>34</v>
      </c>
      <c r="B34" s="1309"/>
      <c r="C34" s="217">
        <v>0</v>
      </c>
      <c r="D34" s="217">
        <v>0</v>
      </c>
      <c r="E34" s="1175">
        <f t="shared" si="0"/>
        <v>0</v>
      </c>
      <c r="F34" s="736">
        <v>0</v>
      </c>
      <c r="G34" s="702">
        <f t="shared" si="1"/>
        <v>0</v>
      </c>
      <c r="H34" s="393">
        <f t="shared" si="4"/>
        <v>0</v>
      </c>
      <c r="I34" s="393">
        <f t="shared" si="4"/>
        <v>0</v>
      </c>
      <c r="J34" s="393">
        <f t="shared" si="4"/>
        <v>0</v>
      </c>
      <c r="K34" s="393">
        <f t="shared" si="4"/>
        <v>0</v>
      </c>
      <c r="L34" s="393">
        <f t="shared" si="4"/>
        <v>0</v>
      </c>
      <c r="N34" s="287"/>
      <c r="Y34" s="1444" cm="1">
        <f t="array" aca="1" ref="Y34" ca="1">CELL("protect",A34)</f>
        <v>1</v>
      </c>
      <c r="Z34" s="1444" cm="1">
        <f t="array" aca="1" ref="Z34" ca="1">CELL("protect",B34)</f>
        <v>0</v>
      </c>
      <c r="AA34" s="1444" cm="1">
        <f t="array" aca="1" ref="AA34" ca="1">CELL("protect",C34)</f>
        <v>0</v>
      </c>
      <c r="AB34" s="1444" cm="1">
        <f t="array" aca="1" ref="AB34" ca="1">CELL("protect",D34)</f>
        <v>0</v>
      </c>
      <c r="AC34" s="1444" cm="1">
        <f t="array" aca="1" ref="AC34" ca="1">CELL("protect",E34)</f>
        <v>0</v>
      </c>
      <c r="AD34" s="1444" cm="1">
        <f t="array" aca="1" ref="AD34" ca="1">CELL("protect",F34)</f>
        <v>0</v>
      </c>
      <c r="AE34" s="1444" cm="1">
        <f t="array" aca="1" ref="AE34" ca="1">CELL("protect",G34)</f>
        <v>0</v>
      </c>
      <c r="AF34" s="1444" cm="1">
        <f t="array" aca="1" ref="AF34" ca="1">CELL("protect",H34)</f>
        <v>0</v>
      </c>
      <c r="AG34" s="1444" cm="1">
        <f t="array" aca="1" ref="AG34" ca="1">CELL("protect",I34)</f>
        <v>0</v>
      </c>
      <c r="AH34" s="1444" cm="1">
        <f t="array" aca="1" ref="AH34" ca="1">CELL("protect",J34)</f>
        <v>0</v>
      </c>
      <c r="AI34" s="1444" cm="1">
        <f t="array" aca="1" ref="AI34" ca="1">CELL("protect",K34)</f>
        <v>0</v>
      </c>
      <c r="AJ34" s="1444" cm="1">
        <f t="array" aca="1" ref="AJ34" ca="1">CELL("protect",L34)</f>
        <v>0</v>
      </c>
      <c r="AK34" s="1444"/>
      <c r="AL34" s="1444"/>
      <c r="AM34" s="1444"/>
    </row>
    <row r="35" spans="1:39">
      <c r="A35" s="108">
        <f>ROW()</f>
        <v>35</v>
      </c>
      <c r="B35" s="1309"/>
      <c r="C35" s="217">
        <v>0</v>
      </c>
      <c r="D35" s="217">
        <v>0</v>
      </c>
      <c r="E35" s="1175">
        <f t="shared" si="0"/>
        <v>0</v>
      </c>
      <c r="F35" s="736">
        <v>0</v>
      </c>
      <c r="G35" s="702">
        <f t="shared" si="1"/>
        <v>0</v>
      </c>
      <c r="H35" s="393">
        <f t="shared" si="4"/>
        <v>0</v>
      </c>
      <c r="I35" s="393">
        <f t="shared" si="4"/>
        <v>0</v>
      </c>
      <c r="J35" s="393">
        <f t="shared" si="4"/>
        <v>0</v>
      </c>
      <c r="K35" s="393">
        <f t="shared" si="4"/>
        <v>0</v>
      </c>
      <c r="L35" s="393">
        <f t="shared" si="4"/>
        <v>0</v>
      </c>
      <c r="N35" s="287"/>
      <c r="Y35" s="1444" cm="1">
        <f t="array" aca="1" ref="Y35" ca="1">CELL("protect",A35)</f>
        <v>1</v>
      </c>
      <c r="Z35" s="1444" cm="1">
        <f t="array" aca="1" ref="Z35" ca="1">CELL("protect",B35)</f>
        <v>0</v>
      </c>
      <c r="AA35" s="1444" cm="1">
        <f t="array" aca="1" ref="AA35" ca="1">CELL("protect",C35)</f>
        <v>0</v>
      </c>
      <c r="AB35" s="1444" cm="1">
        <f t="array" aca="1" ref="AB35" ca="1">CELL("protect",D35)</f>
        <v>0</v>
      </c>
      <c r="AC35" s="1444" cm="1">
        <f t="array" aca="1" ref="AC35" ca="1">CELL("protect",E35)</f>
        <v>0</v>
      </c>
      <c r="AD35" s="1444" cm="1">
        <f t="array" aca="1" ref="AD35" ca="1">CELL("protect",F35)</f>
        <v>0</v>
      </c>
      <c r="AE35" s="1444" cm="1">
        <f t="array" aca="1" ref="AE35" ca="1">CELL("protect",G35)</f>
        <v>0</v>
      </c>
      <c r="AF35" s="1444" cm="1">
        <f t="array" aca="1" ref="AF35" ca="1">CELL("protect",H35)</f>
        <v>0</v>
      </c>
      <c r="AG35" s="1444" cm="1">
        <f t="array" aca="1" ref="AG35" ca="1">CELL("protect",I35)</f>
        <v>0</v>
      </c>
      <c r="AH35" s="1444" cm="1">
        <f t="array" aca="1" ref="AH35" ca="1">CELL("protect",J35)</f>
        <v>0</v>
      </c>
      <c r="AI35" s="1444" cm="1">
        <f t="array" aca="1" ref="AI35" ca="1">CELL("protect",K35)</f>
        <v>0</v>
      </c>
      <c r="AJ35" s="1444" cm="1">
        <f t="array" aca="1" ref="AJ35" ca="1">CELL("protect",L35)</f>
        <v>0</v>
      </c>
      <c r="AK35" s="1444"/>
      <c r="AL35" s="1444"/>
      <c r="AM35" s="1444"/>
    </row>
    <row r="36" spans="1:39">
      <c r="A36" s="108">
        <f>ROW()</f>
        <v>36</v>
      </c>
      <c r="B36" s="1309"/>
      <c r="C36" s="217">
        <v>0</v>
      </c>
      <c r="D36" s="217">
        <v>0</v>
      </c>
      <c r="E36" s="1175">
        <f t="shared" si="0"/>
        <v>0</v>
      </c>
      <c r="F36" s="736">
        <v>0</v>
      </c>
      <c r="G36" s="702">
        <f t="shared" si="1"/>
        <v>0</v>
      </c>
      <c r="H36" s="393">
        <f t="shared" si="4"/>
        <v>0</v>
      </c>
      <c r="I36" s="393">
        <f t="shared" si="4"/>
        <v>0</v>
      </c>
      <c r="J36" s="393">
        <f t="shared" si="4"/>
        <v>0</v>
      </c>
      <c r="K36" s="393">
        <f t="shared" si="4"/>
        <v>0</v>
      </c>
      <c r="L36" s="393">
        <f t="shared" si="4"/>
        <v>0</v>
      </c>
      <c r="N36" s="287"/>
      <c r="Y36" s="1444" cm="1">
        <f t="array" aca="1" ref="Y36" ca="1">CELL("protect",A36)</f>
        <v>1</v>
      </c>
      <c r="Z36" s="1444" cm="1">
        <f t="array" aca="1" ref="Z36" ca="1">CELL("protect",B36)</f>
        <v>0</v>
      </c>
      <c r="AA36" s="1444" cm="1">
        <f t="array" aca="1" ref="AA36" ca="1">CELL("protect",C36)</f>
        <v>0</v>
      </c>
      <c r="AB36" s="1444" cm="1">
        <f t="array" aca="1" ref="AB36" ca="1">CELL("protect",D36)</f>
        <v>0</v>
      </c>
      <c r="AC36" s="1444" cm="1">
        <f t="array" aca="1" ref="AC36" ca="1">CELL("protect",E36)</f>
        <v>0</v>
      </c>
      <c r="AD36" s="1444" cm="1">
        <f t="array" aca="1" ref="AD36" ca="1">CELL("protect",F36)</f>
        <v>0</v>
      </c>
      <c r="AE36" s="1444" cm="1">
        <f t="array" aca="1" ref="AE36" ca="1">CELL("protect",G36)</f>
        <v>0</v>
      </c>
      <c r="AF36" s="1444" cm="1">
        <f t="array" aca="1" ref="AF36" ca="1">CELL("protect",H36)</f>
        <v>0</v>
      </c>
      <c r="AG36" s="1444" cm="1">
        <f t="array" aca="1" ref="AG36" ca="1">CELL("protect",I36)</f>
        <v>0</v>
      </c>
      <c r="AH36" s="1444" cm="1">
        <f t="array" aca="1" ref="AH36" ca="1">CELL("protect",J36)</f>
        <v>0</v>
      </c>
      <c r="AI36" s="1444" cm="1">
        <f t="array" aca="1" ref="AI36" ca="1">CELL("protect",K36)</f>
        <v>0</v>
      </c>
      <c r="AJ36" s="1444" cm="1">
        <f t="array" aca="1" ref="AJ36" ca="1">CELL("protect",L36)</f>
        <v>0</v>
      </c>
      <c r="AK36" s="1444"/>
      <c r="AL36" s="1444"/>
      <c r="AM36" s="1444"/>
    </row>
    <row r="37" spans="1:39">
      <c r="A37" s="108">
        <f>ROW()</f>
        <v>37</v>
      </c>
      <c r="B37" s="274"/>
      <c r="C37" s="217">
        <v>0</v>
      </c>
      <c r="D37" s="217">
        <v>0</v>
      </c>
      <c r="E37" s="1175">
        <f t="shared" si="0"/>
        <v>0</v>
      </c>
      <c r="F37" s="736">
        <v>0</v>
      </c>
      <c r="G37" s="702">
        <f t="shared" si="1"/>
        <v>0</v>
      </c>
      <c r="H37" s="393">
        <f t="shared" si="4"/>
        <v>0</v>
      </c>
      <c r="I37" s="393">
        <f t="shared" si="4"/>
        <v>0</v>
      </c>
      <c r="J37" s="393">
        <f t="shared" si="4"/>
        <v>0</v>
      </c>
      <c r="K37" s="393">
        <f t="shared" si="4"/>
        <v>0</v>
      </c>
      <c r="L37" s="393">
        <f t="shared" si="4"/>
        <v>0</v>
      </c>
      <c r="N37" s="287"/>
      <c r="Y37" s="1444" cm="1">
        <f t="array" aca="1" ref="Y37" ca="1">CELL("protect",A37)</f>
        <v>1</v>
      </c>
      <c r="Z37" s="1444" cm="1">
        <f t="array" aca="1" ref="Z37" ca="1">CELL("protect",B37)</f>
        <v>0</v>
      </c>
      <c r="AA37" s="1444" cm="1">
        <f t="array" aca="1" ref="AA37" ca="1">CELL("protect",C37)</f>
        <v>0</v>
      </c>
      <c r="AB37" s="1444" cm="1">
        <f t="array" aca="1" ref="AB37" ca="1">CELL("protect",D37)</f>
        <v>0</v>
      </c>
      <c r="AC37" s="1444" cm="1">
        <f t="array" aca="1" ref="AC37" ca="1">CELL("protect",E37)</f>
        <v>0</v>
      </c>
      <c r="AD37" s="1444" cm="1">
        <f t="array" aca="1" ref="AD37" ca="1">CELL("protect",F37)</f>
        <v>0</v>
      </c>
      <c r="AE37" s="1444" cm="1">
        <f t="array" aca="1" ref="AE37" ca="1">CELL("protect",G37)</f>
        <v>0</v>
      </c>
      <c r="AF37" s="1444" cm="1">
        <f t="array" aca="1" ref="AF37" ca="1">CELL("protect",H37)</f>
        <v>0</v>
      </c>
      <c r="AG37" s="1444" cm="1">
        <f t="array" aca="1" ref="AG37" ca="1">CELL("protect",I37)</f>
        <v>0</v>
      </c>
      <c r="AH37" s="1444" cm="1">
        <f t="array" aca="1" ref="AH37" ca="1">CELL("protect",J37)</f>
        <v>0</v>
      </c>
      <c r="AI37" s="1444" cm="1">
        <f t="array" aca="1" ref="AI37" ca="1">CELL("protect",K37)</f>
        <v>0</v>
      </c>
      <c r="AJ37" s="1444" cm="1">
        <f t="array" aca="1" ref="AJ37" ca="1">CELL("protect",L37)</f>
        <v>0</v>
      </c>
      <c r="AK37" s="1444"/>
      <c r="AL37" s="1444"/>
      <c r="AM37" s="1444"/>
    </row>
    <row r="38" spans="1:39">
      <c r="A38" s="108">
        <f>ROW()</f>
        <v>38</v>
      </c>
      <c r="B38" s="274"/>
      <c r="C38" s="217">
        <v>0</v>
      </c>
      <c r="D38" s="217">
        <v>0</v>
      </c>
      <c r="E38" s="1175">
        <f t="shared" si="0"/>
        <v>0</v>
      </c>
      <c r="F38" s="736">
        <v>0</v>
      </c>
      <c r="G38" s="702">
        <f t="shared" si="1"/>
        <v>0</v>
      </c>
      <c r="H38" s="393">
        <f t="shared" si="4"/>
        <v>0</v>
      </c>
      <c r="I38" s="393">
        <f t="shared" si="4"/>
        <v>0</v>
      </c>
      <c r="J38" s="393">
        <f t="shared" si="4"/>
        <v>0</v>
      </c>
      <c r="K38" s="393">
        <f t="shared" si="4"/>
        <v>0</v>
      </c>
      <c r="L38" s="393">
        <f t="shared" si="4"/>
        <v>0</v>
      </c>
      <c r="N38" s="287"/>
      <c r="Y38" s="1444" cm="1">
        <f t="array" aca="1" ref="Y38" ca="1">CELL("protect",A38)</f>
        <v>1</v>
      </c>
      <c r="Z38" s="1444" cm="1">
        <f t="array" aca="1" ref="Z38" ca="1">CELL("protect",B38)</f>
        <v>0</v>
      </c>
      <c r="AA38" s="1444" cm="1">
        <f t="array" aca="1" ref="AA38" ca="1">CELL("protect",C38)</f>
        <v>0</v>
      </c>
      <c r="AB38" s="1444" cm="1">
        <f t="array" aca="1" ref="AB38" ca="1">CELL("protect",D38)</f>
        <v>0</v>
      </c>
      <c r="AC38" s="1444" cm="1">
        <f t="array" aca="1" ref="AC38" ca="1">CELL("protect",E38)</f>
        <v>0</v>
      </c>
      <c r="AD38" s="1444" cm="1">
        <f t="array" aca="1" ref="AD38" ca="1">CELL("protect",F38)</f>
        <v>0</v>
      </c>
      <c r="AE38" s="1444" cm="1">
        <f t="array" aca="1" ref="AE38" ca="1">CELL("protect",G38)</f>
        <v>0</v>
      </c>
      <c r="AF38" s="1444" cm="1">
        <f t="array" aca="1" ref="AF38" ca="1">CELL("protect",H38)</f>
        <v>0</v>
      </c>
      <c r="AG38" s="1444" cm="1">
        <f t="array" aca="1" ref="AG38" ca="1">CELL("protect",I38)</f>
        <v>0</v>
      </c>
      <c r="AH38" s="1444" cm="1">
        <f t="array" aca="1" ref="AH38" ca="1">CELL("protect",J38)</f>
        <v>0</v>
      </c>
      <c r="AI38" s="1444" cm="1">
        <f t="array" aca="1" ref="AI38" ca="1">CELL("protect",K38)</f>
        <v>0</v>
      </c>
      <c r="AJ38" s="1444" cm="1">
        <f t="array" aca="1" ref="AJ38" ca="1">CELL("protect",L38)</f>
        <v>0</v>
      </c>
      <c r="AK38" s="1444"/>
      <c r="AL38" s="1444"/>
      <c r="AM38" s="1444"/>
    </row>
    <row r="39" spans="1:39">
      <c r="A39" s="108">
        <f>ROW()</f>
        <v>39</v>
      </c>
      <c r="B39" s="1309"/>
      <c r="C39" s="217">
        <v>0</v>
      </c>
      <c r="D39" s="217">
        <v>0</v>
      </c>
      <c r="E39" s="1175">
        <f t="shared" si="0"/>
        <v>0</v>
      </c>
      <c r="F39" s="736">
        <v>0</v>
      </c>
      <c r="G39" s="702">
        <f t="shared" si="1"/>
        <v>0</v>
      </c>
      <c r="H39" s="393">
        <f t="shared" si="4"/>
        <v>0</v>
      </c>
      <c r="I39" s="393">
        <f t="shared" si="4"/>
        <v>0</v>
      </c>
      <c r="J39" s="393">
        <f t="shared" si="4"/>
        <v>0</v>
      </c>
      <c r="K39" s="393">
        <f t="shared" si="4"/>
        <v>0</v>
      </c>
      <c r="L39" s="393">
        <f t="shared" si="4"/>
        <v>0</v>
      </c>
      <c r="N39" s="287"/>
      <c r="Y39" s="1444" cm="1">
        <f t="array" aca="1" ref="Y39" ca="1">CELL("protect",A39)</f>
        <v>1</v>
      </c>
      <c r="Z39" s="1444" cm="1">
        <f t="array" aca="1" ref="Z39" ca="1">CELL("protect",B39)</f>
        <v>0</v>
      </c>
      <c r="AA39" s="1444" cm="1">
        <f t="array" aca="1" ref="AA39" ca="1">CELL("protect",C39)</f>
        <v>0</v>
      </c>
      <c r="AB39" s="1444" cm="1">
        <f t="array" aca="1" ref="AB39" ca="1">CELL("protect",D39)</f>
        <v>0</v>
      </c>
      <c r="AC39" s="1444" cm="1">
        <f t="array" aca="1" ref="AC39" ca="1">CELL("protect",E39)</f>
        <v>0</v>
      </c>
      <c r="AD39" s="1444" cm="1">
        <f t="array" aca="1" ref="AD39" ca="1">CELL("protect",F39)</f>
        <v>0</v>
      </c>
      <c r="AE39" s="1444" cm="1">
        <f t="array" aca="1" ref="AE39" ca="1">CELL("protect",G39)</f>
        <v>0</v>
      </c>
      <c r="AF39" s="1444" cm="1">
        <f t="array" aca="1" ref="AF39" ca="1">CELL("protect",H39)</f>
        <v>0</v>
      </c>
      <c r="AG39" s="1444" cm="1">
        <f t="array" aca="1" ref="AG39" ca="1">CELL("protect",I39)</f>
        <v>0</v>
      </c>
      <c r="AH39" s="1444" cm="1">
        <f t="array" aca="1" ref="AH39" ca="1">CELL("protect",J39)</f>
        <v>0</v>
      </c>
      <c r="AI39" s="1444" cm="1">
        <f t="array" aca="1" ref="AI39" ca="1">CELL("protect",K39)</f>
        <v>0</v>
      </c>
      <c r="AJ39" s="1444" cm="1">
        <f t="array" aca="1" ref="AJ39" ca="1">CELL("protect",L39)</f>
        <v>0</v>
      </c>
      <c r="AK39" s="1444"/>
      <c r="AL39" s="1444"/>
      <c r="AM39" s="1444"/>
    </row>
    <row r="40" spans="1:39">
      <c r="A40" s="108">
        <f>ROW()</f>
        <v>40</v>
      </c>
      <c r="B40" s="1309"/>
      <c r="C40" s="217">
        <v>0</v>
      </c>
      <c r="D40" s="217">
        <v>0</v>
      </c>
      <c r="E40" s="1175">
        <f t="shared" si="0"/>
        <v>0</v>
      </c>
      <c r="F40" s="736">
        <v>0</v>
      </c>
      <c r="G40" s="702">
        <f t="shared" si="1"/>
        <v>0</v>
      </c>
      <c r="H40" s="393">
        <f t="shared" ref="H40:L45" si="5">+$D40</f>
        <v>0</v>
      </c>
      <c r="I40" s="393">
        <f t="shared" si="5"/>
        <v>0</v>
      </c>
      <c r="J40" s="393">
        <f t="shared" si="5"/>
        <v>0</v>
      </c>
      <c r="K40" s="393">
        <f t="shared" si="5"/>
        <v>0</v>
      </c>
      <c r="L40" s="393">
        <f t="shared" si="5"/>
        <v>0</v>
      </c>
      <c r="N40" s="287"/>
      <c r="Y40" s="1444" cm="1">
        <f t="array" aca="1" ref="Y40" ca="1">CELL("protect",A40)</f>
        <v>1</v>
      </c>
      <c r="Z40" s="1444" cm="1">
        <f t="array" aca="1" ref="Z40" ca="1">CELL("protect",B40)</f>
        <v>0</v>
      </c>
      <c r="AA40" s="1444" cm="1">
        <f t="array" aca="1" ref="AA40" ca="1">CELL("protect",C40)</f>
        <v>0</v>
      </c>
      <c r="AB40" s="1444" cm="1">
        <f t="array" aca="1" ref="AB40" ca="1">CELL("protect",D40)</f>
        <v>0</v>
      </c>
      <c r="AC40" s="1444" cm="1">
        <f t="array" aca="1" ref="AC40" ca="1">CELL("protect",E40)</f>
        <v>0</v>
      </c>
      <c r="AD40" s="1444" cm="1">
        <f t="array" aca="1" ref="AD40" ca="1">CELL("protect",F40)</f>
        <v>0</v>
      </c>
      <c r="AE40" s="1444" cm="1">
        <f t="array" aca="1" ref="AE40" ca="1">CELL("protect",G40)</f>
        <v>0</v>
      </c>
      <c r="AF40" s="1444" cm="1">
        <f t="array" aca="1" ref="AF40" ca="1">CELL("protect",H40)</f>
        <v>0</v>
      </c>
      <c r="AG40" s="1444" cm="1">
        <f t="array" aca="1" ref="AG40" ca="1">CELL("protect",I40)</f>
        <v>0</v>
      </c>
      <c r="AH40" s="1444" cm="1">
        <f t="array" aca="1" ref="AH40" ca="1">CELL("protect",J40)</f>
        <v>0</v>
      </c>
      <c r="AI40" s="1444" cm="1">
        <f t="array" aca="1" ref="AI40" ca="1">CELL("protect",K40)</f>
        <v>0</v>
      </c>
      <c r="AJ40" s="1444" cm="1">
        <f t="array" aca="1" ref="AJ40" ca="1">CELL("protect",L40)</f>
        <v>0</v>
      </c>
      <c r="AK40" s="1444"/>
      <c r="AL40" s="1444"/>
      <c r="AM40" s="1444"/>
    </row>
    <row r="41" spans="1:39">
      <c r="A41" s="108">
        <f>ROW()</f>
        <v>41</v>
      </c>
      <c r="B41" s="1309"/>
      <c r="C41" s="219">
        <v>0</v>
      </c>
      <c r="D41" s="219">
        <v>0</v>
      </c>
      <c r="E41" s="1175">
        <f t="shared" si="0"/>
        <v>0</v>
      </c>
      <c r="F41" s="736">
        <v>0</v>
      </c>
      <c r="G41" s="702">
        <f t="shared" si="1"/>
        <v>0</v>
      </c>
      <c r="H41" s="393">
        <f t="shared" si="5"/>
        <v>0</v>
      </c>
      <c r="I41" s="393">
        <f t="shared" si="5"/>
        <v>0</v>
      </c>
      <c r="J41" s="393">
        <f t="shared" si="5"/>
        <v>0</v>
      </c>
      <c r="K41" s="393">
        <f t="shared" si="5"/>
        <v>0</v>
      </c>
      <c r="L41" s="393">
        <f t="shared" si="5"/>
        <v>0</v>
      </c>
      <c r="N41" s="287"/>
      <c r="Y41" s="1444" cm="1">
        <f t="array" aca="1" ref="Y41" ca="1">CELL("protect",A41)</f>
        <v>1</v>
      </c>
      <c r="Z41" s="1444" cm="1">
        <f t="array" aca="1" ref="Z41" ca="1">CELL("protect",B41)</f>
        <v>0</v>
      </c>
      <c r="AA41" s="1444" cm="1">
        <f t="array" aca="1" ref="AA41" ca="1">CELL("protect",C41)</f>
        <v>0</v>
      </c>
      <c r="AB41" s="1444" cm="1">
        <f t="array" aca="1" ref="AB41" ca="1">CELL("protect",D41)</f>
        <v>0</v>
      </c>
      <c r="AC41" s="1444" cm="1">
        <f t="array" aca="1" ref="AC41" ca="1">CELL("protect",E41)</f>
        <v>0</v>
      </c>
      <c r="AD41" s="1444" cm="1">
        <f t="array" aca="1" ref="AD41" ca="1">CELL("protect",F41)</f>
        <v>0</v>
      </c>
      <c r="AE41" s="1444" cm="1">
        <f t="array" aca="1" ref="AE41" ca="1">CELL("protect",G41)</f>
        <v>0</v>
      </c>
      <c r="AF41" s="1444" cm="1">
        <f t="array" aca="1" ref="AF41" ca="1">CELL("protect",H41)</f>
        <v>0</v>
      </c>
      <c r="AG41" s="1444" cm="1">
        <f t="array" aca="1" ref="AG41" ca="1">CELL("protect",I41)</f>
        <v>0</v>
      </c>
      <c r="AH41" s="1444" cm="1">
        <f t="array" aca="1" ref="AH41" ca="1">CELL("protect",J41)</f>
        <v>0</v>
      </c>
      <c r="AI41" s="1444" cm="1">
        <f t="array" aca="1" ref="AI41" ca="1">CELL("protect",K41)</f>
        <v>0</v>
      </c>
      <c r="AJ41" s="1444" cm="1">
        <f t="array" aca="1" ref="AJ41" ca="1">CELL("protect",L41)</f>
        <v>0</v>
      </c>
      <c r="AK41" s="1444"/>
      <c r="AL41" s="1444"/>
      <c r="AM41" s="1444"/>
    </row>
    <row r="42" spans="1:39">
      <c r="A42" s="108">
        <f>ROW()</f>
        <v>42</v>
      </c>
      <c r="B42" s="1309"/>
      <c r="C42" s="219">
        <v>0</v>
      </c>
      <c r="D42" s="219">
        <v>0</v>
      </c>
      <c r="E42" s="1175">
        <f t="shared" si="0"/>
        <v>0</v>
      </c>
      <c r="F42" s="736">
        <v>0</v>
      </c>
      <c r="G42" s="702">
        <f t="shared" si="1"/>
        <v>0</v>
      </c>
      <c r="H42" s="393">
        <f t="shared" si="5"/>
        <v>0</v>
      </c>
      <c r="I42" s="393">
        <f t="shared" si="5"/>
        <v>0</v>
      </c>
      <c r="J42" s="393">
        <f t="shared" si="5"/>
        <v>0</v>
      </c>
      <c r="K42" s="393">
        <f t="shared" si="5"/>
        <v>0</v>
      </c>
      <c r="L42" s="393">
        <f t="shared" si="5"/>
        <v>0</v>
      </c>
      <c r="N42" s="287"/>
      <c r="Y42" s="1444" cm="1">
        <f t="array" aca="1" ref="Y42" ca="1">CELL("protect",A42)</f>
        <v>1</v>
      </c>
      <c r="Z42" s="1444" cm="1">
        <f t="array" aca="1" ref="Z42" ca="1">CELL("protect",B42)</f>
        <v>0</v>
      </c>
      <c r="AA42" s="1444" cm="1">
        <f t="array" aca="1" ref="AA42" ca="1">CELL("protect",C42)</f>
        <v>0</v>
      </c>
      <c r="AB42" s="1444" cm="1">
        <f t="array" aca="1" ref="AB42" ca="1">CELL("protect",D42)</f>
        <v>0</v>
      </c>
      <c r="AC42" s="1444" cm="1">
        <f t="array" aca="1" ref="AC42" ca="1">CELL("protect",E42)</f>
        <v>0</v>
      </c>
      <c r="AD42" s="1444" cm="1">
        <f t="array" aca="1" ref="AD42" ca="1">CELL("protect",F42)</f>
        <v>0</v>
      </c>
      <c r="AE42" s="1444" cm="1">
        <f t="array" aca="1" ref="AE42" ca="1">CELL("protect",G42)</f>
        <v>0</v>
      </c>
      <c r="AF42" s="1444" cm="1">
        <f t="array" aca="1" ref="AF42" ca="1">CELL("protect",H42)</f>
        <v>0</v>
      </c>
      <c r="AG42" s="1444" cm="1">
        <f t="array" aca="1" ref="AG42" ca="1">CELL("protect",I42)</f>
        <v>0</v>
      </c>
      <c r="AH42" s="1444" cm="1">
        <f t="array" aca="1" ref="AH42" ca="1">CELL("protect",J42)</f>
        <v>0</v>
      </c>
      <c r="AI42" s="1444" cm="1">
        <f t="array" aca="1" ref="AI42" ca="1">CELL("protect",K42)</f>
        <v>0</v>
      </c>
      <c r="AJ42" s="1444" cm="1">
        <f t="array" aca="1" ref="AJ42" ca="1">CELL("protect",L42)</f>
        <v>0</v>
      </c>
      <c r="AK42" s="1444"/>
      <c r="AL42" s="1444"/>
      <c r="AM42" s="1444"/>
    </row>
    <row r="43" spans="1:39">
      <c r="A43" s="108">
        <f>ROW()</f>
        <v>43</v>
      </c>
      <c r="B43" s="1309"/>
      <c r="C43" s="219">
        <v>0</v>
      </c>
      <c r="D43" s="219">
        <v>0</v>
      </c>
      <c r="E43" s="1175">
        <f t="shared" si="0"/>
        <v>0</v>
      </c>
      <c r="F43" s="736">
        <v>0</v>
      </c>
      <c r="G43" s="702">
        <f t="shared" si="1"/>
        <v>0</v>
      </c>
      <c r="H43" s="393">
        <f t="shared" si="5"/>
        <v>0</v>
      </c>
      <c r="I43" s="393">
        <f t="shared" si="5"/>
        <v>0</v>
      </c>
      <c r="J43" s="393">
        <f t="shared" si="5"/>
        <v>0</v>
      </c>
      <c r="K43" s="393">
        <f t="shared" si="5"/>
        <v>0</v>
      </c>
      <c r="L43" s="393">
        <f t="shared" si="5"/>
        <v>0</v>
      </c>
      <c r="N43" s="287"/>
      <c r="Y43" s="1444" cm="1">
        <f t="array" aca="1" ref="Y43" ca="1">CELL("protect",A43)</f>
        <v>1</v>
      </c>
      <c r="Z43" s="1444" cm="1">
        <f t="array" aca="1" ref="Z43" ca="1">CELL("protect",B43)</f>
        <v>0</v>
      </c>
      <c r="AA43" s="1444" cm="1">
        <f t="array" aca="1" ref="AA43" ca="1">CELL("protect",C43)</f>
        <v>0</v>
      </c>
      <c r="AB43" s="1444" cm="1">
        <f t="array" aca="1" ref="AB43" ca="1">CELL("protect",D43)</f>
        <v>0</v>
      </c>
      <c r="AC43" s="1444" cm="1">
        <f t="array" aca="1" ref="AC43" ca="1">CELL("protect",E43)</f>
        <v>0</v>
      </c>
      <c r="AD43" s="1444" cm="1">
        <f t="array" aca="1" ref="AD43" ca="1">CELL("protect",F43)</f>
        <v>0</v>
      </c>
      <c r="AE43" s="1444" cm="1">
        <f t="array" aca="1" ref="AE43" ca="1">CELL("protect",G43)</f>
        <v>0</v>
      </c>
      <c r="AF43" s="1444" cm="1">
        <f t="array" aca="1" ref="AF43" ca="1">CELL("protect",H43)</f>
        <v>0</v>
      </c>
      <c r="AG43" s="1444" cm="1">
        <f t="array" aca="1" ref="AG43" ca="1">CELL("protect",I43)</f>
        <v>0</v>
      </c>
      <c r="AH43" s="1444" cm="1">
        <f t="array" aca="1" ref="AH43" ca="1">CELL("protect",J43)</f>
        <v>0</v>
      </c>
      <c r="AI43" s="1444" cm="1">
        <f t="array" aca="1" ref="AI43" ca="1">CELL("protect",K43)</f>
        <v>0</v>
      </c>
      <c r="AJ43" s="1444" cm="1">
        <f t="array" aca="1" ref="AJ43" ca="1">CELL("protect",L43)</f>
        <v>0</v>
      </c>
      <c r="AK43" s="1444"/>
      <c r="AL43" s="1444"/>
      <c r="AM43" s="1444"/>
    </row>
    <row r="44" spans="1:39">
      <c r="A44" s="108">
        <f>ROW()</f>
        <v>44</v>
      </c>
      <c r="B44" s="1309"/>
      <c r="C44" s="219">
        <v>0</v>
      </c>
      <c r="D44" s="219">
        <v>0</v>
      </c>
      <c r="E44" s="1175">
        <f t="shared" si="0"/>
        <v>0</v>
      </c>
      <c r="F44" s="736">
        <v>0</v>
      </c>
      <c r="G44" s="702">
        <f t="shared" si="1"/>
        <v>0</v>
      </c>
      <c r="H44" s="393">
        <f t="shared" si="5"/>
        <v>0</v>
      </c>
      <c r="I44" s="393">
        <f t="shared" si="5"/>
        <v>0</v>
      </c>
      <c r="J44" s="393">
        <f t="shared" si="5"/>
        <v>0</v>
      </c>
      <c r="K44" s="393">
        <f t="shared" si="5"/>
        <v>0</v>
      </c>
      <c r="L44" s="393">
        <f t="shared" si="5"/>
        <v>0</v>
      </c>
      <c r="N44" s="287"/>
      <c r="Y44" s="1444" cm="1">
        <f t="array" aca="1" ref="Y44" ca="1">CELL("protect",A44)</f>
        <v>1</v>
      </c>
      <c r="Z44" s="1444" cm="1">
        <f t="array" aca="1" ref="Z44" ca="1">CELL("protect",B44)</f>
        <v>0</v>
      </c>
      <c r="AA44" s="1444" cm="1">
        <f t="array" aca="1" ref="AA44" ca="1">CELL("protect",C44)</f>
        <v>0</v>
      </c>
      <c r="AB44" s="1444" cm="1">
        <f t="array" aca="1" ref="AB44" ca="1">CELL("protect",D44)</f>
        <v>0</v>
      </c>
      <c r="AC44" s="1444" cm="1">
        <f t="array" aca="1" ref="AC44" ca="1">CELL("protect",E44)</f>
        <v>0</v>
      </c>
      <c r="AD44" s="1444" cm="1">
        <f t="array" aca="1" ref="AD44" ca="1">CELL("protect",F44)</f>
        <v>0</v>
      </c>
      <c r="AE44" s="1444" cm="1">
        <f t="array" aca="1" ref="AE44" ca="1">CELL("protect",G44)</f>
        <v>0</v>
      </c>
      <c r="AF44" s="1444" cm="1">
        <f t="array" aca="1" ref="AF44" ca="1">CELL("protect",H44)</f>
        <v>0</v>
      </c>
      <c r="AG44" s="1444" cm="1">
        <f t="array" aca="1" ref="AG44" ca="1">CELL("protect",I44)</f>
        <v>0</v>
      </c>
      <c r="AH44" s="1444" cm="1">
        <f t="array" aca="1" ref="AH44" ca="1">CELL("protect",J44)</f>
        <v>0</v>
      </c>
      <c r="AI44" s="1444" cm="1">
        <f t="array" aca="1" ref="AI44" ca="1">CELL("protect",K44)</f>
        <v>0</v>
      </c>
      <c r="AJ44" s="1444" cm="1">
        <f t="array" aca="1" ref="AJ44" ca="1">CELL("protect",L44)</f>
        <v>0</v>
      </c>
      <c r="AK44" s="1444"/>
      <c r="AL44" s="1444"/>
      <c r="AM44" s="1444"/>
    </row>
    <row r="45" spans="1:39">
      <c r="A45" s="108">
        <f>ROW()</f>
        <v>45</v>
      </c>
      <c r="B45" s="1309"/>
      <c r="C45" s="219">
        <v>0</v>
      </c>
      <c r="D45" s="219">
        <v>0</v>
      </c>
      <c r="E45" s="1175">
        <f t="shared" si="0"/>
        <v>0</v>
      </c>
      <c r="F45" s="736">
        <v>0</v>
      </c>
      <c r="G45" s="702">
        <f t="shared" si="1"/>
        <v>0</v>
      </c>
      <c r="H45" s="393">
        <f t="shared" si="5"/>
        <v>0</v>
      </c>
      <c r="I45" s="393">
        <f t="shared" si="5"/>
        <v>0</v>
      </c>
      <c r="J45" s="393">
        <f t="shared" si="5"/>
        <v>0</v>
      </c>
      <c r="K45" s="393">
        <f t="shared" si="5"/>
        <v>0</v>
      </c>
      <c r="L45" s="393">
        <f t="shared" si="5"/>
        <v>0</v>
      </c>
      <c r="N45" s="287"/>
      <c r="Y45" s="1444" cm="1">
        <f t="array" aca="1" ref="Y45" ca="1">CELL("protect",A45)</f>
        <v>1</v>
      </c>
      <c r="Z45" s="1444" cm="1">
        <f t="array" aca="1" ref="Z45" ca="1">CELL("protect",B45)</f>
        <v>0</v>
      </c>
      <c r="AA45" s="1444" cm="1">
        <f t="array" aca="1" ref="AA45" ca="1">CELL("protect",C45)</f>
        <v>0</v>
      </c>
      <c r="AB45" s="1444" cm="1">
        <f t="array" aca="1" ref="AB45" ca="1">CELL("protect",D45)</f>
        <v>0</v>
      </c>
      <c r="AC45" s="1444" cm="1">
        <f t="array" aca="1" ref="AC45" ca="1">CELL("protect",E45)</f>
        <v>0</v>
      </c>
      <c r="AD45" s="1444" cm="1">
        <f t="array" aca="1" ref="AD45" ca="1">CELL("protect",F45)</f>
        <v>0</v>
      </c>
      <c r="AE45" s="1444" cm="1">
        <f t="array" aca="1" ref="AE45" ca="1">CELL("protect",G45)</f>
        <v>0</v>
      </c>
      <c r="AF45" s="1444" cm="1">
        <f t="array" aca="1" ref="AF45" ca="1">CELL("protect",H45)</f>
        <v>0</v>
      </c>
      <c r="AG45" s="1444" cm="1">
        <f t="array" aca="1" ref="AG45" ca="1">CELL("protect",I45)</f>
        <v>0</v>
      </c>
      <c r="AH45" s="1444" cm="1">
        <f t="array" aca="1" ref="AH45" ca="1">CELL("protect",J45)</f>
        <v>0</v>
      </c>
      <c r="AI45" s="1444" cm="1">
        <f t="array" aca="1" ref="AI45" ca="1">CELL("protect",K45)</f>
        <v>0</v>
      </c>
      <c r="AJ45" s="1444" cm="1">
        <f t="array" aca="1" ref="AJ45" ca="1">CELL("protect",L45)</f>
        <v>0</v>
      </c>
      <c r="AK45" s="1444"/>
      <c r="AL45" s="1444"/>
      <c r="AM45" s="1444"/>
    </row>
    <row r="46" spans="1:39">
      <c r="A46" s="108">
        <f>ROW()</f>
        <v>46</v>
      </c>
      <c r="B46" s="1309"/>
      <c r="C46" s="219">
        <v>0</v>
      </c>
      <c r="D46" s="219">
        <v>0</v>
      </c>
      <c r="E46" s="1175">
        <f t="shared" si="0"/>
        <v>0</v>
      </c>
      <c r="F46" s="736">
        <v>0</v>
      </c>
      <c r="G46" s="702">
        <v>0</v>
      </c>
      <c r="H46" s="393">
        <v>0</v>
      </c>
      <c r="I46" s="393">
        <v>0</v>
      </c>
      <c r="J46" s="393">
        <v>0</v>
      </c>
      <c r="K46" s="393">
        <v>0</v>
      </c>
      <c r="L46" s="393">
        <v>0</v>
      </c>
      <c r="N46" s="287"/>
      <c r="Y46" s="1444" cm="1">
        <f t="array" aca="1" ref="Y46" ca="1">CELL("protect",A46)</f>
        <v>1</v>
      </c>
      <c r="Z46" s="1444" cm="1">
        <f t="array" aca="1" ref="Z46" ca="1">CELL("protect",B46)</f>
        <v>0</v>
      </c>
      <c r="AA46" s="1444" cm="1">
        <f t="array" aca="1" ref="AA46" ca="1">CELL("protect",C46)</f>
        <v>0</v>
      </c>
      <c r="AB46" s="1444" cm="1">
        <f t="array" aca="1" ref="AB46" ca="1">CELL("protect",D46)</f>
        <v>0</v>
      </c>
      <c r="AC46" s="1444" cm="1">
        <f t="array" aca="1" ref="AC46" ca="1">CELL("protect",E46)</f>
        <v>0</v>
      </c>
      <c r="AD46" s="1444" cm="1">
        <f t="array" aca="1" ref="AD46" ca="1">CELL("protect",F46)</f>
        <v>0</v>
      </c>
      <c r="AE46" s="1444" cm="1">
        <f t="array" aca="1" ref="AE46" ca="1">CELL("protect",G46)</f>
        <v>0</v>
      </c>
      <c r="AF46" s="1444" cm="1">
        <f t="array" aca="1" ref="AF46" ca="1">CELL("protect",H46)</f>
        <v>0</v>
      </c>
      <c r="AG46" s="1444" cm="1">
        <f t="array" aca="1" ref="AG46" ca="1">CELL("protect",I46)</f>
        <v>0</v>
      </c>
      <c r="AH46" s="1444" cm="1">
        <f t="array" aca="1" ref="AH46" ca="1">CELL("protect",J46)</f>
        <v>0</v>
      </c>
      <c r="AI46" s="1444" cm="1">
        <f t="array" aca="1" ref="AI46" ca="1">CELL("protect",K46)</f>
        <v>0</v>
      </c>
      <c r="AJ46" s="1444" cm="1">
        <f t="array" aca="1" ref="AJ46" ca="1">CELL("protect",L46)</f>
        <v>0</v>
      </c>
      <c r="AK46" s="1444"/>
      <c r="AL46" s="1444"/>
      <c r="AM46" s="1444"/>
    </row>
    <row r="47" spans="1:39">
      <c r="A47" s="108">
        <f>ROW()</f>
        <v>47</v>
      </c>
      <c r="B47" s="1260" t="s">
        <v>765</v>
      </c>
      <c r="C47" s="1259"/>
      <c r="D47" s="1259"/>
      <c r="E47" s="1175">
        <f t="shared" si="0"/>
        <v>0</v>
      </c>
      <c r="F47" s="1253" t="s">
        <v>2</v>
      </c>
      <c r="G47" s="1254" t="s">
        <v>2</v>
      </c>
      <c r="H47" s="1255" t="s">
        <v>2</v>
      </c>
      <c r="I47" s="1255" t="s">
        <v>2</v>
      </c>
      <c r="J47" s="1255" t="s">
        <v>2</v>
      </c>
      <c r="K47" s="1255" t="s">
        <v>2</v>
      </c>
      <c r="L47" s="1255" t="s">
        <v>2</v>
      </c>
      <c r="N47" s="287"/>
      <c r="Y47" s="1444" cm="1">
        <f t="array" aca="1" ref="Y47" ca="1">CELL("protect",A47)</f>
        <v>1</v>
      </c>
      <c r="Z47" s="1444" cm="1">
        <f t="array" aca="1" ref="Z47" ca="1">CELL("protect",B47)</f>
        <v>0</v>
      </c>
      <c r="AA47" s="1444" cm="1">
        <f t="array" aca="1" ref="AA47" ca="1">CELL("protect",C47)</f>
        <v>0</v>
      </c>
      <c r="AB47" s="1444" cm="1">
        <f t="array" aca="1" ref="AB47" ca="1">CELL("protect",D47)</f>
        <v>0</v>
      </c>
      <c r="AC47" s="1444" cm="1">
        <f t="array" aca="1" ref="AC47" ca="1">CELL("protect",E47)</f>
        <v>0</v>
      </c>
      <c r="AD47" s="1444" cm="1">
        <f t="array" aca="1" ref="AD47" ca="1">CELL("protect",F47)</f>
        <v>0</v>
      </c>
      <c r="AE47" s="1444" cm="1">
        <f t="array" aca="1" ref="AE47" ca="1">CELL("protect",G47)</f>
        <v>0</v>
      </c>
      <c r="AF47" s="1444" cm="1">
        <f t="array" aca="1" ref="AF47" ca="1">CELL("protect",H47)</f>
        <v>0</v>
      </c>
      <c r="AG47" s="1444" cm="1">
        <f t="array" aca="1" ref="AG47" ca="1">CELL("protect",I47)</f>
        <v>0</v>
      </c>
      <c r="AH47" s="1444" cm="1">
        <f t="array" aca="1" ref="AH47" ca="1">CELL("protect",J47)</f>
        <v>0</v>
      </c>
      <c r="AI47" s="1444" cm="1">
        <f t="array" aca="1" ref="AI47" ca="1">CELL("protect",K47)</f>
        <v>0</v>
      </c>
      <c r="AJ47" s="1444" cm="1">
        <f t="array" aca="1" ref="AJ47" ca="1">CELL("protect",L47)</f>
        <v>0</v>
      </c>
      <c r="AK47" s="1444"/>
      <c r="AL47" s="1444"/>
      <c r="AM47" s="1444"/>
    </row>
    <row r="48" spans="1:39">
      <c r="A48" s="108">
        <f>ROW()</f>
        <v>48</v>
      </c>
      <c r="B48" s="1261" t="s">
        <v>766</v>
      </c>
      <c r="C48" s="1259"/>
      <c r="D48" s="1259"/>
      <c r="E48" s="1107">
        <f t="shared" si="0"/>
        <v>0</v>
      </c>
      <c r="F48" s="1256" t="s">
        <v>2</v>
      </c>
      <c r="G48" s="1257" t="s">
        <v>2</v>
      </c>
      <c r="H48" s="1258" t="s">
        <v>2</v>
      </c>
      <c r="I48" s="1258" t="s">
        <v>2</v>
      </c>
      <c r="J48" s="1258" t="s">
        <v>2</v>
      </c>
      <c r="K48" s="1258" t="s">
        <v>2</v>
      </c>
      <c r="L48" s="1258" t="s">
        <v>2</v>
      </c>
      <c r="N48" s="287"/>
      <c r="Y48" s="1444" cm="1">
        <f t="array" aca="1" ref="Y48" ca="1">CELL("protect",A48)</f>
        <v>1</v>
      </c>
      <c r="Z48" s="1444" cm="1">
        <f t="array" aca="1" ref="Z48" ca="1">CELL("protect",B48)</f>
        <v>0</v>
      </c>
      <c r="AA48" s="1444" cm="1">
        <f t="array" aca="1" ref="AA48" ca="1">CELL("protect",C48)</f>
        <v>0</v>
      </c>
      <c r="AB48" s="1444" cm="1">
        <f t="array" aca="1" ref="AB48" ca="1">CELL("protect",D48)</f>
        <v>0</v>
      </c>
      <c r="AC48" s="1444" cm="1">
        <f t="array" aca="1" ref="AC48" ca="1">CELL("protect",E48)</f>
        <v>0</v>
      </c>
      <c r="AD48" s="1444" cm="1">
        <f t="array" aca="1" ref="AD48" ca="1">CELL("protect",F48)</f>
        <v>0</v>
      </c>
      <c r="AE48" s="1444" cm="1">
        <f t="array" aca="1" ref="AE48" ca="1">CELL("protect",G48)</f>
        <v>0</v>
      </c>
      <c r="AF48" s="1444" cm="1">
        <f t="array" aca="1" ref="AF48" ca="1">CELL("protect",H48)</f>
        <v>0</v>
      </c>
      <c r="AG48" s="1444" cm="1">
        <f t="array" aca="1" ref="AG48" ca="1">CELL("protect",I48)</f>
        <v>0</v>
      </c>
      <c r="AH48" s="1444" cm="1">
        <f t="array" aca="1" ref="AH48" ca="1">CELL("protect",J48)</f>
        <v>0</v>
      </c>
      <c r="AI48" s="1444" cm="1">
        <f t="array" aca="1" ref="AI48" ca="1">CELL("protect",K48)</f>
        <v>0</v>
      </c>
      <c r="AJ48" s="1444" cm="1">
        <f t="array" aca="1" ref="AJ48" ca="1">CELL("protect",L48)</f>
        <v>0</v>
      </c>
      <c r="AK48" s="1444"/>
      <c r="AL48" s="1444"/>
      <c r="AM48" s="1444"/>
    </row>
    <row r="49" spans="1:39">
      <c r="A49" s="108">
        <f>ROW()</f>
        <v>49</v>
      </c>
      <c r="B49" s="301" t="s">
        <v>767</v>
      </c>
      <c r="C49" s="302"/>
      <c r="D49" s="302"/>
      <c r="E49" s="303"/>
      <c r="F49" s="704">
        <f t="shared" ref="F49:L49" si="6">SUM(F10:F48)</f>
        <v>0</v>
      </c>
      <c r="G49" s="704">
        <f t="shared" si="6"/>
        <v>19107</v>
      </c>
      <c r="H49" s="304">
        <f t="shared" si="6"/>
        <v>19107</v>
      </c>
      <c r="I49" s="304">
        <f t="shared" si="6"/>
        <v>19107</v>
      </c>
      <c r="J49" s="304">
        <f t="shared" si="6"/>
        <v>19107</v>
      </c>
      <c r="K49" s="304">
        <f t="shared" si="6"/>
        <v>19107</v>
      </c>
      <c r="L49" s="304">
        <f t="shared" si="6"/>
        <v>19107</v>
      </c>
      <c r="N49" s="287"/>
      <c r="Y49" s="1444" cm="1">
        <f t="array" aca="1" ref="Y49" ca="1">CELL("protect",A49)</f>
        <v>1</v>
      </c>
      <c r="Z49" s="1444" cm="1">
        <f t="array" aca="1" ref="Z49" ca="1">CELL("protect",B49)</f>
        <v>0</v>
      </c>
      <c r="AA49" s="1444" cm="1">
        <f t="array" aca="1" ref="AA49" ca="1">CELL("protect",C49)</f>
        <v>0</v>
      </c>
      <c r="AB49" s="1444" cm="1">
        <f t="array" aca="1" ref="AB49" ca="1">CELL("protect",D49)</f>
        <v>0</v>
      </c>
      <c r="AC49" s="1444" cm="1">
        <f t="array" aca="1" ref="AC49" ca="1">CELL("protect",E49)</f>
        <v>1</v>
      </c>
      <c r="AD49" s="1444" cm="1">
        <f t="array" aca="1" ref="AD49" ca="1">CELL("protect",F49)</f>
        <v>1</v>
      </c>
      <c r="AE49" s="1444" cm="1">
        <f t="array" aca="1" ref="AE49" ca="1">CELL("protect",G49)</f>
        <v>1</v>
      </c>
      <c r="AF49" s="1444" cm="1">
        <f t="array" aca="1" ref="AF49" ca="1">CELL("protect",H49)</f>
        <v>1</v>
      </c>
      <c r="AG49" s="1444" cm="1">
        <f t="array" aca="1" ref="AG49" ca="1">CELL("protect",I49)</f>
        <v>1</v>
      </c>
      <c r="AH49" s="1444" cm="1">
        <f t="array" aca="1" ref="AH49" ca="1">CELL("protect",J49)</f>
        <v>1</v>
      </c>
      <c r="AI49" s="1444" cm="1">
        <f t="array" aca="1" ref="AI49" ca="1">CELL("protect",K49)</f>
        <v>1</v>
      </c>
      <c r="AJ49" s="1444" cm="1">
        <f t="array" aca="1" ref="AJ49" ca="1">CELL("protect",L49)</f>
        <v>1</v>
      </c>
      <c r="AK49" s="1444"/>
      <c r="AL49" s="1444"/>
      <c r="AM49" s="1444"/>
    </row>
    <row r="50" spans="1:39">
      <c r="A50" s="108">
        <f>ROW()</f>
        <v>50</v>
      </c>
      <c r="B50" s="298" t="s">
        <v>768</v>
      </c>
      <c r="C50" s="297"/>
      <c r="D50" s="721">
        <v>0</v>
      </c>
      <c r="E50" s="722"/>
      <c r="F50" s="299">
        <f t="shared" ref="F50:L50" si="7">+F49*((1+$D$50)^F7-1)</f>
        <v>0</v>
      </c>
      <c r="G50" s="299">
        <f t="shared" si="7"/>
        <v>0</v>
      </c>
      <c r="H50" s="300">
        <f t="shared" si="7"/>
        <v>0</v>
      </c>
      <c r="I50" s="300">
        <f t="shared" si="7"/>
        <v>0</v>
      </c>
      <c r="J50" s="300">
        <f t="shared" si="7"/>
        <v>0</v>
      </c>
      <c r="K50" s="300">
        <f t="shared" si="7"/>
        <v>0</v>
      </c>
      <c r="L50" s="300">
        <f t="shared" si="7"/>
        <v>0</v>
      </c>
      <c r="N50" s="287"/>
      <c r="Y50" s="1444" cm="1">
        <f t="array" aca="1" ref="Y50" ca="1">CELL("protect",A50)</f>
        <v>1</v>
      </c>
      <c r="Z50" s="1444" cm="1">
        <f t="array" aca="1" ref="Z50" ca="1">CELL("protect",B50)</f>
        <v>0</v>
      </c>
      <c r="AA50" s="1444" cm="1">
        <f t="array" aca="1" ref="AA50" ca="1">CELL("protect",C50)</f>
        <v>0</v>
      </c>
      <c r="AB50" s="1444" cm="1">
        <f t="array" aca="1" ref="AB50" ca="1">CELL("protect",D50)</f>
        <v>0</v>
      </c>
      <c r="AC50" s="1444" cm="1">
        <f t="array" aca="1" ref="AC50" ca="1">CELL("protect",E50)</f>
        <v>1</v>
      </c>
      <c r="AD50" s="1444" cm="1">
        <f t="array" aca="1" ref="AD50" ca="1">CELL("protect",F50)</f>
        <v>1</v>
      </c>
      <c r="AE50" s="1444" cm="1">
        <f t="array" aca="1" ref="AE50" ca="1">CELL("protect",G50)</f>
        <v>1</v>
      </c>
      <c r="AF50" s="1444" cm="1">
        <f t="array" aca="1" ref="AF50" ca="1">CELL("protect",H50)</f>
        <v>1</v>
      </c>
      <c r="AG50" s="1444" cm="1">
        <f t="array" aca="1" ref="AG50" ca="1">CELL("protect",I50)</f>
        <v>1</v>
      </c>
      <c r="AH50" s="1444" cm="1">
        <f t="array" aca="1" ref="AH50" ca="1">CELL("protect",J50)</f>
        <v>1</v>
      </c>
      <c r="AI50" s="1444" cm="1">
        <f t="array" aca="1" ref="AI50" ca="1">CELL("protect",K50)</f>
        <v>1</v>
      </c>
      <c r="AJ50" s="1444" cm="1">
        <f t="array" aca="1" ref="AJ50" ca="1">CELL("protect",L50)</f>
        <v>1</v>
      </c>
      <c r="AK50" s="1444"/>
      <c r="AL50" s="1444"/>
      <c r="AM50" s="1444"/>
    </row>
    <row r="51" spans="1:39" ht="15.6">
      <c r="A51" s="108">
        <f>ROW()</f>
        <v>51</v>
      </c>
      <c r="D51" s="955">
        <f>SUM(D10:D48)</f>
        <v>19107</v>
      </c>
      <c r="E51" s="1068">
        <f>SUM(E10:E48)</f>
        <v>114642</v>
      </c>
      <c r="F51" s="1068">
        <f>SUM(F10:F48)</f>
        <v>0</v>
      </c>
      <c r="G51" s="1068">
        <f t="shared" ref="G51:L51" si="8">SUM(G10:G48)+G50</f>
        <v>19107</v>
      </c>
      <c r="H51" s="1068">
        <f t="shared" si="8"/>
        <v>19107</v>
      </c>
      <c r="I51" s="1068">
        <f t="shared" si="8"/>
        <v>19107</v>
      </c>
      <c r="J51" s="1068">
        <f t="shared" si="8"/>
        <v>19107</v>
      </c>
      <c r="K51" s="1068">
        <f t="shared" si="8"/>
        <v>19107</v>
      </c>
      <c r="L51" s="1068">
        <f t="shared" si="8"/>
        <v>19107</v>
      </c>
      <c r="N51" s="287"/>
      <c r="Y51" s="1444" cm="1">
        <f t="array" aca="1" ref="Y51" ca="1">CELL("protect",A51)</f>
        <v>1</v>
      </c>
      <c r="Z51" s="1444" cm="1">
        <f t="array" aca="1" ref="Z51" ca="1">CELL("protect",B51)</f>
        <v>1</v>
      </c>
      <c r="AA51" s="1444" cm="1">
        <f t="array" aca="1" ref="AA51" ca="1">CELL("protect",C51)</f>
        <v>1</v>
      </c>
      <c r="AB51" s="1444" cm="1">
        <f t="array" aca="1" ref="AB51" ca="1">CELL("protect",D51)</f>
        <v>1</v>
      </c>
      <c r="AC51" s="1444" cm="1">
        <f t="array" aca="1" ref="AC51" ca="1">CELL("protect",E51)</f>
        <v>1</v>
      </c>
      <c r="AD51" s="1444" cm="1">
        <f t="array" aca="1" ref="AD51" ca="1">CELL("protect",F51)</f>
        <v>1</v>
      </c>
      <c r="AE51" s="1444" cm="1">
        <f t="array" aca="1" ref="AE51" ca="1">CELL("protect",G51)</f>
        <v>1</v>
      </c>
      <c r="AF51" s="1444" cm="1">
        <f t="array" aca="1" ref="AF51" ca="1">CELL("protect",H51)</f>
        <v>1</v>
      </c>
      <c r="AG51" s="1444" cm="1">
        <f t="array" aca="1" ref="AG51" ca="1">CELL("protect",I51)</f>
        <v>1</v>
      </c>
      <c r="AH51" s="1444" cm="1">
        <f t="array" aca="1" ref="AH51" ca="1">CELL("protect",J51)</f>
        <v>1</v>
      </c>
      <c r="AI51" s="1444" cm="1">
        <f t="array" aca="1" ref="AI51" ca="1">CELL("protect",K51)</f>
        <v>1</v>
      </c>
      <c r="AJ51" s="1444" cm="1">
        <f t="array" aca="1" ref="AJ51" ca="1">CELL("protect",L51)</f>
        <v>1</v>
      </c>
      <c r="AK51" s="1444"/>
      <c r="AL51" s="1444"/>
      <c r="AM51" s="1444"/>
    </row>
    <row r="52" spans="1:39" ht="14.4">
      <c r="A52" s="108">
        <f>ROW()</f>
        <v>52</v>
      </c>
      <c r="B52" s="154"/>
      <c r="Y52" s="1444" cm="1">
        <f t="array" aca="1" ref="Y52" ca="1">CELL("protect",A52)</f>
        <v>1</v>
      </c>
      <c r="Z52" s="1444" cm="1">
        <f t="array" aca="1" ref="Z52" ca="1">CELL("protect",B52)</f>
        <v>1</v>
      </c>
      <c r="AA52" s="1444" cm="1">
        <f t="array" aca="1" ref="AA52" ca="1">CELL("protect",C52)</f>
        <v>1</v>
      </c>
      <c r="AB52" s="1444" cm="1">
        <f t="array" aca="1" ref="AB52" ca="1">CELL("protect",D52)</f>
        <v>1</v>
      </c>
      <c r="AC52" s="1444" cm="1">
        <f t="array" aca="1" ref="AC52" ca="1">CELL("protect",E52)</f>
        <v>1</v>
      </c>
      <c r="AD52" s="1444" cm="1">
        <f t="array" aca="1" ref="AD52" ca="1">CELL("protect",F52)</f>
        <v>1</v>
      </c>
      <c r="AE52" s="1444" cm="1">
        <f t="array" aca="1" ref="AE52" ca="1">CELL("protect",G52)</f>
        <v>1</v>
      </c>
      <c r="AF52" s="1444" cm="1">
        <f t="array" aca="1" ref="AF52" ca="1">CELL("protect",H52)</f>
        <v>1</v>
      </c>
      <c r="AG52" s="1444" cm="1">
        <f t="array" aca="1" ref="AG52" ca="1">CELL("protect",I52)</f>
        <v>1</v>
      </c>
      <c r="AH52" s="1444" cm="1">
        <f t="array" aca="1" ref="AH52" ca="1">CELL("protect",J52)</f>
        <v>1</v>
      </c>
      <c r="AI52" s="1444" cm="1">
        <f t="array" aca="1" ref="AI52" ca="1">CELL("protect",K52)</f>
        <v>1</v>
      </c>
      <c r="AJ52" s="1444" cm="1">
        <f t="array" aca="1" ref="AJ52" ca="1">CELL("protect",L52)</f>
        <v>1</v>
      </c>
      <c r="AK52" s="1444"/>
      <c r="AL52" s="1444"/>
      <c r="AM52" s="1444"/>
    </row>
    <row r="53" spans="1:39" ht="14.4">
      <c r="A53" s="108">
        <f>ROW()</f>
        <v>53</v>
      </c>
      <c r="B53" s="154"/>
      <c r="Y53" s="1444" cm="1">
        <f t="array" aca="1" ref="Y53" ca="1">CELL("protect",A53)</f>
        <v>1</v>
      </c>
      <c r="Z53" s="1444" cm="1">
        <f t="array" aca="1" ref="Z53" ca="1">CELL("protect",B53)</f>
        <v>1</v>
      </c>
      <c r="AA53" s="1444" cm="1">
        <f t="array" aca="1" ref="AA53" ca="1">CELL("protect",C53)</f>
        <v>1</v>
      </c>
      <c r="AB53" s="1444" cm="1">
        <f t="array" aca="1" ref="AB53" ca="1">CELL("protect",D53)</f>
        <v>1</v>
      </c>
      <c r="AC53" s="1444" cm="1">
        <f t="array" aca="1" ref="AC53" ca="1">CELL("protect",E53)</f>
        <v>1</v>
      </c>
      <c r="AD53" s="1444" cm="1">
        <f t="array" aca="1" ref="AD53" ca="1">CELL("protect",F53)</f>
        <v>1</v>
      </c>
      <c r="AE53" s="1444" cm="1">
        <f t="array" aca="1" ref="AE53" ca="1">CELL("protect",G53)</f>
        <v>1</v>
      </c>
      <c r="AF53" s="1444" cm="1">
        <f t="array" aca="1" ref="AF53" ca="1">CELL("protect",H53)</f>
        <v>1</v>
      </c>
      <c r="AG53" s="1444" cm="1">
        <f t="array" aca="1" ref="AG53" ca="1">CELL("protect",I53)</f>
        <v>1</v>
      </c>
      <c r="AH53" s="1444" cm="1">
        <f t="array" aca="1" ref="AH53" ca="1">CELL("protect",J53)</f>
        <v>1</v>
      </c>
      <c r="AI53" s="1444" cm="1">
        <f t="array" aca="1" ref="AI53" ca="1">CELL("protect",K53)</f>
        <v>1</v>
      </c>
      <c r="AJ53" s="1444" cm="1">
        <f t="array" aca="1" ref="AJ53" ca="1">CELL("protect",L53)</f>
        <v>1</v>
      </c>
      <c r="AK53" s="1444"/>
      <c r="AL53" s="1444"/>
      <c r="AM53" s="1444"/>
    </row>
    <row r="54" spans="1:39" ht="14.4">
      <c r="A54" s="108">
        <f>ROW()</f>
        <v>54</v>
      </c>
      <c r="B54" s="154"/>
      <c r="G54" s="296"/>
      <c r="H54" s="296"/>
      <c r="I54" s="296"/>
      <c r="J54" s="296"/>
      <c r="K54" s="296"/>
      <c r="L54" s="296"/>
      <c r="Y54" s="1444" cm="1">
        <f t="array" aca="1" ref="Y54" ca="1">CELL("protect",A54)</f>
        <v>1</v>
      </c>
      <c r="Z54" s="1444" cm="1">
        <f t="array" aca="1" ref="Z54" ca="1">CELL("protect",B54)</f>
        <v>1</v>
      </c>
      <c r="AA54" s="1444" cm="1">
        <f t="array" aca="1" ref="AA54" ca="1">CELL("protect",C54)</f>
        <v>1</v>
      </c>
      <c r="AB54" s="1444" cm="1">
        <f t="array" aca="1" ref="AB54" ca="1">CELL("protect",D54)</f>
        <v>1</v>
      </c>
      <c r="AC54" s="1444" cm="1">
        <f t="array" aca="1" ref="AC54" ca="1">CELL("protect",E54)</f>
        <v>1</v>
      </c>
      <c r="AD54" s="1444" cm="1">
        <f t="array" aca="1" ref="AD54" ca="1">CELL("protect",F54)</f>
        <v>1</v>
      </c>
      <c r="AE54" s="1444" cm="1">
        <f t="array" aca="1" ref="AE54" ca="1">CELL("protect",G54)</f>
        <v>1</v>
      </c>
      <c r="AF54" s="1444" cm="1">
        <f t="array" aca="1" ref="AF54" ca="1">CELL("protect",H54)</f>
        <v>1</v>
      </c>
      <c r="AG54" s="1444" cm="1">
        <f t="array" aca="1" ref="AG54" ca="1">CELL("protect",I54)</f>
        <v>1</v>
      </c>
      <c r="AH54" s="1444" cm="1">
        <f t="array" aca="1" ref="AH54" ca="1">CELL("protect",J54)</f>
        <v>1</v>
      </c>
      <c r="AI54" s="1444" cm="1">
        <f t="array" aca="1" ref="AI54" ca="1">CELL("protect",K54)</f>
        <v>1</v>
      </c>
      <c r="AJ54" s="1444" cm="1">
        <f t="array" aca="1" ref="AJ54" ca="1">CELL("protect",L54)</f>
        <v>1</v>
      </c>
      <c r="AK54" s="1444"/>
      <c r="AL54" s="1444"/>
      <c r="AM54" s="1444"/>
    </row>
    <row r="55" spans="1:39">
      <c r="A55" s="108">
        <f>ROW()</f>
        <v>55</v>
      </c>
      <c r="Y55" s="1444" cm="1">
        <f t="array" aca="1" ref="Y55" ca="1">CELL("protect",A55)</f>
        <v>1</v>
      </c>
      <c r="Z55" s="1444" cm="1">
        <f t="array" aca="1" ref="Z55" ca="1">CELL("protect",B55)</f>
        <v>1</v>
      </c>
      <c r="AA55" s="1444" cm="1">
        <f t="array" aca="1" ref="AA55" ca="1">CELL("protect",C55)</f>
        <v>1</v>
      </c>
      <c r="AB55" s="1444" cm="1">
        <f t="array" aca="1" ref="AB55" ca="1">CELL("protect",D55)</f>
        <v>1</v>
      </c>
      <c r="AC55" s="1444" cm="1">
        <f t="array" aca="1" ref="AC55" ca="1">CELL("protect",E55)</f>
        <v>1</v>
      </c>
      <c r="AD55" s="1444" cm="1">
        <f t="array" aca="1" ref="AD55" ca="1">CELL("protect",F55)</f>
        <v>1</v>
      </c>
      <c r="AE55" s="1444" cm="1">
        <f t="array" aca="1" ref="AE55" ca="1">CELL("protect",G55)</f>
        <v>1</v>
      </c>
      <c r="AF55" s="1444" cm="1">
        <f t="array" aca="1" ref="AF55" ca="1">CELL("protect",H55)</f>
        <v>1</v>
      </c>
      <c r="AG55" s="1444" cm="1">
        <f t="array" aca="1" ref="AG55" ca="1">CELL("protect",I55)</f>
        <v>1</v>
      </c>
      <c r="AH55" s="1444" cm="1">
        <f t="array" aca="1" ref="AH55" ca="1">CELL("protect",J55)</f>
        <v>1</v>
      </c>
      <c r="AI55" s="1444" cm="1">
        <f t="array" aca="1" ref="AI55" ca="1">CELL("protect",K55)</f>
        <v>1</v>
      </c>
      <c r="AJ55" s="1444" cm="1">
        <f t="array" aca="1" ref="AJ55" ca="1">CELL("protect",L55)</f>
        <v>1</v>
      </c>
      <c r="AK55" s="1444"/>
      <c r="AL55" s="1444"/>
      <c r="AM55" s="1444"/>
    </row>
    <row r="56" spans="1:39">
      <c r="A56" s="108">
        <f>ROW()</f>
        <v>56</v>
      </c>
    </row>
    <row r="57" spans="1:39">
      <c r="A57" s="108">
        <f>ROW()</f>
        <v>57</v>
      </c>
    </row>
    <row r="58" spans="1:39">
      <c r="A58" s="108">
        <f>ROW()</f>
        <v>58</v>
      </c>
    </row>
    <row r="59" spans="1:39">
      <c r="A59" s="108">
        <f>ROW()</f>
        <v>59</v>
      </c>
    </row>
    <row r="60" spans="1:39">
      <c r="A60" s="108">
        <f>ROW()</f>
        <v>60</v>
      </c>
    </row>
    <row r="61" spans="1:39">
      <c r="A61" s="108">
        <f>ROW()</f>
        <v>61</v>
      </c>
    </row>
    <row r="62" spans="1:39">
      <c r="A62" s="108">
        <f>ROW()</f>
        <v>62</v>
      </c>
    </row>
    <row r="63" spans="1:39">
      <c r="A63" s="108">
        <f>ROW()</f>
        <v>63</v>
      </c>
    </row>
    <row r="64" spans="1:39">
      <c r="A64" s="108">
        <f>ROW()</f>
        <v>64</v>
      </c>
    </row>
    <row r="65" spans="1:1">
      <c r="A65" s="108">
        <f>ROW()</f>
        <v>65</v>
      </c>
    </row>
    <row r="66" spans="1:1">
      <c r="A66" s="108">
        <f>ROW()</f>
        <v>66</v>
      </c>
    </row>
    <row r="67" spans="1:1">
      <c r="A67" s="108">
        <f>ROW()</f>
        <v>67</v>
      </c>
    </row>
    <row r="68" spans="1:1">
      <c r="A68" s="108">
        <f>ROW()</f>
        <v>68</v>
      </c>
    </row>
    <row r="69" spans="1:1">
      <c r="A69" s="108">
        <f>ROW()</f>
        <v>69</v>
      </c>
    </row>
    <row r="70" spans="1:1">
      <c r="A70" s="108">
        <f>ROW()</f>
        <v>70</v>
      </c>
    </row>
    <row r="71" spans="1:1">
      <c r="A71" s="108">
        <f>ROW()</f>
        <v>71</v>
      </c>
    </row>
    <row r="72" spans="1:1">
      <c r="A72" s="108">
        <f>ROW()</f>
        <v>72</v>
      </c>
    </row>
    <row r="73" spans="1:1">
      <c r="A73" s="108">
        <f>ROW()</f>
        <v>73</v>
      </c>
    </row>
    <row r="74" spans="1:1">
      <c r="A74" s="108">
        <f>ROW()</f>
        <v>74</v>
      </c>
    </row>
    <row r="75" spans="1:1">
      <c r="A75" s="108">
        <f>ROW()</f>
        <v>75</v>
      </c>
    </row>
    <row r="76" spans="1:1">
      <c r="A76" s="108">
        <f>ROW()</f>
        <v>76</v>
      </c>
    </row>
    <row r="77" spans="1:1">
      <c r="A77" s="108">
        <f>ROW()</f>
        <v>77</v>
      </c>
    </row>
    <row r="78" spans="1:1">
      <c r="A78" s="108">
        <f>ROW()</f>
        <v>78</v>
      </c>
    </row>
    <row r="79" spans="1:1">
      <c r="A79" s="108">
        <f>ROW()</f>
        <v>79</v>
      </c>
    </row>
    <row r="80" spans="1:1">
      <c r="A80" s="108">
        <f>ROW()</f>
        <v>80</v>
      </c>
    </row>
    <row r="81" spans="1:1">
      <c r="A81" s="108">
        <f>ROW()</f>
        <v>81</v>
      </c>
    </row>
    <row r="82" spans="1:1">
      <c r="A82" s="108">
        <f>ROW()</f>
        <v>82</v>
      </c>
    </row>
    <row r="83" spans="1:1">
      <c r="A83" s="108">
        <f>ROW()</f>
        <v>83</v>
      </c>
    </row>
    <row r="84" spans="1:1">
      <c r="A84" s="108">
        <f>ROW()</f>
        <v>84</v>
      </c>
    </row>
    <row r="85" spans="1:1">
      <c r="A85" s="108">
        <f>ROW()</f>
        <v>85</v>
      </c>
    </row>
    <row r="86" spans="1:1">
      <c r="A86" s="108">
        <f>ROW()</f>
        <v>86</v>
      </c>
    </row>
    <row r="87" spans="1:1">
      <c r="A87" s="108">
        <f>ROW()</f>
        <v>87</v>
      </c>
    </row>
    <row r="88" spans="1:1">
      <c r="A88" s="108">
        <f>ROW()</f>
        <v>88</v>
      </c>
    </row>
    <row r="89" spans="1:1">
      <c r="A89" s="108">
        <f>ROW()</f>
        <v>89</v>
      </c>
    </row>
    <row r="90" spans="1:1">
      <c r="A90" s="108">
        <f>ROW()</f>
        <v>90</v>
      </c>
    </row>
    <row r="91" spans="1:1">
      <c r="A91" s="108">
        <f>ROW()</f>
        <v>91</v>
      </c>
    </row>
    <row r="92" spans="1:1">
      <c r="A92" s="108">
        <f>ROW()</f>
        <v>92</v>
      </c>
    </row>
    <row r="93" spans="1:1">
      <c r="A93" s="108">
        <f>ROW()</f>
        <v>93</v>
      </c>
    </row>
    <row r="94" spans="1:1">
      <c r="A94" s="108">
        <f>ROW()</f>
        <v>94</v>
      </c>
    </row>
    <row r="95" spans="1:1">
      <c r="A95" s="108">
        <f>ROW()</f>
        <v>95</v>
      </c>
    </row>
    <row r="96" spans="1:1">
      <c r="A96" s="108">
        <f>ROW()</f>
        <v>96</v>
      </c>
    </row>
    <row r="97" spans="1:1">
      <c r="A97" s="108">
        <f>ROW()</f>
        <v>97</v>
      </c>
    </row>
    <row r="98" spans="1:1">
      <c r="A98" s="108">
        <f>ROW()</f>
        <v>98</v>
      </c>
    </row>
    <row r="99" spans="1:1">
      <c r="A99" s="108">
        <f>ROW()</f>
        <v>99</v>
      </c>
    </row>
    <row r="100" spans="1:1">
      <c r="A100" s="108">
        <f>ROW()</f>
        <v>100</v>
      </c>
    </row>
  </sheetData>
  <sheetProtection sheet="1" objects="1" scenarios="1"/>
  <conditionalFormatting sqref="C1">
    <cfRule type="expression" dxfId="32" priority="4" stopIfTrue="1">
      <formula>MOD(ROW(),2)=0</formula>
    </cfRule>
  </conditionalFormatting>
  <conditionalFormatting sqref="Y1:AM55">
    <cfRule type="cellIs" dxfId="31" priority="3" stopIfTrue="1" operator="equal">
      <formula>0</formula>
    </cfRule>
  </conditionalFormatting>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99"/>
  </sheetPr>
  <dimension ref="A1:Z69"/>
  <sheetViews>
    <sheetView zoomScale="95" workbookViewId="0">
      <selection activeCell="H33" sqref="H33"/>
    </sheetView>
  </sheetViews>
  <sheetFormatPr defaultColWidth="8.6640625" defaultRowHeight="13.8"/>
  <cols>
    <col min="1" max="1" width="7" style="32" customWidth="1"/>
    <col min="2" max="2" width="32.6640625" style="32" customWidth="1"/>
    <col min="3" max="3" width="15.5546875" style="32" customWidth="1"/>
    <col min="4" max="4" width="17.33203125" style="32" customWidth="1"/>
    <col min="5" max="5" width="2.33203125" style="32" customWidth="1"/>
    <col min="6" max="6" width="12.33203125" style="32" customWidth="1"/>
    <col min="7" max="12" width="13.6640625" style="32" customWidth="1"/>
    <col min="13" max="13" width="4.6640625" style="32" customWidth="1"/>
    <col min="14" max="14" width="76.5546875" style="257" customWidth="1"/>
    <col min="15" max="15" width="11.5546875" style="32" bestFit="1" customWidth="1"/>
    <col min="16" max="16" width="8.6640625" style="32"/>
    <col min="17" max="17" width="17.33203125" style="32" customWidth="1"/>
    <col min="18" max="16384" width="8.6640625" style="32"/>
  </cols>
  <sheetData>
    <row r="1" spans="1:26" ht="33.6" customHeight="1">
      <c r="A1" s="1856" t="s">
        <v>49</v>
      </c>
      <c r="B1" s="1856"/>
      <c r="D1" s="347"/>
      <c r="F1" s="78"/>
      <c r="K1" s="579"/>
      <c r="O1" s="1444" cm="1">
        <f t="array" aca="1" ref="O1" ca="1">CELL("protect",A1)</f>
        <v>1</v>
      </c>
      <c r="P1" s="1444" cm="1">
        <f t="array" aca="1" ref="P1" ca="1">CELL("protect",B1)</f>
        <v>1</v>
      </c>
      <c r="Q1" s="1444" cm="1">
        <f t="array" aca="1" ref="Q1" ca="1">CELL("protect",C1)</f>
        <v>1</v>
      </c>
      <c r="R1" s="1444" cm="1">
        <f t="array" aca="1" ref="R1" ca="1">CELL("protect",D1)</f>
        <v>1</v>
      </c>
      <c r="S1" s="1444" cm="1">
        <f t="array" aca="1" ref="S1" ca="1">CELL("protect",E1)</f>
        <v>1</v>
      </c>
      <c r="T1" s="1444" cm="1">
        <f t="array" aca="1" ref="T1" ca="1">CELL("protect",F1)</f>
        <v>1</v>
      </c>
      <c r="U1" s="1444" cm="1">
        <f t="array" aca="1" ref="U1" ca="1">CELL("protect",G1)</f>
        <v>1</v>
      </c>
      <c r="V1" s="1444" cm="1">
        <f t="array" aca="1" ref="V1" ca="1">CELL("protect",H1)</f>
        <v>1</v>
      </c>
      <c r="W1" s="1444" cm="1">
        <f t="array" aca="1" ref="W1" ca="1">CELL("protect",I1)</f>
        <v>1</v>
      </c>
      <c r="X1" s="1444" cm="1">
        <f t="array" aca="1" ref="X1" ca="1">CELL("protect",J1)</f>
        <v>1</v>
      </c>
      <c r="Y1" s="1444" cm="1">
        <f t="array" aca="1" ref="Y1" ca="1">CELL("protect",K1)</f>
        <v>1</v>
      </c>
      <c r="Z1" s="1444" cm="1">
        <f t="array" aca="1" ref="Z1" ca="1">CELL("protect",L1)</f>
        <v>1</v>
      </c>
    </row>
    <row r="2" spans="1:26" ht="15.6">
      <c r="A2" s="35" t="str">
        <f>SchoolName</f>
        <v>Game Changers Sports Academy</v>
      </c>
      <c r="B2" s="36"/>
      <c r="C2" s="30"/>
      <c r="F2" s="1855"/>
      <c r="G2" s="1855"/>
      <c r="H2" s="1855"/>
      <c r="I2" s="1855"/>
      <c r="J2" s="1855"/>
      <c r="K2" s="1855"/>
      <c r="L2" s="1855"/>
    </row>
    <row r="3" spans="1:26">
      <c r="A3" s="37"/>
      <c r="F3" s="1855"/>
      <c r="G3" s="1855"/>
      <c r="H3" s="1855"/>
      <c r="I3" s="1855"/>
      <c r="J3" s="1855"/>
      <c r="K3" s="1855"/>
      <c r="L3" s="1855"/>
    </row>
    <row r="4" spans="1:26">
      <c r="A4" s="38"/>
      <c r="F4" s="1855"/>
      <c r="G4" s="1855"/>
      <c r="H4" s="1855"/>
      <c r="I4" s="1855"/>
      <c r="J4" s="1855"/>
      <c r="K4" s="1855"/>
      <c r="L4" s="1855"/>
    </row>
    <row r="5" spans="1:26">
      <c r="A5" s="29"/>
    </row>
    <row r="6" spans="1:26">
      <c r="F6" s="1510">
        <f>' Enrol &amp; Rev'!F9</f>
        <v>0</v>
      </c>
      <c r="G6" s="1732">
        <f>' Enrol &amp; Rev'!G9</f>
        <v>1</v>
      </c>
      <c r="H6" s="1732">
        <f>' Enrol &amp; Rev'!H9</f>
        <v>2</v>
      </c>
      <c r="I6" s="1732">
        <f>' Enrol &amp; Rev'!I9</f>
        <v>3</v>
      </c>
      <c r="J6" s="1732">
        <f>' Enrol &amp; Rev'!J9</f>
        <v>4</v>
      </c>
      <c r="K6" s="1732">
        <f>' Enrol &amp; Rev'!K9</f>
        <v>5</v>
      </c>
      <c r="L6" s="1733">
        <f>' Enrol &amp; Rev'!L9</f>
        <v>6</v>
      </c>
    </row>
    <row r="7" spans="1:26">
      <c r="F7" s="1737">
        <f>' Enrol &amp; Rev'!F10</f>
        <v>2025</v>
      </c>
      <c r="G7" s="1737">
        <f>' Enrol &amp; Rev'!G10</f>
        <v>2026</v>
      </c>
      <c r="H7" s="1738">
        <f>' Enrol &amp; Rev'!H10</f>
        <v>2027</v>
      </c>
      <c r="I7" s="1738">
        <f>' Enrol &amp; Rev'!I10</f>
        <v>2028</v>
      </c>
      <c r="J7" s="1738">
        <f>' Enrol &amp; Rev'!J10</f>
        <v>2029</v>
      </c>
      <c r="K7" s="1738">
        <f>' Enrol &amp; Rev'!K10</f>
        <v>2030</v>
      </c>
      <c r="L7" s="1739">
        <f>' Enrol &amp; Rev'!L10</f>
        <v>2031</v>
      </c>
    </row>
    <row r="8" spans="1:26">
      <c r="F8" s="1743">
        <f>' Enrol &amp; Rev'!F11</f>
        <v>2026</v>
      </c>
      <c r="G8" s="1743">
        <f>' Enrol &amp; Rev'!G11</f>
        <v>2027</v>
      </c>
      <c r="H8" s="1741">
        <f>' Enrol &amp; Rev'!H11</f>
        <v>2028</v>
      </c>
      <c r="I8" s="1741">
        <f>' Enrol &amp; Rev'!I11</f>
        <v>2029</v>
      </c>
      <c r="J8" s="1741">
        <f>' Enrol &amp; Rev'!J11</f>
        <v>2030</v>
      </c>
      <c r="K8" s="1741">
        <f>' Enrol &amp; Rev'!K11</f>
        <v>2031</v>
      </c>
      <c r="L8" s="1744">
        <f>' Enrol &amp; Rev'!L11</f>
        <v>2032</v>
      </c>
    </row>
    <row r="10" spans="1:26">
      <c r="A10" s="290">
        <f>ROW()</f>
        <v>10</v>
      </c>
      <c r="B10" s="1709" t="s">
        <v>453</v>
      </c>
      <c r="C10" s="1745"/>
      <c r="D10" s="1745"/>
      <c r="E10" s="1745"/>
      <c r="F10" s="1745"/>
      <c r="G10" s="1711"/>
      <c r="H10" s="1711"/>
      <c r="I10" s="1711"/>
      <c r="J10" s="1711"/>
      <c r="K10" s="1711"/>
      <c r="L10" s="1711"/>
      <c r="N10" s="1425" t="s">
        <v>1253</v>
      </c>
    </row>
    <row r="11" spans="1:26">
      <c r="A11" s="290">
        <f>ROW()</f>
        <v>11</v>
      </c>
      <c r="B11" s="32" t="s">
        <v>706</v>
      </c>
      <c r="G11" s="361">
        <f>' Enrol &amp; Rev'!G36</f>
        <v>230</v>
      </c>
      <c r="H11" s="361">
        <f>' Enrol &amp; Rev'!H36</f>
        <v>310</v>
      </c>
      <c r="I11" s="361">
        <f>' Enrol &amp; Rev'!I36</f>
        <v>390</v>
      </c>
      <c r="J11" s="361">
        <f>' Enrol &amp; Rev'!J36</f>
        <v>470</v>
      </c>
      <c r="K11" s="361">
        <f>' Enrol &amp; Rev'!K36</f>
        <v>550</v>
      </c>
      <c r="L11" s="361">
        <f>' Enrol &amp; Rev'!L36</f>
        <v>560</v>
      </c>
      <c r="M11" s="1747"/>
      <c r="N11" s="394"/>
    </row>
    <row r="12" spans="1:26">
      <c r="A12" s="290">
        <f>ROW()</f>
        <v>12</v>
      </c>
      <c r="B12" s="32" t="s">
        <v>1289</v>
      </c>
      <c r="G12" s="967">
        <f>+Staff!H24</f>
        <v>14.5</v>
      </c>
      <c r="H12" s="967">
        <f>+Staff!I24</f>
        <v>21.5</v>
      </c>
      <c r="I12" s="967">
        <f>+Staff!J24</f>
        <v>25</v>
      </c>
      <c r="J12" s="967">
        <f>+Staff!K24</f>
        <v>30</v>
      </c>
      <c r="K12" s="967">
        <f>+Staff!L24</f>
        <v>31</v>
      </c>
      <c r="L12" s="967">
        <f>+Staff!M24</f>
        <v>31</v>
      </c>
      <c r="M12" s="1747"/>
      <c r="N12" s="394"/>
    </row>
    <row r="13" spans="1:26">
      <c r="A13" s="290">
        <f>ROW()</f>
        <v>13</v>
      </c>
      <c r="F13" s="1170" t="s">
        <v>1290</v>
      </c>
      <c r="N13" s="287"/>
    </row>
    <row r="14" spans="1:26">
      <c r="A14" s="290">
        <f>ROW()</f>
        <v>14</v>
      </c>
      <c r="B14" s="32" t="s">
        <v>707</v>
      </c>
      <c r="C14" s="1173"/>
      <c r="D14" s="257"/>
      <c r="E14" s="257"/>
      <c r="F14" s="1171">
        <v>0</v>
      </c>
      <c r="G14" s="1171">
        <v>0</v>
      </c>
      <c r="H14" s="1171">
        <v>0</v>
      </c>
      <c r="I14" s="1171">
        <v>0</v>
      </c>
      <c r="J14" s="1171">
        <v>0</v>
      </c>
      <c r="K14" s="1171">
        <v>0</v>
      </c>
      <c r="L14" s="1171">
        <v>0</v>
      </c>
      <c r="N14" s="287"/>
    </row>
    <row r="15" spans="1:26">
      <c r="A15" s="290">
        <f>ROW()</f>
        <v>15</v>
      </c>
      <c r="B15" s="32" t="s">
        <v>708</v>
      </c>
      <c r="C15" s="1173"/>
      <c r="D15" s="257"/>
      <c r="E15" s="257"/>
      <c r="F15" s="1171">
        <v>0</v>
      </c>
      <c r="G15" s="1171">
        <v>0</v>
      </c>
      <c r="H15" s="1171">
        <v>0</v>
      </c>
      <c r="I15" s="1171">
        <v>0</v>
      </c>
      <c r="J15" s="1171">
        <v>0</v>
      </c>
      <c r="K15" s="1171">
        <v>0</v>
      </c>
      <c r="L15" s="1171">
        <v>0</v>
      </c>
      <c r="N15" s="287"/>
    </row>
    <row r="16" spans="1:26">
      <c r="A16" s="290">
        <f>ROW()</f>
        <v>16</v>
      </c>
      <c r="B16" s="32" t="s">
        <v>709</v>
      </c>
      <c r="C16" s="670">
        <v>0</v>
      </c>
      <c r="D16" s="257" t="s">
        <v>305</v>
      </c>
      <c r="E16" s="257"/>
      <c r="F16" s="1172">
        <v>0</v>
      </c>
      <c r="G16" s="1172">
        <f t="shared" ref="G16:L16" si="0">$C$16*G11</f>
        <v>0</v>
      </c>
      <c r="H16" s="1172">
        <f t="shared" si="0"/>
        <v>0</v>
      </c>
      <c r="I16" s="1172">
        <f t="shared" si="0"/>
        <v>0</v>
      </c>
      <c r="J16" s="1172">
        <f t="shared" si="0"/>
        <v>0</v>
      </c>
      <c r="K16" s="1172">
        <f t="shared" si="0"/>
        <v>0</v>
      </c>
      <c r="L16" s="1172">
        <f t="shared" si="0"/>
        <v>0</v>
      </c>
      <c r="N16" s="287"/>
    </row>
    <row r="17" spans="1:14">
      <c r="A17" s="290">
        <f>ROW()</f>
        <v>17</v>
      </c>
      <c r="B17" s="32" t="s">
        <v>710</v>
      </c>
      <c r="C17" s="670">
        <v>0</v>
      </c>
      <c r="D17" s="257" t="s">
        <v>711</v>
      </c>
      <c r="E17" s="257"/>
      <c r="F17" s="1172">
        <v>0</v>
      </c>
      <c r="G17" s="1172">
        <v>12000</v>
      </c>
      <c r="H17" s="1172">
        <v>7000</v>
      </c>
      <c r="I17" s="1172">
        <v>3000</v>
      </c>
      <c r="J17" s="1172">
        <v>4000</v>
      </c>
      <c r="K17" s="1172">
        <v>2000</v>
      </c>
      <c r="L17" s="1172">
        <f>IF($C$17*(Staff!M24-Staff!L24)&gt;0,$C$17*(Staff!M24-Staff!L24),0)</f>
        <v>0</v>
      </c>
      <c r="N17" s="287"/>
    </row>
    <row r="18" spans="1:14">
      <c r="A18" s="290">
        <f>ROW()</f>
        <v>18</v>
      </c>
      <c r="B18" s="32" t="s">
        <v>712</v>
      </c>
      <c r="C18" s="670">
        <v>0</v>
      </c>
      <c r="D18" s="257"/>
      <c r="E18" s="257"/>
      <c r="F18" s="1172">
        <v>0</v>
      </c>
      <c r="G18" s="1172"/>
      <c r="H18" s="1172"/>
      <c r="I18" s="1172"/>
      <c r="J18" s="1172"/>
      <c r="K18" s="1172"/>
      <c r="L18" s="1172">
        <f>IF($C$17*([1]Staff!M24-[1]Staff!L24)&gt;0,$C$17*([1]Staff!M24-[1]Staff!L24),0)</f>
        <v>0</v>
      </c>
      <c r="N18" s="287"/>
    </row>
    <row r="19" spans="1:14">
      <c r="A19" s="290">
        <f>ROW()</f>
        <v>19</v>
      </c>
      <c r="B19" s="32" t="s">
        <v>713</v>
      </c>
      <c r="C19" s="670">
        <v>0</v>
      </c>
      <c r="D19" s="257"/>
      <c r="E19" s="257"/>
      <c r="F19" s="1172">
        <v>0</v>
      </c>
      <c r="G19" s="1172">
        <v>80500</v>
      </c>
      <c r="H19" s="1172">
        <v>28000</v>
      </c>
      <c r="I19" s="1172">
        <v>28000</v>
      </c>
      <c r="J19" s="1172">
        <v>28000</v>
      </c>
      <c r="K19" s="1172">
        <v>28000</v>
      </c>
      <c r="L19" s="1172">
        <v>3500</v>
      </c>
      <c r="N19" s="287"/>
    </row>
    <row r="20" spans="1:14">
      <c r="A20" s="290">
        <f>ROW()</f>
        <v>20</v>
      </c>
      <c r="B20" s="32" t="s">
        <v>714</v>
      </c>
      <c r="C20" s="670">
        <v>0</v>
      </c>
      <c r="D20" s="257"/>
      <c r="E20" s="257"/>
      <c r="F20" s="1172">
        <v>0</v>
      </c>
      <c r="G20" s="1172"/>
      <c r="H20" s="1172">
        <v>8750</v>
      </c>
      <c r="I20" s="1172">
        <v>8750</v>
      </c>
      <c r="J20" s="1172">
        <v>8750</v>
      </c>
      <c r="K20" s="1172">
        <v>8750</v>
      </c>
      <c r="L20" s="1172">
        <v>8750</v>
      </c>
      <c r="N20" s="287"/>
    </row>
    <row r="21" spans="1:14">
      <c r="A21" s="290">
        <f>ROW()</f>
        <v>21</v>
      </c>
      <c r="B21" s="32" t="s">
        <v>715</v>
      </c>
      <c r="C21" s="670">
        <v>0</v>
      </c>
      <c r="D21" s="257"/>
      <c r="E21" s="257"/>
      <c r="F21" s="1172">
        <v>0</v>
      </c>
      <c r="G21" s="1172"/>
      <c r="H21" s="1172"/>
      <c r="I21" s="1172"/>
      <c r="J21" s="1172"/>
      <c r="K21" s="1172"/>
      <c r="L21" s="1172"/>
      <c r="N21" s="287"/>
    </row>
    <row r="22" spans="1:14">
      <c r="A22" s="290">
        <f>ROW()</f>
        <v>22</v>
      </c>
      <c r="B22" s="32" t="s">
        <v>716</v>
      </c>
      <c r="C22" s="670">
        <v>0</v>
      </c>
      <c r="D22" s="257" t="s">
        <v>717</v>
      </c>
      <c r="E22" s="257"/>
      <c r="F22" s="1172">
        <v>0</v>
      </c>
      <c r="G22" s="1172">
        <f>IF($C$22*(Staff!H24-Staff!G24)&gt;0,$C$22*(Staff!H24-Staff!G24),0)</f>
        <v>0</v>
      </c>
      <c r="H22" s="1172">
        <f>IF($C$22*(Staff!I24-Staff!H24)&gt;0,$C$22*(Staff!I24-Staff!H24),0)</f>
        <v>0</v>
      </c>
      <c r="I22" s="1172">
        <f>IF($C$22*(Staff!J24-Staff!I24)&gt;0,$C$22*(Staff!J24-Staff!I24),0)</f>
        <v>0</v>
      </c>
      <c r="J22" s="1172">
        <f>IF($C$22*(Staff!K24-Staff!J24)&gt;0,$C$22*(Staff!K24-Staff!J24),0)</f>
        <v>0</v>
      </c>
      <c r="K22" s="1172">
        <f>IF($C$22*(Staff!L24-Staff!K24)&gt;0,$C$22*(Staff!L24-Staff!K24),0)</f>
        <v>0</v>
      </c>
      <c r="L22" s="1172">
        <f>IF($C$22*(Staff!M24-Staff!L24)&gt;0,$C$22*(Staff!M24-Staff!L24),0)</f>
        <v>0</v>
      </c>
      <c r="N22" s="287"/>
    </row>
    <row r="23" spans="1:14">
      <c r="A23" s="290">
        <f>ROW()</f>
        <v>23</v>
      </c>
      <c r="B23" s="32" t="s">
        <v>718</v>
      </c>
      <c r="C23" s="670">
        <v>0</v>
      </c>
      <c r="D23" s="257" t="s">
        <v>640</v>
      </c>
      <c r="E23" s="257"/>
      <c r="F23" s="1172">
        <v>0</v>
      </c>
      <c r="G23" s="1172">
        <f>($C$23*12)*Staff!H24</f>
        <v>0</v>
      </c>
      <c r="H23" s="1172">
        <f>($C$23*12)*Staff!I24</f>
        <v>0</v>
      </c>
      <c r="I23" s="1172">
        <f>($C$23*12)*Staff!J24</f>
        <v>0</v>
      </c>
      <c r="J23" s="1172">
        <f>($C$23*12)*Staff!K24</f>
        <v>0</v>
      </c>
      <c r="K23" s="1172">
        <f>($C$23*12)*Staff!L24</f>
        <v>0</v>
      </c>
      <c r="L23" s="1172">
        <f>($C$23*12)*Staff!M24</f>
        <v>0</v>
      </c>
      <c r="N23" s="287"/>
    </row>
    <row r="24" spans="1:14">
      <c r="A24" s="290">
        <f>ROW()</f>
        <v>24</v>
      </c>
      <c r="B24" s="32" t="s">
        <v>719</v>
      </c>
      <c r="C24" s="420"/>
      <c r="D24" s="257"/>
      <c r="E24" s="257"/>
      <c r="F24" s="1172">
        <v>0</v>
      </c>
      <c r="G24" s="1172">
        <v>0</v>
      </c>
      <c r="H24" s="1172">
        <v>0</v>
      </c>
      <c r="I24" s="1172">
        <v>0</v>
      </c>
      <c r="J24" s="1172">
        <v>0</v>
      </c>
      <c r="K24" s="1172">
        <v>0</v>
      </c>
      <c r="L24" s="1172">
        <v>0</v>
      </c>
      <c r="N24" s="287"/>
    </row>
    <row r="25" spans="1:14">
      <c r="A25" s="290">
        <f>ROW()</f>
        <v>25</v>
      </c>
      <c r="B25" s="32" t="s">
        <v>720</v>
      </c>
      <c r="C25" s="420"/>
      <c r="D25" s="257"/>
      <c r="E25" s="257"/>
      <c r="F25" s="1172">
        <v>0</v>
      </c>
      <c r="G25" s="1172">
        <v>5000</v>
      </c>
      <c r="H25" s="1172">
        <v>0</v>
      </c>
      <c r="I25" s="1172">
        <v>0</v>
      </c>
      <c r="J25" s="1172">
        <v>0</v>
      </c>
      <c r="K25" s="1172">
        <v>0</v>
      </c>
      <c r="L25" s="1172">
        <v>0</v>
      </c>
      <c r="N25" s="287"/>
    </row>
    <row r="26" spans="1:14">
      <c r="A26" s="290">
        <f>ROW()</f>
        <v>26</v>
      </c>
      <c r="B26" s="32" t="s">
        <v>721</v>
      </c>
      <c r="C26" s="670">
        <v>0</v>
      </c>
      <c r="D26" s="257" t="s">
        <v>722</v>
      </c>
      <c r="E26" s="257"/>
      <c r="F26" s="1172">
        <v>0</v>
      </c>
      <c r="G26" s="1172">
        <v>12000</v>
      </c>
      <c r="H26" s="1172">
        <f>$C$26*(' Enrol &amp; Rev'!H19-' Enrol &amp; Rev'!G19)</f>
        <v>0</v>
      </c>
      <c r="I26" s="1172">
        <f>$C$26*(' Enrol &amp; Rev'!I19-' Enrol &amp; Rev'!H19)</f>
        <v>0</v>
      </c>
      <c r="J26" s="1172">
        <f>$C$26*(' Enrol &amp; Rev'!J19-' Enrol &amp; Rev'!I19)</f>
        <v>0</v>
      </c>
      <c r="K26" s="1172">
        <f>$C$26*(' Enrol &amp; Rev'!K19-' Enrol &amp; Rev'!J19)</f>
        <v>0</v>
      </c>
      <c r="L26" s="1172">
        <f>$C$26*(' Enrol &amp; Rev'!L19-' Enrol &amp; Rev'!K19)</f>
        <v>0</v>
      </c>
      <c r="N26" s="287"/>
    </row>
    <row r="27" spans="1:14">
      <c r="A27" s="290">
        <f>ROW()</f>
        <v>27</v>
      </c>
      <c r="B27" s="1775" t="s">
        <v>723</v>
      </c>
      <c r="C27" s="670">
        <v>0</v>
      </c>
      <c r="D27" s="257" t="s">
        <v>305</v>
      </c>
      <c r="E27" s="257"/>
      <c r="F27" s="1172">
        <v>0</v>
      </c>
      <c r="G27" s="1172">
        <v>35000</v>
      </c>
      <c r="H27" s="1172">
        <v>35000</v>
      </c>
      <c r="I27" s="1172">
        <v>35000</v>
      </c>
      <c r="J27" s="1172">
        <v>35000</v>
      </c>
      <c r="K27" s="1172">
        <v>35000</v>
      </c>
      <c r="L27" s="1172">
        <v>35000</v>
      </c>
      <c r="N27" s="287"/>
    </row>
    <row r="28" spans="1:14">
      <c r="A28" s="290">
        <f>ROW()</f>
        <v>28</v>
      </c>
      <c r="B28" s="1775" t="s">
        <v>1295</v>
      </c>
      <c r="C28" s="670">
        <v>0</v>
      </c>
      <c r="D28" s="257" t="s">
        <v>305</v>
      </c>
      <c r="E28" s="257"/>
      <c r="F28" s="1172">
        <v>0</v>
      </c>
      <c r="G28" s="1172">
        <v>4000</v>
      </c>
      <c r="H28" s="1172">
        <f>SUM(G28+1380)</f>
        <v>5380</v>
      </c>
      <c r="I28" s="1172">
        <f t="shared" ref="I28:K28" si="1">SUM(H28+1380)</f>
        <v>6760</v>
      </c>
      <c r="J28" s="1172">
        <f t="shared" si="1"/>
        <v>8140</v>
      </c>
      <c r="K28" s="1172">
        <f t="shared" si="1"/>
        <v>9520</v>
      </c>
      <c r="L28" s="1172">
        <v>9700</v>
      </c>
      <c r="N28" s="287"/>
    </row>
    <row r="29" spans="1:14">
      <c r="A29" s="290">
        <f>ROW()</f>
        <v>29</v>
      </c>
      <c r="B29" s="1775" t="s">
        <v>1293</v>
      </c>
      <c r="C29" s="670">
        <v>0</v>
      </c>
      <c r="D29" s="257" t="s">
        <v>305</v>
      </c>
      <c r="E29" s="257"/>
      <c r="F29" s="1172">
        <v>0</v>
      </c>
      <c r="G29" s="1172">
        <f t="shared" ref="G29:L31" si="2">$C29*G$11</f>
        <v>0</v>
      </c>
      <c r="H29" s="1172">
        <f t="shared" si="2"/>
        <v>0</v>
      </c>
      <c r="I29" s="1172">
        <f t="shared" si="2"/>
        <v>0</v>
      </c>
      <c r="J29" s="1172">
        <f t="shared" si="2"/>
        <v>0</v>
      </c>
      <c r="K29" s="1172">
        <f t="shared" si="2"/>
        <v>0</v>
      </c>
      <c r="L29" s="1172">
        <f t="shared" si="2"/>
        <v>0</v>
      </c>
      <c r="N29" s="287"/>
    </row>
    <row r="30" spans="1:14">
      <c r="A30" s="290">
        <f>ROW()</f>
        <v>30</v>
      </c>
      <c r="B30" s="1775" t="s">
        <v>1294</v>
      </c>
      <c r="C30" s="670">
        <v>0</v>
      </c>
      <c r="D30" s="257" t="s">
        <v>305</v>
      </c>
      <c r="E30" s="257"/>
      <c r="F30" s="1172">
        <v>0</v>
      </c>
      <c r="G30" s="1172">
        <f t="shared" si="2"/>
        <v>0</v>
      </c>
      <c r="H30" s="1172">
        <f t="shared" si="2"/>
        <v>0</v>
      </c>
      <c r="I30" s="1172">
        <f t="shared" si="2"/>
        <v>0</v>
      </c>
      <c r="J30" s="1172">
        <f t="shared" si="2"/>
        <v>0</v>
      </c>
      <c r="K30" s="1172">
        <f t="shared" si="2"/>
        <v>0</v>
      </c>
      <c r="L30" s="1172">
        <f t="shared" si="2"/>
        <v>0</v>
      </c>
      <c r="N30" s="287"/>
    </row>
    <row r="31" spans="1:14">
      <c r="A31" s="290">
        <f>ROW()</f>
        <v>31</v>
      </c>
      <c r="B31" s="1775" t="s">
        <v>1296</v>
      </c>
      <c r="C31" s="670">
        <v>0</v>
      </c>
      <c r="D31" s="257" t="s">
        <v>305</v>
      </c>
      <c r="E31" s="257"/>
      <c r="F31" s="1172">
        <v>0</v>
      </c>
      <c r="G31" s="1172">
        <f t="shared" si="2"/>
        <v>0</v>
      </c>
      <c r="H31" s="1172">
        <f t="shared" si="2"/>
        <v>0</v>
      </c>
      <c r="I31" s="1172">
        <f t="shared" si="2"/>
        <v>0</v>
      </c>
      <c r="J31" s="1172">
        <f t="shared" si="2"/>
        <v>0</v>
      </c>
      <c r="K31" s="1172">
        <f t="shared" si="2"/>
        <v>0</v>
      </c>
      <c r="L31" s="1172">
        <f t="shared" si="2"/>
        <v>0</v>
      </c>
      <c r="N31" s="287"/>
    </row>
    <row r="32" spans="1:14">
      <c r="A32" s="290">
        <f>ROW()</f>
        <v>32</v>
      </c>
      <c r="B32" s="32" t="s">
        <v>724</v>
      </c>
      <c r="C32" s="670">
        <v>0</v>
      </c>
      <c r="D32" s="257" t="s">
        <v>640</v>
      </c>
      <c r="E32" s="257"/>
      <c r="F32" s="1172">
        <v>0</v>
      </c>
      <c r="G32" s="1172">
        <f t="shared" ref="G32:L32" si="3">$C$32*12</f>
        <v>0</v>
      </c>
      <c r="H32" s="1172">
        <f t="shared" si="3"/>
        <v>0</v>
      </c>
      <c r="I32" s="1172">
        <f t="shared" si="3"/>
        <v>0</v>
      </c>
      <c r="J32" s="1172">
        <f t="shared" si="3"/>
        <v>0</v>
      </c>
      <c r="K32" s="1172">
        <f t="shared" si="3"/>
        <v>0</v>
      </c>
      <c r="L32" s="1172">
        <f t="shared" si="3"/>
        <v>0</v>
      </c>
      <c r="N32" s="287"/>
    </row>
    <row r="33" spans="1:14">
      <c r="A33" s="290">
        <f>ROW()</f>
        <v>33</v>
      </c>
      <c r="B33" s="32" t="s">
        <v>725</v>
      </c>
      <c r="C33" s="670">
        <v>0</v>
      </c>
      <c r="D33" s="257" t="s">
        <v>640</v>
      </c>
      <c r="E33" s="257"/>
      <c r="F33" s="1172">
        <v>0</v>
      </c>
      <c r="G33" s="1172">
        <v>12000</v>
      </c>
      <c r="H33" s="1172">
        <v>1200</v>
      </c>
      <c r="I33" s="1172">
        <v>1200</v>
      </c>
      <c r="J33" s="1172">
        <v>1200</v>
      </c>
      <c r="K33" s="1172">
        <v>1200</v>
      </c>
      <c r="L33" s="1172">
        <v>1200</v>
      </c>
      <c r="N33" s="287"/>
    </row>
    <row r="34" spans="1:14">
      <c r="A34" s="290">
        <f>ROW()</f>
        <v>34</v>
      </c>
      <c r="B34" s="32" t="s">
        <v>726</v>
      </c>
      <c r="C34" s="670">
        <v>0</v>
      </c>
      <c r="D34" s="257"/>
      <c r="E34" s="257"/>
      <c r="F34" s="1172">
        <v>0</v>
      </c>
      <c r="G34" s="1172">
        <v>600</v>
      </c>
      <c r="H34" s="1172">
        <v>600</v>
      </c>
      <c r="I34" s="1172">
        <v>600</v>
      </c>
      <c r="J34" s="1172">
        <v>600</v>
      </c>
      <c r="K34" s="1172">
        <v>600</v>
      </c>
      <c r="L34" s="1172">
        <v>600</v>
      </c>
      <c r="N34" s="287"/>
    </row>
    <row r="35" spans="1:14" ht="27.6">
      <c r="A35" s="290">
        <f>ROW()</f>
        <v>35</v>
      </c>
      <c r="B35" s="41" t="s">
        <v>727</v>
      </c>
      <c r="C35" s="420"/>
      <c r="D35" s="257"/>
      <c r="E35" s="257"/>
      <c r="F35" s="1172">
        <v>0</v>
      </c>
      <c r="G35" s="1172">
        <v>0</v>
      </c>
      <c r="H35" s="1172">
        <v>0</v>
      </c>
      <c r="I35" s="1172">
        <v>0</v>
      </c>
      <c r="J35" s="1172">
        <v>0</v>
      </c>
      <c r="K35" s="1172">
        <v>0</v>
      </c>
      <c r="L35" s="1172">
        <v>0</v>
      </c>
      <c r="N35" s="287"/>
    </row>
    <row r="36" spans="1:14">
      <c r="A36" s="290">
        <f>ROW()</f>
        <v>36</v>
      </c>
      <c r="B36" s="32" t="s">
        <v>728</v>
      </c>
      <c r="C36" s="670">
        <v>0</v>
      </c>
      <c r="D36" s="257" t="s">
        <v>729</v>
      </c>
      <c r="E36" s="257"/>
      <c r="F36" s="1172">
        <v>0</v>
      </c>
      <c r="G36" s="1172">
        <v>0</v>
      </c>
      <c r="H36" s="1172">
        <v>0</v>
      </c>
      <c r="I36" s="1172">
        <v>0</v>
      </c>
      <c r="J36" s="1172">
        <v>0</v>
      </c>
      <c r="K36" s="1172">
        <v>0</v>
      </c>
      <c r="L36" s="1172">
        <v>0</v>
      </c>
      <c r="N36" s="287"/>
    </row>
    <row r="37" spans="1:14">
      <c r="A37" s="290">
        <f>ROW()</f>
        <v>37</v>
      </c>
      <c r="B37" s="32" t="s">
        <v>730</v>
      </c>
      <c r="C37" s="670">
        <v>0</v>
      </c>
      <c r="D37" s="257" t="s">
        <v>640</v>
      </c>
      <c r="E37" s="257"/>
      <c r="F37" s="1172">
        <v>0</v>
      </c>
      <c r="G37" s="1172">
        <f t="shared" ref="G37:L37" si="4">$C$37*12</f>
        <v>0</v>
      </c>
      <c r="H37" s="1172">
        <f t="shared" si="4"/>
        <v>0</v>
      </c>
      <c r="I37" s="1172">
        <f t="shared" si="4"/>
        <v>0</v>
      </c>
      <c r="J37" s="1172">
        <f t="shared" si="4"/>
        <v>0</v>
      </c>
      <c r="K37" s="1172">
        <f t="shared" si="4"/>
        <v>0</v>
      </c>
      <c r="L37" s="1172">
        <f t="shared" si="4"/>
        <v>0</v>
      </c>
      <c r="N37" s="287"/>
    </row>
    <row r="38" spans="1:14">
      <c r="A38" s="290">
        <f>ROW()</f>
        <v>38</v>
      </c>
      <c r="B38" s="32" t="s">
        <v>731</v>
      </c>
      <c r="C38" s="670">
        <v>0</v>
      </c>
      <c r="D38" s="257" t="s">
        <v>654</v>
      </c>
      <c r="E38" s="257"/>
      <c r="F38" s="1172">
        <v>0</v>
      </c>
      <c r="G38" s="1172">
        <f>IF($C$38*(Staff!H24-Staff!G24)&gt;0,$C$38*(Staff!H24-Staff!G24),0)</f>
        <v>0</v>
      </c>
      <c r="H38" s="1172">
        <f>IF($C$38*(Staff!I24-Staff!H24)&gt;0,$C$38*(Staff!I24-Staff!H24),0)</f>
        <v>0</v>
      </c>
      <c r="I38" s="1172">
        <f>IF($C$38*(Staff!J24-Staff!I24)&gt;0,$C$38*(Staff!J24-Staff!I24),0)</f>
        <v>0</v>
      </c>
      <c r="J38" s="1172">
        <f>IF($C$38*(Staff!K24-Staff!J24)&gt;0,$C$38*(Staff!K24-Staff!J24),0)</f>
        <v>0</v>
      </c>
      <c r="K38" s="1172">
        <f>IF($C$38*(Staff!L24-Staff!K24)&gt;0,$C$38*(Staff!L24-Staff!K24),0)</f>
        <v>0</v>
      </c>
      <c r="L38" s="1172">
        <f>IF($C$38*(Staff!M24-Staff!L24)&gt;0,$C$38*(Staff!M24-Staff!L24),0)</f>
        <v>0</v>
      </c>
      <c r="N38" s="287"/>
    </row>
    <row r="39" spans="1:14">
      <c r="A39" s="290">
        <f>ROW()</f>
        <v>39</v>
      </c>
      <c r="B39" s="32" t="s">
        <v>732</v>
      </c>
      <c r="C39" s="670">
        <v>0</v>
      </c>
      <c r="D39" s="257" t="s">
        <v>617</v>
      </c>
      <c r="E39" s="257"/>
      <c r="F39" s="1172">
        <v>0</v>
      </c>
      <c r="G39" s="1172">
        <f>$C$39*Staff!H24</f>
        <v>0</v>
      </c>
      <c r="H39" s="1172">
        <f>$C$39*Staff!I24</f>
        <v>0</v>
      </c>
      <c r="I39" s="1172">
        <f>$C$39*Staff!J24</f>
        <v>0</v>
      </c>
      <c r="J39" s="1172">
        <f>$C$39*Staff!K24</f>
        <v>0</v>
      </c>
      <c r="K39" s="1172">
        <f>$C$39*Staff!L24</f>
        <v>0</v>
      </c>
      <c r="L39" s="1172">
        <f>$C$39*Staff!M24</f>
        <v>0</v>
      </c>
      <c r="N39" s="287"/>
    </row>
    <row r="40" spans="1:14">
      <c r="A40" s="290">
        <f>ROW()</f>
        <v>40</v>
      </c>
      <c r="B40" s="32" t="s">
        <v>1297</v>
      </c>
      <c r="C40" s="670">
        <v>0</v>
      </c>
      <c r="D40" s="257" t="s">
        <v>654</v>
      </c>
      <c r="E40" s="257"/>
      <c r="F40" s="1172">
        <v>0</v>
      </c>
      <c r="G40" s="1172">
        <v>36000</v>
      </c>
      <c r="H40" s="1172">
        <v>21000</v>
      </c>
      <c r="I40" s="1172">
        <v>9000</v>
      </c>
      <c r="J40" s="1172">
        <v>12000</v>
      </c>
      <c r="K40" s="1172">
        <v>6000</v>
      </c>
      <c r="L40" s="1172">
        <v>0</v>
      </c>
      <c r="N40" s="287"/>
    </row>
    <row r="41" spans="1:14">
      <c r="A41" s="290">
        <f>ROW()</f>
        <v>41</v>
      </c>
      <c r="B41" s="32" t="s">
        <v>1298</v>
      </c>
      <c r="C41" s="670">
        <v>0</v>
      </c>
      <c r="D41" s="257" t="s">
        <v>642</v>
      </c>
      <c r="E41" s="257"/>
      <c r="F41" s="1172">
        <v>0</v>
      </c>
      <c r="G41" s="1172">
        <v>40250</v>
      </c>
      <c r="H41" s="1172">
        <v>3500</v>
      </c>
      <c r="I41" s="1172">
        <v>3500</v>
      </c>
      <c r="J41" s="1172">
        <v>3500</v>
      </c>
      <c r="K41" s="1172">
        <v>3500</v>
      </c>
      <c r="L41" s="1172">
        <v>3500</v>
      </c>
      <c r="N41" s="287"/>
    </row>
    <row r="42" spans="1:14" ht="14.4" thickBot="1">
      <c r="A42" s="290">
        <f>ROW()</f>
        <v>42</v>
      </c>
      <c r="G42" s="51"/>
      <c r="H42" s="51"/>
      <c r="I42" s="51"/>
      <c r="J42" s="51"/>
      <c r="K42" s="51"/>
      <c r="L42" s="51"/>
      <c r="N42" s="287"/>
    </row>
    <row r="43" spans="1:14" ht="14.4" thickBot="1">
      <c r="A43" s="290">
        <f>ROW()</f>
        <v>43</v>
      </c>
      <c r="B43" s="1746" t="s">
        <v>1291</v>
      </c>
      <c r="C43" s="636">
        <f>SUM(G43:L43)</f>
        <v>701600</v>
      </c>
      <c r="D43" s="637"/>
      <c r="E43" s="637"/>
      <c r="F43" s="638">
        <f t="shared" ref="F43:L43" si="5">SUM(F15:F42)</f>
        <v>0</v>
      </c>
      <c r="G43" s="638">
        <f>SUM(G15:G42)</f>
        <v>237350</v>
      </c>
      <c r="H43" s="638">
        <f t="shared" si="5"/>
        <v>110430</v>
      </c>
      <c r="I43" s="638">
        <f t="shared" si="5"/>
        <v>95810</v>
      </c>
      <c r="J43" s="638">
        <f t="shared" si="5"/>
        <v>101190</v>
      </c>
      <c r="K43" s="638">
        <f t="shared" si="5"/>
        <v>94570</v>
      </c>
      <c r="L43" s="638">
        <f t="shared" si="5"/>
        <v>62250</v>
      </c>
      <c r="N43" s="287"/>
    </row>
    <row r="44" spans="1:14">
      <c r="A44" s="290">
        <f>ROW()</f>
        <v>44</v>
      </c>
      <c r="B44" s="74"/>
      <c r="N44" s="287"/>
    </row>
    <row r="45" spans="1:14" ht="14.4" hidden="1">
      <c r="A45" s="290">
        <f>ROW()</f>
        <v>45</v>
      </c>
      <c r="B45" s="154" t="s">
        <v>733</v>
      </c>
      <c r="N45" s="287"/>
    </row>
    <row r="46" spans="1:14" hidden="1">
      <c r="A46" s="290">
        <f>ROW()</f>
        <v>46</v>
      </c>
      <c r="B46" s="287"/>
      <c r="C46" s="289"/>
      <c r="D46" s="289"/>
      <c r="E46" s="289"/>
      <c r="F46" s="289"/>
      <c r="G46" s="289"/>
      <c r="H46" s="289"/>
      <c r="I46" s="289"/>
      <c r="J46" s="289"/>
      <c r="K46" s="289"/>
      <c r="L46" s="289"/>
      <c r="N46" s="287"/>
    </row>
    <row r="47" spans="1:14" hidden="1">
      <c r="A47" s="290">
        <f>ROW()</f>
        <v>47</v>
      </c>
      <c r="B47" s="287"/>
      <c r="C47" s="289"/>
      <c r="D47" s="289"/>
      <c r="E47" s="289"/>
      <c r="F47" s="289"/>
      <c r="G47" s="289"/>
      <c r="H47" s="289"/>
      <c r="I47" s="289"/>
      <c r="J47" s="289"/>
      <c r="K47" s="289"/>
      <c r="L47" s="289"/>
      <c r="N47" s="287"/>
    </row>
    <row r="48" spans="1:14" hidden="1">
      <c r="A48" s="290">
        <f>ROW()</f>
        <v>48</v>
      </c>
      <c r="B48" s="287"/>
      <c r="C48" s="289"/>
      <c r="D48" s="289"/>
      <c r="E48" s="289"/>
      <c r="F48" s="289"/>
      <c r="G48" s="289"/>
      <c r="H48" s="289"/>
      <c r="I48" s="289"/>
      <c r="J48" s="289"/>
      <c r="K48" s="289"/>
      <c r="L48" s="289"/>
      <c r="N48" s="287"/>
    </row>
    <row r="49" spans="1:14" hidden="1">
      <c r="A49" s="290">
        <f>ROW()</f>
        <v>49</v>
      </c>
      <c r="B49" s="287"/>
      <c r="C49" s="289"/>
      <c r="D49" s="289"/>
      <c r="E49" s="289"/>
      <c r="F49" s="289"/>
      <c r="G49" s="289"/>
      <c r="H49" s="289"/>
      <c r="I49" s="289"/>
      <c r="J49" s="289"/>
      <c r="K49" s="289"/>
      <c r="L49" s="289"/>
      <c r="N49" s="287"/>
    </row>
    <row r="50" spans="1:14" hidden="1">
      <c r="A50" s="290">
        <f>ROW()</f>
        <v>50</v>
      </c>
      <c r="B50" s="287"/>
      <c r="C50" s="289"/>
      <c r="D50" s="289"/>
      <c r="E50" s="289"/>
      <c r="F50" s="289"/>
      <c r="G50" s="289"/>
      <c r="H50" s="289"/>
      <c r="I50" s="289"/>
      <c r="J50" s="289"/>
      <c r="K50" s="289"/>
      <c r="L50" s="289"/>
      <c r="N50" s="287"/>
    </row>
    <row r="51" spans="1:14" hidden="1">
      <c r="A51" s="290">
        <f>ROW()</f>
        <v>51</v>
      </c>
      <c r="B51" s="287"/>
      <c r="C51" s="289"/>
      <c r="D51" s="289"/>
      <c r="E51" s="289"/>
      <c r="F51" s="289"/>
      <c r="G51" s="289"/>
      <c r="H51" s="289"/>
      <c r="I51" s="289"/>
      <c r="J51" s="289"/>
      <c r="K51" s="289"/>
      <c r="L51" s="289"/>
      <c r="N51" s="287"/>
    </row>
    <row r="52" spans="1:14" hidden="1">
      <c r="A52" s="290">
        <f>ROW()</f>
        <v>52</v>
      </c>
      <c r="B52" s="287"/>
      <c r="C52" s="289"/>
      <c r="D52" s="289"/>
      <c r="E52" s="289"/>
      <c r="F52" s="289"/>
      <c r="G52" s="289"/>
      <c r="H52" s="289"/>
      <c r="I52" s="289"/>
      <c r="J52" s="289"/>
      <c r="K52" s="289"/>
      <c r="L52" s="289"/>
      <c r="N52" s="287"/>
    </row>
    <row r="53" spans="1:14" hidden="1">
      <c r="A53" s="290">
        <f>ROW()</f>
        <v>53</v>
      </c>
      <c r="B53" s="287"/>
      <c r="C53" s="289"/>
      <c r="D53" s="289"/>
      <c r="E53" s="289"/>
      <c r="F53" s="289"/>
      <c r="G53" s="289"/>
      <c r="H53" s="289"/>
      <c r="I53" s="289"/>
      <c r="J53" s="289"/>
      <c r="K53" s="289"/>
      <c r="L53" s="289"/>
      <c r="N53" s="287"/>
    </row>
    <row r="54" spans="1:14" hidden="1">
      <c r="A54" s="290">
        <f>ROW()</f>
        <v>54</v>
      </c>
      <c r="B54" s="287"/>
      <c r="C54" s="289"/>
      <c r="D54" s="289"/>
      <c r="E54" s="289"/>
      <c r="F54" s="289"/>
      <c r="G54" s="289"/>
      <c r="H54" s="289"/>
      <c r="I54" s="289"/>
      <c r="J54" s="289"/>
      <c r="K54" s="289"/>
      <c r="L54" s="289"/>
      <c r="N54" s="287"/>
    </row>
    <row r="55" spans="1:14" hidden="1">
      <c r="A55" s="290">
        <f>ROW()</f>
        <v>55</v>
      </c>
      <c r="B55" s="287"/>
      <c r="C55" s="289"/>
      <c r="D55" s="289"/>
      <c r="E55" s="289"/>
      <c r="F55" s="289"/>
      <c r="G55" s="289"/>
      <c r="H55" s="289"/>
      <c r="I55" s="289"/>
      <c r="J55" s="289"/>
      <c r="K55" s="289"/>
      <c r="L55" s="289"/>
      <c r="N55" s="287"/>
    </row>
    <row r="56" spans="1:14" hidden="1">
      <c r="A56" s="290">
        <f>ROW()</f>
        <v>56</v>
      </c>
      <c r="N56" s="287"/>
    </row>
    <row r="57" spans="1:14" hidden="1">
      <c r="A57" s="290">
        <f>ROW()</f>
        <v>57</v>
      </c>
      <c r="N57" s="287"/>
    </row>
    <row r="58" spans="1:14" hidden="1">
      <c r="A58" s="290">
        <f>ROW()</f>
        <v>58</v>
      </c>
      <c r="C58" s="30" t="s">
        <v>734</v>
      </c>
      <c r="F58" s="630">
        <f t="shared" ref="F58:L60" si="6">F6</f>
        <v>0</v>
      </c>
      <c r="G58" s="631">
        <f t="shared" si="6"/>
        <v>1</v>
      </c>
      <c r="H58" s="631">
        <f t="shared" si="6"/>
        <v>2</v>
      </c>
      <c r="I58" s="631">
        <f t="shared" si="6"/>
        <v>3</v>
      </c>
      <c r="J58" s="631">
        <f t="shared" si="6"/>
        <v>4</v>
      </c>
      <c r="K58" s="631">
        <f t="shared" si="6"/>
        <v>5</v>
      </c>
      <c r="L58" s="632">
        <f t="shared" si="6"/>
        <v>6</v>
      </c>
      <c r="N58" s="287"/>
    </row>
    <row r="59" spans="1:14" hidden="1">
      <c r="A59" s="290">
        <f>ROW()</f>
        <v>59</v>
      </c>
      <c r="F59" s="633">
        <f t="shared" si="6"/>
        <v>2025</v>
      </c>
      <c r="G59" s="633">
        <f t="shared" si="6"/>
        <v>2026</v>
      </c>
      <c r="H59" s="634">
        <f t="shared" si="6"/>
        <v>2027</v>
      </c>
      <c r="I59" s="634">
        <f t="shared" si="6"/>
        <v>2028</v>
      </c>
      <c r="J59" s="634">
        <f t="shared" si="6"/>
        <v>2029</v>
      </c>
      <c r="K59" s="634">
        <f t="shared" si="6"/>
        <v>2030</v>
      </c>
      <c r="L59" s="635">
        <f t="shared" si="6"/>
        <v>2031</v>
      </c>
      <c r="N59" s="287"/>
    </row>
    <row r="60" spans="1:14" hidden="1">
      <c r="A60" s="290">
        <f>ROW()</f>
        <v>60</v>
      </c>
      <c r="D60" s="32" t="s">
        <v>78</v>
      </c>
      <c r="F60" s="627">
        <f t="shared" si="6"/>
        <v>2026</v>
      </c>
      <c r="G60" s="627">
        <f t="shared" si="6"/>
        <v>2027</v>
      </c>
      <c r="H60" s="628">
        <f t="shared" si="6"/>
        <v>2028</v>
      </c>
      <c r="I60" s="628">
        <f t="shared" si="6"/>
        <v>2029</v>
      </c>
      <c r="J60" s="628">
        <f t="shared" si="6"/>
        <v>2030</v>
      </c>
      <c r="K60" s="628">
        <f t="shared" si="6"/>
        <v>2031</v>
      </c>
      <c r="L60" s="629">
        <f t="shared" si="6"/>
        <v>2032</v>
      </c>
      <c r="N60" s="287"/>
    </row>
    <row r="61" spans="1:14" hidden="1">
      <c r="A61" s="290">
        <f>ROW()</f>
        <v>61</v>
      </c>
      <c r="C61" s="32" t="s">
        <v>735</v>
      </c>
      <c r="D61" s="339">
        <f>Levers!B9</f>
        <v>2510</v>
      </c>
      <c r="E61" s="339"/>
      <c r="F61" s="339"/>
      <c r="G61" s="340">
        <f>Levers!D9</f>
        <v>230</v>
      </c>
      <c r="H61" s="340">
        <f>Levers!E9</f>
        <v>310</v>
      </c>
      <c r="I61" s="340">
        <f>Levers!F9</f>
        <v>390</v>
      </c>
      <c r="J61" s="340">
        <f>Levers!G9</f>
        <v>470</v>
      </c>
      <c r="K61" s="340">
        <f>Levers!H9</f>
        <v>550</v>
      </c>
      <c r="L61" s="340">
        <f>Levers!I9</f>
        <v>560</v>
      </c>
      <c r="N61" s="287"/>
    </row>
    <row r="62" spans="1:14" hidden="1">
      <c r="A62" s="290">
        <f>ROW()</f>
        <v>62</v>
      </c>
      <c r="C62" s="32" t="s">
        <v>440</v>
      </c>
      <c r="D62" s="415">
        <f>Levers!B10</f>
        <v>27647590.027435001</v>
      </c>
      <c r="E62" s="415"/>
      <c r="F62" s="415">
        <f>Levers!C10</f>
        <v>0</v>
      </c>
      <c r="G62" s="416">
        <f>Levers!D10</f>
        <v>2405997.25</v>
      </c>
      <c r="H62" s="416">
        <f>Levers!E10</f>
        <v>3392920.8001589999</v>
      </c>
      <c r="I62" s="416">
        <f>Levers!F10</f>
        <v>4291461.1828230005</v>
      </c>
      <c r="J62" s="416">
        <f>Levers!G10</f>
        <v>5190001.5654870002</v>
      </c>
      <c r="K62" s="416">
        <f>Levers!H10</f>
        <v>6088541.9481509998</v>
      </c>
      <c r="L62" s="416">
        <f>Levers!I10</f>
        <v>6278667.2808150006</v>
      </c>
      <c r="N62" s="287"/>
    </row>
    <row r="63" spans="1:14" hidden="1">
      <c r="A63" s="290">
        <f>ROW()</f>
        <v>63</v>
      </c>
      <c r="C63" s="32" t="s">
        <v>736</v>
      </c>
      <c r="D63" s="415">
        <f>Levers!B11</f>
        <v>11014.976106547809</v>
      </c>
      <c r="E63" s="415"/>
      <c r="F63" s="417"/>
      <c r="G63" s="418">
        <f>Levers!D11</f>
        <v>10460.857608695653</v>
      </c>
      <c r="H63" s="418">
        <f>Levers!E11</f>
        <v>10944.905806964516</v>
      </c>
      <c r="I63" s="418">
        <f>Levers!F11</f>
        <v>11003.746622623079</v>
      </c>
      <c r="J63" s="418">
        <f>Levers!G11</f>
        <v>11042.556522312767</v>
      </c>
      <c r="K63" s="418">
        <f>Levers!H11</f>
        <v>11070.076269365454</v>
      </c>
      <c r="L63" s="418">
        <f>Levers!I11</f>
        <v>11211.905858598215</v>
      </c>
      <c r="N63" s="287"/>
    </row>
    <row r="64" spans="1:14" hidden="1">
      <c r="A64" s="290">
        <f>ROW()</f>
        <v>64</v>
      </c>
      <c r="C64" s="32" t="s">
        <v>737</v>
      </c>
      <c r="D64" s="415">
        <f>Levers!B24</f>
        <v>701600</v>
      </c>
      <c r="E64" s="415"/>
      <c r="F64" s="417">
        <f>Levers!C24</f>
        <v>0</v>
      </c>
      <c r="G64" s="418">
        <f>Levers!D24</f>
        <v>237350</v>
      </c>
      <c r="H64" s="418">
        <f>Levers!E24</f>
        <v>110430</v>
      </c>
      <c r="I64" s="418">
        <f>Levers!F24</f>
        <v>95810</v>
      </c>
      <c r="J64" s="418">
        <f>Levers!G24</f>
        <v>101190</v>
      </c>
      <c r="K64" s="418">
        <f>Levers!H24</f>
        <v>94570</v>
      </c>
      <c r="L64" s="418">
        <f>Levers!I24</f>
        <v>62250</v>
      </c>
      <c r="N64" s="287"/>
    </row>
    <row r="65" spans="1:14" hidden="1">
      <c r="A65" s="290">
        <f>ROW()</f>
        <v>65</v>
      </c>
      <c r="C65" s="32" t="s">
        <v>738</v>
      </c>
      <c r="D65" s="415">
        <f>Levers!B25</f>
        <v>279.52191235059763</v>
      </c>
      <c r="E65" s="415"/>
      <c r="F65" s="417"/>
      <c r="G65" s="418">
        <f>Levers!D25</f>
        <v>1031.9565217391305</v>
      </c>
      <c r="H65" s="418">
        <f>Levers!E25</f>
        <v>356.22580645161293</v>
      </c>
      <c r="I65" s="418">
        <f>Levers!F25</f>
        <v>245.66666666666666</v>
      </c>
      <c r="J65" s="418">
        <f>Levers!G25</f>
        <v>215.29787234042553</v>
      </c>
      <c r="K65" s="418">
        <f>Levers!H25</f>
        <v>171.94545454545454</v>
      </c>
      <c r="L65" s="418">
        <f>Levers!I25</f>
        <v>111.16071428571429</v>
      </c>
      <c r="N65" s="287"/>
    </row>
    <row r="66" spans="1:14" ht="29.25" hidden="1" customHeight="1">
      <c r="A66" s="290">
        <f>ROW()</f>
        <v>66</v>
      </c>
      <c r="C66" s="41" t="s">
        <v>739</v>
      </c>
      <c r="D66" s="415">
        <f>Levers!B26</f>
        <v>26945990.027435001</v>
      </c>
      <c r="E66" s="415"/>
      <c r="F66" s="417">
        <f>Levers!C26</f>
        <v>0</v>
      </c>
      <c r="G66" s="418">
        <f>Levers!D26</f>
        <v>2168647.25</v>
      </c>
      <c r="H66" s="418">
        <f>Levers!E26</f>
        <v>3282490.8001589999</v>
      </c>
      <c r="I66" s="418">
        <f>Levers!F26</f>
        <v>4195651.1828230005</v>
      </c>
      <c r="J66" s="418">
        <f>Levers!G26</f>
        <v>5088811.5654870002</v>
      </c>
      <c r="K66" s="418">
        <f>Levers!H26</f>
        <v>5993971.9481509998</v>
      </c>
      <c r="L66" s="418">
        <f>Levers!I26</f>
        <v>6216417.2808150006</v>
      </c>
      <c r="N66" s="287"/>
    </row>
    <row r="67" spans="1:14" ht="29.25" hidden="1" customHeight="1">
      <c r="A67" s="290">
        <f>ROW()</f>
        <v>67</v>
      </c>
      <c r="C67" s="41" t="s">
        <v>740</v>
      </c>
      <c r="D67" s="415">
        <f>Levers!B27</f>
        <v>10735.454194197211</v>
      </c>
      <c r="E67" s="415"/>
      <c r="F67" s="417"/>
      <c r="G67" s="418">
        <f>Levers!D27</f>
        <v>9428.9010869565209</v>
      </c>
      <c r="H67" s="418">
        <f>Levers!E27</f>
        <v>10588.680000512903</v>
      </c>
      <c r="I67" s="418">
        <f>Levers!F27</f>
        <v>10758.079955956411</v>
      </c>
      <c r="J67" s="418">
        <f>Levers!G27</f>
        <v>10827.25864997234</v>
      </c>
      <c r="K67" s="418">
        <f>Levers!H27</f>
        <v>10898.130814820001</v>
      </c>
      <c r="L67" s="418">
        <f>Levers!I27</f>
        <v>11100.745144312501</v>
      </c>
      <c r="N67" s="287"/>
    </row>
    <row r="68" spans="1:14" hidden="1">
      <c r="A68" s="290">
        <f>ROW()</f>
        <v>68</v>
      </c>
      <c r="C68" s="32" t="s">
        <v>450</v>
      </c>
      <c r="D68" s="415">
        <f>Levers!B38</f>
        <v>10253443.322230412</v>
      </c>
      <c r="E68" s="52"/>
      <c r="F68" s="417">
        <f>Levers!C38</f>
        <v>0</v>
      </c>
      <c r="G68" s="418">
        <f>Levers!D38</f>
        <v>327593.02</v>
      </c>
      <c r="H68" s="418">
        <f>Levers!E38</f>
        <v>849238.84515899979</v>
      </c>
      <c r="I68" s="418">
        <f>Levers!F38</f>
        <v>1464828.0503230006</v>
      </c>
      <c r="J68" s="418">
        <f>Levers!G38</f>
        <v>1929999.7021370004</v>
      </c>
      <c r="K68" s="418">
        <f>Levers!H38</f>
        <v>2742626.6616020496</v>
      </c>
      <c r="L68" s="418">
        <f>Levers!I38</f>
        <v>2939157.0430093613</v>
      </c>
      <c r="N68" s="287"/>
    </row>
    <row r="69" spans="1:14" ht="30.75" hidden="1" customHeight="1">
      <c r="A69" s="290">
        <f>ROW()</f>
        <v>69</v>
      </c>
      <c r="C69" s="41" t="s">
        <v>451</v>
      </c>
      <c r="D69" s="415">
        <f>Levers!B39</f>
        <v>4085.0371801714787</v>
      </c>
      <c r="E69" s="52"/>
      <c r="F69" s="417">
        <f>Levers!C39</f>
        <v>0</v>
      </c>
      <c r="G69" s="418">
        <f>Levers!D39</f>
        <v>1424.3174782608696</v>
      </c>
      <c r="H69" s="418">
        <f>Levers!E39</f>
        <v>2739.480145674193</v>
      </c>
      <c r="I69" s="418">
        <f>Levers!F39</f>
        <v>3755.9693598025656</v>
      </c>
      <c r="J69" s="418">
        <f>Levers!G39</f>
        <v>4106.3823449723413</v>
      </c>
      <c r="K69" s="418">
        <f>Levers!H39</f>
        <v>4986.5939301855451</v>
      </c>
      <c r="L69" s="418">
        <f>Levers!I39</f>
        <v>5248.494719659574</v>
      </c>
      <c r="N69" s="287"/>
    </row>
  </sheetData>
  <sheetProtection sheet="1" objects="1" scenarios="1"/>
  <mergeCells count="4">
    <mergeCell ref="F2:L2"/>
    <mergeCell ref="F3:L3"/>
    <mergeCell ref="F4:L4"/>
    <mergeCell ref="A1:B1"/>
  </mergeCells>
  <phoneticPr fontId="7" type="noConversion"/>
  <conditionalFormatting sqref="D1">
    <cfRule type="expression" dxfId="30" priority="3" stopIfTrue="1">
      <formula>MOD(ROW(),2)=0</formula>
    </cfRule>
  </conditionalFormatting>
  <conditionalFormatting sqref="O1:Z1">
    <cfRule type="cellIs" dxfId="29" priority="2" stopIfTrue="1" operator="equal">
      <formula>0</formula>
    </cfRule>
  </conditionalFormatting>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99"/>
  </sheetPr>
  <dimension ref="A1:P47"/>
  <sheetViews>
    <sheetView zoomScale="65" workbookViewId="0">
      <selection activeCell="M28" sqref="M28"/>
    </sheetView>
  </sheetViews>
  <sheetFormatPr defaultColWidth="8.6640625" defaultRowHeight="13.8"/>
  <cols>
    <col min="1" max="1" width="6.6640625" style="32" bestFit="1" customWidth="1"/>
    <col min="2" max="2" width="29.33203125" style="32" customWidth="1"/>
    <col min="3" max="3" width="12.5546875" style="32" customWidth="1"/>
    <col min="4" max="4" width="9.44140625" style="32" customWidth="1"/>
    <col min="5" max="5" width="7.33203125" style="32" customWidth="1"/>
    <col min="6" max="6" width="10.44140625" style="32" customWidth="1"/>
    <col min="7" max="7" width="11" style="32" customWidth="1"/>
    <col min="8" max="14" width="14.6640625" style="32" customWidth="1"/>
    <col min="15" max="15" width="3.44140625" style="32" customWidth="1"/>
    <col min="16" max="16" width="76.5546875" style="257" customWidth="1"/>
    <col min="17" max="18" width="10.5546875" style="32" bestFit="1" customWidth="1"/>
    <col min="19" max="19" width="20.33203125" style="32" customWidth="1"/>
    <col min="20" max="16384" width="8.6640625" style="32"/>
  </cols>
  <sheetData>
    <row r="1" spans="1:16" ht="24" customHeight="1">
      <c r="A1" s="1858" t="s">
        <v>769</v>
      </c>
      <c r="B1" s="1858"/>
      <c r="C1" s="1858"/>
      <c r="D1" s="1858"/>
      <c r="E1" s="60"/>
      <c r="F1" s="221"/>
      <c r="G1" s="347"/>
    </row>
    <row r="2" spans="1:16" ht="15.6">
      <c r="A2" s="35" t="str">
        <f>SchoolName</f>
        <v>Game Changers Sports Academy</v>
      </c>
      <c r="B2" s="36"/>
      <c r="C2" s="35"/>
      <c r="D2" s="36"/>
      <c r="E2" s="60"/>
      <c r="F2" s="31"/>
    </row>
    <row r="3" spans="1:16">
      <c r="A3" s="37"/>
    </row>
    <row r="4" spans="1:16">
      <c r="A4" s="38"/>
    </row>
    <row r="5" spans="1:16">
      <c r="A5" s="29"/>
    </row>
    <row r="7" spans="1:16">
      <c r="A7" s="59"/>
      <c r="B7" s="30"/>
    </row>
    <row r="8" spans="1:16">
      <c r="A8" s="59"/>
      <c r="B8" s="30"/>
    </row>
    <row r="9" spans="1:16">
      <c r="A9" s="59"/>
      <c r="B9" s="30"/>
    </row>
    <row r="10" spans="1:16">
      <c r="A10" s="59"/>
      <c r="H10" s="1307"/>
      <c r="I10" s="1307"/>
      <c r="J10" s="58"/>
      <c r="K10" s="58"/>
      <c r="L10" s="58"/>
      <c r="M10" s="58"/>
      <c r="N10" s="58"/>
      <c r="P10" s="1425" t="s">
        <v>1253</v>
      </c>
    </row>
    <row r="11" spans="1:16">
      <c r="A11" s="59"/>
      <c r="H11" s="1750">
        <v>0</v>
      </c>
      <c r="I11" s="1743" t="s">
        <v>594</v>
      </c>
      <c r="J11" s="1741" t="s">
        <v>595</v>
      </c>
      <c r="K11" s="1741" t="s">
        <v>596</v>
      </c>
      <c r="L11" s="1741" t="s">
        <v>597</v>
      </c>
      <c r="M11" s="1741" t="s">
        <v>598</v>
      </c>
      <c r="N11" s="1744" t="s">
        <v>599</v>
      </c>
      <c r="P11" s="394"/>
    </row>
    <row r="12" spans="1:16" ht="15.6">
      <c r="A12" s="412"/>
      <c r="F12" s="61"/>
      <c r="G12" s="61"/>
      <c r="H12" s="1751">
        <f>+I12-1</f>
        <v>2025</v>
      </c>
      <c r="I12" s="1752">
        <f>'Cover &amp; Loc'!C11</f>
        <v>2026</v>
      </c>
      <c r="J12" s="1753">
        <f>+I13</f>
        <v>2027</v>
      </c>
      <c r="K12" s="1753">
        <f>+J13</f>
        <v>2028</v>
      </c>
      <c r="L12" s="1753">
        <f>+K13</f>
        <v>2029</v>
      </c>
      <c r="M12" s="1753">
        <f>+L13</f>
        <v>2030</v>
      </c>
      <c r="N12" s="1754">
        <f>+M13</f>
        <v>2031</v>
      </c>
      <c r="P12" s="287"/>
    </row>
    <row r="13" spans="1:16" ht="15.6">
      <c r="A13" s="412"/>
      <c r="F13" s="62"/>
      <c r="G13" s="62"/>
      <c r="H13" s="1755">
        <f>+I13-1</f>
        <v>2026</v>
      </c>
      <c r="I13" s="1755">
        <f t="shared" ref="I13:N13" si="0">+I12+1</f>
        <v>2027</v>
      </c>
      <c r="J13" s="1756">
        <f t="shared" si="0"/>
        <v>2028</v>
      </c>
      <c r="K13" s="1756">
        <f t="shared" si="0"/>
        <v>2029</v>
      </c>
      <c r="L13" s="1756">
        <f t="shared" si="0"/>
        <v>2030</v>
      </c>
      <c r="M13" s="1756">
        <f t="shared" si="0"/>
        <v>2031</v>
      </c>
      <c r="N13" s="1757">
        <f t="shared" si="0"/>
        <v>2032</v>
      </c>
      <c r="P13" s="287"/>
    </row>
    <row r="14" spans="1:16" ht="17.399999999999999">
      <c r="A14" s="412">
        <f>ROW()</f>
        <v>14</v>
      </c>
      <c r="B14" s="72" t="s">
        <v>211</v>
      </c>
      <c r="C14" s="1297"/>
      <c r="F14" s="61"/>
      <c r="G14" s="61"/>
      <c r="H14" s="207"/>
      <c r="I14" s="208"/>
      <c r="J14" s="208"/>
      <c r="K14" s="208"/>
      <c r="L14" s="208"/>
      <c r="M14" s="208"/>
      <c r="N14" s="208"/>
      <c r="P14" s="287"/>
    </row>
    <row r="15" spans="1:16">
      <c r="A15" s="412">
        <f>ROW()</f>
        <v>15</v>
      </c>
      <c r="B15" s="32" t="s">
        <v>212</v>
      </c>
      <c r="C15" s="86"/>
      <c r="H15" s="724">
        <v>0</v>
      </c>
      <c r="I15" s="422">
        <f t="shared" ref="I15:N15" si="1">COUNTIF(I18:I30,"&gt;0")</f>
        <v>3</v>
      </c>
      <c r="J15" s="422">
        <f t="shared" si="1"/>
        <v>4</v>
      </c>
      <c r="K15" s="422">
        <f t="shared" si="1"/>
        <v>5</v>
      </c>
      <c r="L15" s="422">
        <f t="shared" si="1"/>
        <v>6</v>
      </c>
      <c r="M15" s="422">
        <f t="shared" si="1"/>
        <v>7</v>
      </c>
      <c r="N15" s="422">
        <f t="shared" si="1"/>
        <v>7</v>
      </c>
      <c r="P15" s="287"/>
    </row>
    <row r="16" spans="1:16">
      <c r="A16" s="412">
        <f>ROW()</f>
        <v>16</v>
      </c>
      <c r="B16" s="58" t="s">
        <v>213</v>
      </c>
      <c r="C16" s="1298"/>
      <c r="D16" s="58"/>
      <c r="E16" s="58"/>
      <c r="F16" s="58"/>
      <c r="G16" s="58"/>
      <c r="H16" s="690">
        <v>0</v>
      </c>
      <c r="I16" s="422">
        <f>+' Enrol &amp; Rev'!G19</f>
        <v>11.5</v>
      </c>
      <c r="J16" s="422">
        <f>+' Enrol &amp; Rev'!H19</f>
        <v>15.5</v>
      </c>
      <c r="K16" s="422">
        <f>+' Enrol &amp; Rev'!I19</f>
        <v>19.5</v>
      </c>
      <c r="L16" s="422">
        <f>+' Enrol &amp; Rev'!J19</f>
        <v>23.5</v>
      </c>
      <c r="M16" s="422">
        <f>+' Enrol &amp; Rev'!K19</f>
        <v>27.5</v>
      </c>
      <c r="N16" s="422">
        <f>+' Enrol &amp; Rev'!L19</f>
        <v>28</v>
      </c>
      <c r="P16" s="287"/>
    </row>
    <row r="17" spans="1:16">
      <c r="A17" s="412">
        <f>ROW()</f>
        <v>17</v>
      </c>
      <c r="B17" s="39"/>
      <c r="C17" s="973"/>
      <c r="D17" s="256"/>
      <c r="E17" s="256"/>
      <c r="F17" s="220"/>
      <c r="G17" s="220"/>
      <c r="H17" s="220"/>
      <c r="I17" s="220"/>
      <c r="J17" s="220"/>
      <c r="K17" s="220"/>
      <c r="L17" s="220"/>
      <c r="M17" s="220"/>
      <c r="N17" s="220"/>
      <c r="P17" s="287"/>
    </row>
    <row r="18" spans="1:16">
      <c r="A18" s="412">
        <f>ROW()</f>
        <v>18</v>
      </c>
      <c r="B18" s="104" t="s">
        <v>214</v>
      </c>
      <c r="C18" s="86"/>
      <c r="H18" s="687"/>
      <c r="I18" s="513">
        <f>+'Mkt Res'!E14</f>
        <v>0</v>
      </c>
      <c r="J18" s="513">
        <f>+'Mkt Res'!F14</f>
        <v>0</v>
      </c>
      <c r="K18" s="513">
        <f>+'Mkt Res'!G14</f>
        <v>0</v>
      </c>
      <c r="L18" s="513">
        <f>+'Mkt Res'!H14</f>
        <v>0</v>
      </c>
      <c r="M18" s="513">
        <f>+'Mkt Res'!I14</f>
        <v>0</v>
      </c>
      <c r="N18" s="513">
        <f>+'Mkt Res'!J14</f>
        <v>0</v>
      </c>
      <c r="P18" s="287"/>
    </row>
    <row r="19" spans="1:16">
      <c r="A19" s="412">
        <f>ROW()</f>
        <v>19</v>
      </c>
      <c r="B19" s="64" t="s">
        <v>215</v>
      </c>
      <c r="C19" s="65"/>
      <c r="D19" s="64"/>
      <c r="E19" s="64"/>
      <c r="F19" s="66"/>
      <c r="G19" s="66"/>
      <c r="H19" s="688"/>
      <c r="I19" s="512">
        <f>+'Mkt Res'!E15</f>
        <v>0</v>
      </c>
      <c r="J19" s="512">
        <f>+'Mkt Res'!F15</f>
        <v>0</v>
      </c>
      <c r="K19" s="512">
        <f>+'Mkt Res'!G15</f>
        <v>0</v>
      </c>
      <c r="L19" s="512">
        <f>+'Mkt Res'!H15</f>
        <v>0</v>
      </c>
      <c r="M19" s="512">
        <f>+'Mkt Res'!I15</f>
        <v>0</v>
      </c>
      <c r="N19" s="512">
        <f>+'Mkt Res'!J15</f>
        <v>0</v>
      </c>
      <c r="P19" s="287"/>
    </row>
    <row r="20" spans="1:16">
      <c r="A20" s="412">
        <f>ROW()</f>
        <v>20</v>
      </c>
      <c r="B20" s="64" t="s">
        <v>216</v>
      </c>
      <c r="C20" s="65"/>
      <c r="D20" s="64"/>
      <c r="E20" s="64"/>
      <c r="F20" s="66"/>
      <c r="G20" s="66"/>
      <c r="H20" s="688"/>
      <c r="I20" s="512">
        <f>+'Mkt Res'!E16</f>
        <v>0</v>
      </c>
      <c r="J20" s="512">
        <f>+'Mkt Res'!F16</f>
        <v>0</v>
      </c>
      <c r="K20" s="512">
        <f>+'Mkt Res'!G16</f>
        <v>0</v>
      </c>
      <c r="L20" s="512">
        <f>+'Mkt Res'!H16</f>
        <v>0</v>
      </c>
      <c r="M20" s="512">
        <f>+'Mkt Res'!I16</f>
        <v>0</v>
      </c>
      <c r="N20" s="512">
        <f>+'Mkt Res'!J16</f>
        <v>0</v>
      </c>
      <c r="P20" s="287"/>
    </row>
    <row r="21" spans="1:16">
      <c r="A21" s="412">
        <f>ROW()</f>
        <v>21</v>
      </c>
      <c r="B21" s="64" t="s">
        <v>217</v>
      </c>
      <c r="C21" s="65"/>
      <c r="D21" s="64"/>
      <c r="E21" s="64"/>
      <c r="F21" s="66"/>
      <c r="G21" s="66"/>
      <c r="H21" s="688"/>
      <c r="I21" s="512">
        <f>+'Mkt Res'!E17</f>
        <v>0</v>
      </c>
      <c r="J21" s="512">
        <f>+'Mkt Res'!F17</f>
        <v>0</v>
      </c>
      <c r="K21" s="512">
        <f>+'Mkt Res'!G17</f>
        <v>0</v>
      </c>
      <c r="L21" s="512">
        <f>+'Mkt Res'!H17</f>
        <v>0</v>
      </c>
      <c r="M21" s="512">
        <f>+'Mkt Res'!I17</f>
        <v>0</v>
      </c>
      <c r="N21" s="512">
        <f>+'Mkt Res'!J17</f>
        <v>0</v>
      </c>
      <c r="P21" s="287"/>
    </row>
    <row r="22" spans="1:16">
      <c r="A22" s="412">
        <f>ROW()</f>
        <v>22</v>
      </c>
      <c r="B22" s="64" t="s">
        <v>218</v>
      </c>
      <c r="C22" s="65"/>
      <c r="D22" s="64"/>
      <c r="E22" s="64"/>
      <c r="F22" s="66"/>
      <c r="G22" s="66"/>
      <c r="H22" s="688"/>
      <c r="I22" s="512">
        <f>+'Mkt Res'!E18</f>
        <v>0</v>
      </c>
      <c r="J22" s="512">
        <f>+'Mkt Res'!F18</f>
        <v>0</v>
      </c>
      <c r="K22" s="512">
        <f>+'Mkt Res'!G18</f>
        <v>0</v>
      </c>
      <c r="L22" s="512">
        <f>+'Mkt Res'!H18</f>
        <v>0</v>
      </c>
      <c r="M22" s="512">
        <f>+'Mkt Res'!I18</f>
        <v>0</v>
      </c>
      <c r="N22" s="512">
        <f>+'Mkt Res'!J18</f>
        <v>0</v>
      </c>
      <c r="P22" s="287"/>
    </row>
    <row r="23" spans="1:16">
      <c r="A23" s="412">
        <f>ROW()</f>
        <v>23</v>
      </c>
      <c r="B23" s="64" t="s">
        <v>219</v>
      </c>
      <c r="C23" s="65"/>
      <c r="D23" s="64"/>
      <c r="E23" s="64"/>
      <c r="F23" s="66"/>
      <c r="G23" s="66"/>
      <c r="H23" s="688"/>
      <c r="I23" s="512">
        <f>+'Mkt Res'!E19</f>
        <v>0</v>
      </c>
      <c r="J23" s="512">
        <f>+'Mkt Res'!F19</f>
        <v>0</v>
      </c>
      <c r="K23" s="512">
        <f>+'Mkt Res'!G19</f>
        <v>0</v>
      </c>
      <c r="L23" s="512">
        <f>+'Mkt Res'!H19</f>
        <v>0</v>
      </c>
      <c r="M23" s="512">
        <f>+'Mkt Res'!I19</f>
        <v>0</v>
      </c>
      <c r="N23" s="512">
        <f>+'Mkt Res'!J19</f>
        <v>0</v>
      </c>
      <c r="P23" s="287"/>
    </row>
    <row r="24" spans="1:16">
      <c r="A24" s="412">
        <f>ROW()</f>
        <v>24</v>
      </c>
      <c r="B24" s="64" t="s">
        <v>220</v>
      </c>
      <c r="C24" s="65"/>
      <c r="D24" s="64"/>
      <c r="E24" s="64"/>
      <c r="F24" s="66"/>
      <c r="G24" s="66"/>
      <c r="H24" s="688"/>
      <c r="I24" s="512">
        <f>+'Mkt Res'!E20</f>
        <v>80</v>
      </c>
      <c r="J24" s="512">
        <f>+'Mkt Res'!F20</f>
        <v>80</v>
      </c>
      <c r="K24" s="512">
        <f>+'Mkt Res'!G20</f>
        <v>80</v>
      </c>
      <c r="L24" s="512">
        <f>+'Mkt Res'!H20</f>
        <v>80</v>
      </c>
      <c r="M24" s="512">
        <f>+'Mkt Res'!I20</f>
        <v>80</v>
      </c>
      <c r="N24" s="512">
        <f>+'Mkt Res'!J20</f>
        <v>80</v>
      </c>
      <c r="P24" s="287"/>
    </row>
    <row r="25" spans="1:16">
      <c r="A25" s="412">
        <f>ROW()</f>
        <v>25</v>
      </c>
      <c r="B25" s="64" t="s">
        <v>221</v>
      </c>
      <c r="C25" s="65"/>
      <c r="D25" s="64"/>
      <c r="E25" s="64"/>
      <c r="F25" s="66"/>
      <c r="G25" s="66"/>
      <c r="H25" s="688"/>
      <c r="I25" s="512">
        <f>+'Mkt Res'!E21</f>
        <v>80</v>
      </c>
      <c r="J25" s="512">
        <f>+'Mkt Res'!F21</f>
        <v>80</v>
      </c>
      <c r="K25" s="512">
        <f>+'Mkt Res'!G21</f>
        <v>80</v>
      </c>
      <c r="L25" s="512">
        <f>+'Mkt Res'!H21</f>
        <v>80</v>
      </c>
      <c r="M25" s="512">
        <f>+'Mkt Res'!I21</f>
        <v>80</v>
      </c>
      <c r="N25" s="512">
        <f>+'Mkt Res'!J21</f>
        <v>80</v>
      </c>
      <c r="P25" s="287"/>
    </row>
    <row r="26" spans="1:16">
      <c r="A26" s="412">
        <f>ROW()</f>
        <v>26</v>
      </c>
      <c r="B26" s="64" t="s">
        <v>222</v>
      </c>
      <c r="C26" s="65"/>
      <c r="D26" s="64"/>
      <c r="E26" s="64"/>
      <c r="F26" s="66"/>
      <c r="G26" s="66"/>
      <c r="H26" s="688"/>
      <c r="I26" s="512">
        <f>+'Mkt Res'!E22</f>
        <v>70</v>
      </c>
      <c r="J26" s="512">
        <f>+'Mkt Res'!F22</f>
        <v>80</v>
      </c>
      <c r="K26" s="512">
        <f>+'Mkt Res'!G22</f>
        <v>80</v>
      </c>
      <c r="L26" s="512">
        <f>+'Mkt Res'!H22</f>
        <v>80</v>
      </c>
      <c r="M26" s="512">
        <f>+'Mkt Res'!I22</f>
        <v>80</v>
      </c>
      <c r="N26" s="512">
        <f>+'Mkt Res'!J22</f>
        <v>80</v>
      </c>
      <c r="P26" s="287"/>
    </row>
    <row r="27" spans="1:16">
      <c r="A27" s="412">
        <f>ROW()</f>
        <v>27</v>
      </c>
      <c r="B27" s="64" t="s">
        <v>223</v>
      </c>
      <c r="C27" s="65"/>
      <c r="D27" s="64"/>
      <c r="E27" s="64"/>
      <c r="F27" s="66"/>
      <c r="G27" s="66"/>
      <c r="H27" s="688"/>
      <c r="I27" s="512">
        <f>+'Mkt Res'!E23</f>
        <v>0</v>
      </c>
      <c r="J27" s="512">
        <f>+'Mkt Res'!F23</f>
        <v>70</v>
      </c>
      <c r="K27" s="512">
        <f>+'Mkt Res'!G23</f>
        <v>80</v>
      </c>
      <c r="L27" s="512">
        <f>+'Mkt Res'!H23</f>
        <v>80</v>
      </c>
      <c r="M27" s="512">
        <f>+'Mkt Res'!I23</f>
        <v>80</v>
      </c>
      <c r="N27" s="512">
        <f>+'Mkt Res'!J23</f>
        <v>80</v>
      </c>
      <c r="P27" s="287"/>
    </row>
    <row r="28" spans="1:16">
      <c r="A28" s="412">
        <f>ROW()</f>
        <v>28</v>
      </c>
      <c r="B28" s="64" t="s">
        <v>224</v>
      </c>
      <c r="C28" s="65"/>
      <c r="D28" s="64"/>
      <c r="E28" s="64"/>
      <c r="F28" s="66"/>
      <c r="G28" s="66"/>
      <c r="H28" s="688"/>
      <c r="I28" s="512">
        <f>+'Mkt Res'!E24</f>
        <v>0</v>
      </c>
      <c r="J28" s="512">
        <f>+'Mkt Res'!F24</f>
        <v>0</v>
      </c>
      <c r="K28" s="512">
        <f>+'Mkt Res'!G24</f>
        <v>70</v>
      </c>
      <c r="L28" s="512">
        <f>+'Mkt Res'!H24</f>
        <v>80</v>
      </c>
      <c r="M28" s="512">
        <f>+'Mkt Res'!I24</f>
        <v>80</v>
      </c>
      <c r="N28" s="512">
        <f>+'Mkt Res'!J24</f>
        <v>80</v>
      </c>
      <c r="P28" s="287"/>
    </row>
    <row r="29" spans="1:16">
      <c r="A29" s="412">
        <f>ROW()</f>
        <v>29</v>
      </c>
      <c r="B29" s="64" t="s">
        <v>225</v>
      </c>
      <c r="C29" s="65"/>
      <c r="D29" s="64"/>
      <c r="E29" s="64"/>
      <c r="F29" s="66"/>
      <c r="G29" s="66"/>
      <c r="H29" s="688"/>
      <c r="I29" s="512">
        <f>+'Mkt Res'!E25</f>
        <v>0</v>
      </c>
      <c r="J29" s="512">
        <f>+'Mkt Res'!F25</f>
        <v>0</v>
      </c>
      <c r="K29" s="512">
        <f>+'Mkt Res'!G25</f>
        <v>0</v>
      </c>
      <c r="L29" s="512">
        <f>+'Mkt Res'!H25</f>
        <v>70</v>
      </c>
      <c r="M29" s="512">
        <f>+'Mkt Res'!I25</f>
        <v>80</v>
      </c>
      <c r="N29" s="512">
        <f>+'Mkt Res'!J25</f>
        <v>80</v>
      </c>
      <c r="P29" s="287"/>
    </row>
    <row r="30" spans="1:16">
      <c r="A30" s="412">
        <f>ROW()</f>
        <v>30</v>
      </c>
      <c r="B30" s="64" t="s">
        <v>226</v>
      </c>
      <c r="C30" s="65"/>
      <c r="D30" s="64"/>
      <c r="E30" s="64"/>
      <c r="F30" s="66"/>
      <c r="G30" s="58"/>
      <c r="H30" s="689"/>
      <c r="I30" s="514">
        <f>+'Mkt Res'!E26</f>
        <v>0</v>
      </c>
      <c r="J30" s="514">
        <f>+'Mkt Res'!F26</f>
        <v>0</v>
      </c>
      <c r="K30" s="514">
        <f>+'Mkt Res'!G26</f>
        <v>0</v>
      </c>
      <c r="L30" s="514">
        <f>+'Mkt Res'!H26</f>
        <v>0</v>
      </c>
      <c r="M30" s="514">
        <f>+'Mkt Res'!I26</f>
        <v>70</v>
      </c>
      <c r="N30" s="514">
        <f>+'Mkt Res'!J26</f>
        <v>80</v>
      </c>
      <c r="P30" s="287"/>
    </row>
    <row r="31" spans="1:16">
      <c r="A31" s="412">
        <f>ROW()</f>
        <v>31</v>
      </c>
      <c r="B31" s="143" t="s">
        <v>227</v>
      </c>
      <c r="C31" s="974"/>
      <c r="D31" s="974"/>
      <c r="E31" s="974"/>
      <c r="F31" s="974"/>
      <c r="G31" s="68"/>
      <c r="H31" s="90"/>
      <c r="I31" s="152">
        <f t="shared" ref="I31:N31" si="2">SUM(I18:I30)</f>
        <v>230</v>
      </c>
      <c r="J31" s="152">
        <f t="shared" si="2"/>
        <v>310</v>
      </c>
      <c r="K31" s="152">
        <f t="shared" si="2"/>
        <v>390</v>
      </c>
      <c r="L31" s="152">
        <f t="shared" si="2"/>
        <v>470</v>
      </c>
      <c r="M31" s="152">
        <f t="shared" si="2"/>
        <v>550</v>
      </c>
      <c r="N31" s="152">
        <f t="shared" si="2"/>
        <v>560</v>
      </c>
      <c r="P31" s="287"/>
    </row>
    <row r="32" spans="1:16">
      <c r="A32" s="412">
        <f>ROW()</f>
        <v>32</v>
      </c>
      <c r="B32" s="39" t="s">
        <v>228</v>
      </c>
      <c r="C32" s="39"/>
      <c r="D32" s="39"/>
      <c r="E32" s="39"/>
      <c r="H32" s="153"/>
      <c r="I32" s="103">
        <f>IFERROR(I31/I16,0)</f>
        <v>20</v>
      </c>
      <c r="J32" s="103">
        <f t="shared" ref="J32:N32" si="3">IFERROR(J31/J16,0)</f>
        <v>20</v>
      </c>
      <c r="K32" s="103">
        <f t="shared" si="3"/>
        <v>20</v>
      </c>
      <c r="L32" s="103">
        <f t="shared" si="3"/>
        <v>20</v>
      </c>
      <c r="M32" s="103">
        <f t="shared" si="3"/>
        <v>20</v>
      </c>
      <c r="N32" s="103">
        <f t="shared" si="3"/>
        <v>20</v>
      </c>
      <c r="P32" s="287"/>
    </row>
    <row r="33" spans="1:16">
      <c r="A33" s="412">
        <f>ROW()</f>
        <v>33</v>
      </c>
      <c r="P33" s="287"/>
    </row>
    <row r="34" spans="1:16" ht="17.399999999999999">
      <c r="A34" s="412">
        <f>ROW()</f>
        <v>34</v>
      </c>
      <c r="B34" s="1857" t="s">
        <v>770</v>
      </c>
      <c r="C34" s="1857"/>
      <c r="D34" s="1857"/>
      <c r="E34" s="1857"/>
      <c r="F34" s="1857"/>
      <c r="G34" s="1745"/>
      <c r="H34" s="1711"/>
      <c r="I34" s="1711"/>
      <c r="J34" s="1711"/>
      <c r="K34" s="1711"/>
      <c r="L34" s="1711"/>
      <c r="M34" s="1711"/>
      <c r="N34" s="1711"/>
      <c r="P34" s="287"/>
    </row>
    <row r="35" spans="1:16">
      <c r="A35" s="412">
        <f>ROW()</f>
        <v>35</v>
      </c>
      <c r="B35" s="1502" t="s">
        <v>771</v>
      </c>
      <c r="C35" s="1502" t="s">
        <v>1299</v>
      </c>
      <c r="D35" s="1502"/>
      <c r="E35" s="1502"/>
      <c r="F35" s="1502"/>
      <c r="G35" s="1748" t="s">
        <v>244</v>
      </c>
      <c r="H35" s="1749">
        <f>H13</f>
        <v>2026</v>
      </c>
      <c r="I35" s="1749">
        <f t="shared" ref="I35:N35" si="4">I13</f>
        <v>2027</v>
      </c>
      <c r="J35" s="1749">
        <f t="shared" si="4"/>
        <v>2028</v>
      </c>
      <c r="K35" s="1749">
        <f t="shared" si="4"/>
        <v>2029</v>
      </c>
      <c r="L35" s="1749">
        <f t="shared" si="4"/>
        <v>2030</v>
      </c>
      <c r="M35" s="1749">
        <f t="shared" si="4"/>
        <v>2031</v>
      </c>
      <c r="N35" s="1749">
        <f t="shared" si="4"/>
        <v>2032</v>
      </c>
      <c r="P35" s="287"/>
    </row>
    <row r="36" spans="1:16">
      <c r="A36" s="412">
        <f>ROW()</f>
        <v>36</v>
      </c>
      <c r="B36" s="521"/>
      <c r="C36" s="521"/>
      <c r="D36" s="521"/>
      <c r="E36" s="521"/>
      <c r="F36" s="521"/>
      <c r="G36" s="1179">
        <f>SUM(H36:N36)</f>
        <v>0</v>
      </c>
      <c r="H36" s="222">
        <v>0</v>
      </c>
      <c r="I36" s="222">
        <v>0</v>
      </c>
      <c r="J36" s="222">
        <v>0</v>
      </c>
      <c r="K36" s="222">
        <v>0</v>
      </c>
      <c r="L36" s="222">
        <v>0</v>
      </c>
      <c r="M36" s="222">
        <v>0</v>
      </c>
      <c r="N36" s="222">
        <v>0</v>
      </c>
      <c r="P36" s="287"/>
    </row>
    <row r="37" spans="1:16">
      <c r="A37" s="412">
        <f>ROW()</f>
        <v>37</v>
      </c>
      <c r="B37" s="1309"/>
      <c r="C37" s="1309"/>
      <c r="D37" s="1309"/>
      <c r="E37" s="1309"/>
      <c r="F37" s="1309"/>
      <c r="G37" s="1180">
        <f t="shared" ref="G37:G43" si="5">SUM(H37:N37)</f>
        <v>0</v>
      </c>
      <c r="H37" s="223">
        <v>0</v>
      </c>
      <c r="I37" s="223">
        <v>0</v>
      </c>
      <c r="J37" s="223">
        <v>0</v>
      </c>
      <c r="K37" s="223">
        <v>0</v>
      </c>
      <c r="L37" s="223">
        <v>0</v>
      </c>
      <c r="M37" s="223">
        <v>0</v>
      </c>
      <c r="N37" s="223">
        <v>0</v>
      </c>
      <c r="P37" s="287"/>
    </row>
    <row r="38" spans="1:16">
      <c r="A38" s="412">
        <f>ROW()</f>
        <v>38</v>
      </c>
      <c r="B38" s="1309"/>
      <c r="C38" s="1309"/>
      <c r="D38" s="1309"/>
      <c r="E38" s="1309"/>
      <c r="F38" s="1309"/>
      <c r="G38" s="1180">
        <f t="shared" si="5"/>
        <v>0</v>
      </c>
      <c r="H38" s="223">
        <v>0</v>
      </c>
      <c r="I38" s="223">
        <v>0</v>
      </c>
      <c r="J38" s="223">
        <v>0</v>
      </c>
      <c r="K38" s="223">
        <v>0</v>
      </c>
      <c r="L38" s="223">
        <v>0</v>
      </c>
      <c r="M38" s="223">
        <v>0</v>
      </c>
      <c r="N38" s="223">
        <v>0</v>
      </c>
      <c r="P38" s="287"/>
    </row>
    <row r="39" spans="1:16">
      <c r="A39" s="412">
        <f>ROW()</f>
        <v>39</v>
      </c>
      <c r="B39" s="1309"/>
      <c r="C39" s="1309"/>
      <c r="D39" s="1309"/>
      <c r="E39" s="1309"/>
      <c r="F39" s="1309"/>
      <c r="G39" s="1180">
        <f t="shared" si="5"/>
        <v>0</v>
      </c>
      <c r="H39" s="223">
        <v>0</v>
      </c>
      <c r="I39" s="223">
        <v>0</v>
      </c>
      <c r="J39" s="223">
        <v>0</v>
      </c>
      <c r="K39" s="223">
        <v>0</v>
      </c>
      <c r="L39" s="223">
        <v>0</v>
      </c>
      <c r="M39" s="223">
        <v>0</v>
      </c>
      <c r="N39" s="223">
        <v>0</v>
      </c>
      <c r="P39" s="287"/>
    </row>
    <row r="40" spans="1:16">
      <c r="A40" s="412">
        <f>ROW()</f>
        <v>40</v>
      </c>
      <c r="B40" s="1309"/>
      <c r="C40" s="1309"/>
      <c r="D40" s="1309"/>
      <c r="E40" s="1309"/>
      <c r="F40" s="1309"/>
      <c r="G40" s="1180">
        <f t="shared" si="5"/>
        <v>0</v>
      </c>
      <c r="H40" s="223">
        <v>0</v>
      </c>
      <c r="I40" s="223">
        <v>0</v>
      </c>
      <c r="J40" s="223">
        <v>0</v>
      </c>
      <c r="K40" s="223">
        <v>0</v>
      </c>
      <c r="L40" s="223">
        <v>0</v>
      </c>
      <c r="M40" s="223">
        <v>0</v>
      </c>
      <c r="N40" s="223">
        <v>0</v>
      </c>
      <c r="P40" s="287"/>
    </row>
    <row r="41" spans="1:16">
      <c r="A41" s="412">
        <f>ROW()</f>
        <v>41</v>
      </c>
      <c r="B41" s="1309"/>
      <c r="C41" s="1309"/>
      <c r="D41" s="1309"/>
      <c r="E41" s="1309"/>
      <c r="F41" s="1309"/>
      <c r="G41" s="1180">
        <f t="shared" si="5"/>
        <v>0</v>
      </c>
      <c r="H41" s="223">
        <v>0</v>
      </c>
      <c r="I41" s="223">
        <v>0</v>
      </c>
      <c r="J41" s="223">
        <v>0</v>
      </c>
      <c r="K41" s="223">
        <v>0</v>
      </c>
      <c r="L41" s="223">
        <v>0</v>
      </c>
      <c r="M41" s="223">
        <v>0</v>
      </c>
      <c r="N41" s="223">
        <v>0</v>
      </c>
      <c r="P41" s="287"/>
    </row>
    <row r="42" spans="1:16">
      <c r="A42" s="412">
        <f>ROW()</f>
        <v>42</v>
      </c>
      <c r="B42" s="1309"/>
      <c r="C42" s="1309"/>
      <c r="D42" s="1309"/>
      <c r="E42" s="1309"/>
      <c r="F42" s="1309"/>
      <c r="G42" s="1180">
        <f t="shared" si="5"/>
        <v>0</v>
      </c>
      <c r="H42" s="223">
        <v>0</v>
      </c>
      <c r="I42" s="223">
        <v>0</v>
      </c>
      <c r="J42" s="223">
        <v>0</v>
      </c>
      <c r="K42" s="223">
        <v>0</v>
      </c>
      <c r="L42" s="223">
        <v>0</v>
      </c>
      <c r="M42" s="223">
        <v>0</v>
      </c>
      <c r="N42" s="223">
        <v>0</v>
      </c>
      <c r="P42" s="287"/>
    </row>
    <row r="43" spans="1:16">
      <c r="A43" s="412">
        <f>ROW()</f>
        <v>43</v>
      </c>
      <c r="B43" s="520"/>
      <c r="C43" s="520"/>
      <c r="D43" s="520"/>
      <c r="E43" s="520"/>
      <c r="F43" s="520"/>
      <c r="G43" s="1181">
        <f t="shared" si="5"/>
        <v>0</v>
      </c>
      <c r="H43" s="224">
        <v>0</v>
      </c>
      <c r="I43" s="224">
        <v>0</v>
      </c>
      <c r="J43" s="224">
        <v>0</v>
      </c>
      <c r="K43" s="224">
        <v>0</v>
      </c>
      <c r="L43" s="224">
        <v>0</v>
      </c>
      <c r="M43" s="224">
        <v>0</v>
      </c>
      <c r="N43" s="224">
        <v>0</v>
      </c>
      <c r="P43" s="287"/>
    </row>
    <row r="44" spans="1:16">
      <c r="A44" s="412">
        <f>ROW()</f>
        <v>44</v>
      </c>
      <c r="B44" s="32" t="s">
        <v>772</v>
      </c>
      <c r="C44" s="517"/>
      <c r="D44" s="517"/>
      <c r="G44" s="518">
        <f>SUM(H44:N44)</f>
        <v>0</v>
      </c>
      <c r="H44" s="519">
        <f t="shared" ref="H44:N44" si="6">SUM(H36:H43)</f>
        <v>0</v>
      </c>
      <c r="I44" s="519">
        <f t="shared" si="6"/>
        <v>0</v>
      </c>
      <c r="J44" s="519">
        <f t="shared" si="6"/>
        <v>0</v>
      </c>
      <c r="K44" s="519">
        <f t="shared" si="6"/>
        <v>0</v>
      </c>
      <c r="L44" s="519">
        <f t="shared" si="6"/>
        <v>0</v>
      </c>
      <c r="M44" s="519">
        <f t="shared" si="6"/>
        <v>0</v>
      </c>
      <c r="N44" s="519">
        <f t="shared" si="6"/>
        <v>0</v>
      </c>
      <c r="P44" s="287"/>
    </row>
    <row r="45" spans="1:16">
      <c r="G45" s="190">
        <f t="shared" ref="G45:N45" si="7">IFERROR(G44/$G$44,0)</f>
        <v>0</v>
      </c>
      <c r="H45" s="190">
        <f t="shared" si="7"/>
        <v>0</v>
      </c>
      <c r="I45" s="190">
        <f t="shared" si="7"/>
        <v>0</v>
      </c>
      <c r="J45" s="190">
        <f t="shared" si="7"/>
        <v>0</v>
      </c>
      <c r="K45" s="190">
        <f t="shared" si="7"/>
        <v>0</v>
      </c>
      <c r="L45" s="190">
        <f t="shared" si="7"/>
        <v>0</v>
      </c>
      <c r="M45" s="190">
        <f t="shared" si="7"/>
        <v>0</v>
      </c>
      <c r="N45" s="190">
        <f t="shared" si="7"/>
        <v>0</v>
      </c>
      <c r="P45" s="287"/>
    </row>
    <row r="46" spans="1:16">
      <c r="P46" s="287"/>
    </row>
    <row r="47" spans="1:16">
      <c r="P47" s="287"/>
    </row>
  </sheetData>
  <sheetProtection sheet="1" objects="1" scenarios="1"/>
  <mergeCells count="2">
    <mergeCell ref="B34:F34"/>
    <mergeCell ref="A1:D1"/>
  </mergeCells>
  <conditionalFormatting sqref="B18:G30">
    <cfRule type="expression" dxfId="28" priority="11" stopIfTrue="1">
      <formula>MOD(ROW(),2)=0</formula>
    </cfRule>
  </conditionalFormatting>
  <conditionalFormatting sqref="G1">
    <cfRule type="expression" dxfId="27" priority="4" stopIfTrue="1">
      <formula>MOD(ROW(),2)=0</formula>
    </cfRule>
  </conditionalFormatting>
  <conditionalFormatting sqref="H15:N16">
    <cfRule type="cellIs" dxfId="26" priority="13" stopIfTrue="1" operator="equal">
      <formula>0</formula>
    </cfRule>
  </conditionalFormatting>
  <conditionalFormatting sqref="H18:N30">
    <cfRule type="cellIs" dxfId="25" priority="12" stopIfTrue="1" operator="equal">
      <formula>0</formula>
    </cfRule>
  </conditionalFormatting>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99"/>
  </sheetPr>
  <dimension ref="A1:M90"/>
  <sheetViews>
    <sheetView zoomScale="53" workbookViewId="0">
      <selection activeCell="H5" sqref="H5"/>
    </sheetView>
  </sheetViews>
  <sheetFormatPr defaultColWidth="8.6640625" defaultRowHeight="13.8"/>
  <cols>
    <col min="1" max="1" width="6.6640625" style="32" bestFit="1" customWidth="1"/>
    <col min="2" max="2" width="47.6640625" style="32" customWidth="1"/>
    <col min="3" max="3" width="10.33203125" style="32" customWidth="1"/>
    <col min="4" max="4" width="14.5546875" style="32" customWidth="1"/>
    <col min="5" max="5" width="20.6640625" style="32" customWidth="1"/>
    <col min="6" max="6" width="13.44140625" style="32" customWidth="1"/>
    <col min="7" max="7" width="12.5546875" style="32" customWidth="1"/>
    <col min="8" max="8" width="12.6640625" style="32" customWidth="1"/>
    <col min="9" max="9" width="12.33203125" style="32" customWidth="1"/>
    <col min="10" max="10" width="14" style="32" customWidth="1"/>
    <col min="11" max="11" width="14.6640625" style="32" customWidth="1"/>
    <col min="12" max="12" width="3.33203125" style="32" customWidth="1"/>
    <col min="13" max="13" width="61.6640625" style="257" customWidth="1"/>
    <col min="14" max="16384" width="8.6640625" style="32"/>
  </cols>
  <sheetData>
    <row r="1" spans="1:13" ht="17.399999999999999">
      <c r="A1" s="1493" t="s">
        <v>773</v>
      </c>
      <c r="B1" s="1494"/>
      <c r="C1" s="347"/>
      <c r="D1" s="74"/>
      <c r="I1" s="30"/>
      <c r="J1" s="30"/>
      <c r="K1" s="30"/>
    </row>
    <row r="2" spans="1:13" ht="15.6">
      <c r="A2" s="35" t="str">
        <f>SchoolName</f>
        <v>Game Changers Sports Academy</v>
      </c>
      <c r="B2" s="36"/>
      <c r="D2" s="74"/>
      <c r="I2" s="81"/>
      <c r="J2" s="81"/>
      <c r="K2" s="120"/>
      <c r="L2" s="121"/>
      <c r="M2" s="1186"/>
    </row>
    <row r="3" spans="1:13">
      <c r="A3" s="37"/>
      <c r="D3" s="205"/>
      <c r="I3" s="84"/>
      <c r="J3" s="84"/>
      <c r="K3" s="120"/>
      <c r="L3" s="121"/>
      <c r="M3" s="1186"/>
    </row>
    <row r="4" spans="1:13">
      <c r="A4" s="38"/>
      <c r="D4" s="74"/>
      <c r="I4" s="30"/>
      <c r="J4" s="30"/>
      <c r="K4" s="30"/>
    </row>
    <row r="5" spans="1:13">
      <c r="A5" s="29"/>
      <c r="I5" s="81"/>
      <c r="J5" s="81"/>
      <c r="K5" s="120"/>
      <c r="L5" s="121"/>
      <c r="M5" s="1186"/>
    </row>
    <row r="6" spans="1:13">
      <c r="A6" s="59"/>
      <c r="B6" s="30"/>
      <c r="C6" s="30"/>
    </row>
    <row r="7" spans="1:13">
      <c r="A7" s="59"/>
      <c r="B7" s="30"/>
      <c r="C7" s="60"/>
      <c r="E7" s="60" t="s">
        <v>774</v>
      </c>
      <c r="F7" s="206"/>
    </row>
    <row r="8" spans="1:13">
      <c r="A8" s="59"/>
      <c r="B8" s="30"/>
      <c r="C8" s="31"/>
      <c r="E8" s="31" t="s">
        <v>243</v>
      </c>
      <c r="F8" s="31"/>
    </row>
    <row r="9" spans="1:13">
      <c r="A9" s="290"/>
      <c r="B9" s="30"/>
      <c r="D9" s="31"/>
      <c r="E9" s="1510">
        <v>0</v>
      </c>
      <c r="F9" s="1762" t="s">
        <v>594</v>
      </c>
      <c r="G9" s="1762" t="s">
        <v>595</v>
      </c>
      <c r="H9" s="1762" t="s">
        <v>596</v>
      </c>
      <c r="I9" s="1762" t="s">
        <v>597</v>
      </c>
      <c r="J9" s="1762" t="s">
        <v>598</v>
      </c>
      <c r="K9" s="1763" t="s">
        <v>599</v>
      </c>
    </row>
    <row r="10" spans="1:13" ht="15.6">
      <c r="A10" s="290"/>
      <c r="B10" s="30"/>
      <c r="D10" s="244"/>
      <c r="E10" s="1764">
        <f>+F10-1</f>
        <v>2025</v>
      </c>
      <c r="F10" s="1765">
        <f>' Enrol &amp; Rev'!G10</f>
        <v>2026</v>
      </c>
      <c r="G10" s="1766">
        <f>+F11</f>
        <v>2027</v>
      </c>
      <c r="H10" s="1766">
        <f>+G11</f>
        <v>2028</v>
      </c>
      <c r="I10" s="1766">
        <f>+H11</f>
        <v>2029</v>
      </c>
      <c r="J10" s="1766">
        <f>+I11</f>
        <v>2030</v>
      </c>
      <c r="K10" s="1767">
        <f>+J11</f>
        <v>2031</v>
      </c>
    </row>
    <row r="11" spans="1:13" ht="15.6">
      <c r="A11" s="290"/>
      <c r="B11" s="30"/>
      <c r="D11" s="248" t="s">
        <v>78</v>
      </c>
      <c r="E11" s="1768">
        <f>+F11-1</f>
        <v>2026</v>
      </c>
      <c r="F11" s="1769">
        <f t="shared" ref="F11:K11" si="0">+F10+1</f>
        <v>2027</v>
      </c>
      <c r="G11" s="1769">
        <f t="shared" si="0"/>
        <v>2028</v>
      </c>
      <c r="H11" s="1769">
        <f t="shared" si="0"/>
        <v>2029</v>
      </c>
      <c r="I11" s="1769">
        <f t="shared" si="0"/>
        <v>2030</v>
      </c>
      <c r="J11" s="1769">
        <f t="shared" si="0"/>
        <v>2031</v>
      </c>
      <c r="K11" s="1770">
        <f t="shared" si="0"/>
        <v>2032</v>
      </c>
      <c r="M11" s="1425" t="s">
        <v>1253</v>
      </c>
    </row>
    <row r="12" spans="1:13" ht="15.6">
      <c r="A12" s="290">
        <f>ROW()</f>
        <v>12</v>
      </c>
      <c r="B12" s="1299" t="s">
        <v>437</v>
      </c>
      <c r="C12" s="1300"/>
      <c r="D12" s="1301"/>
      <c r="E12" s="491"/>
      <c r="F12" s="572">
        <f>'Mkt Res'!E27</f>
        <v>230</v>
      </c>
      <c r="G12" s="572">
        <f>'Mkt Res'!F27</f>
        <v>310</v>
      </c>
      <c r="H12" s="572">
        <f>'Mkt Res'!G27</f>
        <v>390</v>
      </c>
      <c r="I12" s="572">
        <f>'Mkt Res'!H27</f>
        <v>470</v>
      </c>
      <c r="J12" s="572">
        <f>'Mkt Res'!I27</f>
        <v>550</v>
      </c>
      <c r="K12" s="572">
        <f>'Mkt Res'!J27</f>
        <v>560</v>
      </c>
      <c r="M12" s="394"/>
    </row>
    <row r="13" spans="1:13" ht="15.6">
      <c r="A13" s="725">
        <f>ROW()</f>
        <v>13</v>
      </c>
      <c r="B13" s="450" t="s">
        <v>440</v>
      </c>
      <c r="C13" s="538"/>
      <c r="D13" s="573">
        <f>SUM(E13:K13)</f>
        <v>27647590.027435001</v>
      </c>
      <c r="E13" s="539"/>
      <c r="F13" s="575">
        <f>+' Enrol &amp; Rev'!G145</f>
        <v>2405997.25</v>
      </c>
      <c r="G13" s="575">
        <f>+' Enrol &amp; Rev'!H145</f>
        <v>3392920.8001589999</v>
      </c>
      <c r="H13" s="575">
        <f>+' Enrol &amp; Rev'!I145</f>
        <v>4291461.1828230005</v>
      </c>
      <c r="I13" s="575">
        <f>+' Enrol &amp; Rev'!J145</f>
        <v>5190001.5654870002</v>
      </c>
      <c r="J13" s="575">
        <f>+' Enrol &amp; Rev'!K145</f>
        <v>6088541.9481509998</v>
      </c>
      <c r="K13" s="575">
        <f>+' Enrol &amp; Rev'!L145</f>
        <v>6278667.2808150006</v>
      </c>
      <c r="M13" s="287"/>
    </row>
    <row r="14" spans="1:13" ht="15.6">
      <c r="A14" s="725">
        <f>ROW()</f>
        <v>14</v>
      </c>
      <c r="B14" s="66" t="s">
        <v>775</v>
      </c>
      <c r="C14" s="530"/>
      <c r="D14" s="574">
        <f>SUM(E14:K14)</f>
        <v>17394146.705204591</v>
      </c>
      <c r="E14" s="576">
        <f>SUM(Summary!F48:F52,Summary!F44:F46)</f>
        <v>0</v>
      </c>
      <c r="F14" s="577">
        <f>SUM(Summary!G48:G52,Summary!G44:G46)</f>
        <v>2078404.23</v>
      </c>
      <c r="G14" s="577">
        <f>SUM(Summary!H48:H52,Summary!H44:H46)</f>
        <v>2543681.9550000001</v>
      </c>
      <c r="H14" s="577">
        <f>SUM(Summary!I48:I52,Summary!I44:I46)</f>
        <v>2826633.1324999998</v>
      </c>
      <c r="I14" s="577">
        <f>SUM(Summary!J48:J52,Summary!J44:J46)</f>
        <v>3260001.8633499998</v>
      </c>
      <c r="J14" s="577">
        <f>SUM(Summary!K48:K52,Summary!K44:K46)</f>
        <v>3345915.2865489502</v>
      </c>
      <c r="K14" s="577">
        <f>SUM(Summary!L48:L52,Summary!L44:L46)</f>
        <v>3339510.2378056394</v>
      </c>
      <c r="M14" s="287"/>
    </row>
    <row r="15" spans="1:13" ht="15.6">
      <c r="A15" s="725">
        <f>ROW()</f>
        <v>15</v>
      </c>
      <c r="B15" s="578" t="s">
        <v>776</v>
      </c>
      <c r="C15" s="530"/>
      <c r="D15" s="1758" t="s">
        <v>777</v>
      </c>
      <c r="E15" s="576"/>
      <c r="F15" s="577"/>
      <c r="G15" s="577"/>
      <c r="H15" s="577"/>
      <c r="I15" s="577"/>
      <c r="J15" s="577"/>
      <c r="K15" s="577"/>
      <c r="M15" s="287"/>
    </row>
    <row r="16" spans="1:13" ht="15.6">
      <c r="A16" s="725">
        <f>ROW()</f>
        <v>16</v>
      </c>
      <c r="B16" s="578" t="s">
        <v>778</v>
      </c>
      <c r="C16" s="66"/>
      <c r="D16" s="531"/>
      <c r="E16" s="531"/>
      <c r="F16" s="379"/>
      <c r="G16" s="532"/>
      <c r="H16" s="532"/>
      <c r="I16" s="532"/>
      <c r="J16" s="532"/>
      <c r="K16" s="532"/>
      <c r="M16" s="287"/>
    </row>
    <row r="17" spans="1:13" ht="15.6">
      <c r="A17" s="725">
        <f>ROW()</f>
        <v>17</v>
      </c>
      <c r="B17" s="312" t="s">
        <v>779</v>
      </c>
      <c r="D17" s="688"/>
      <c r="E17" s="756"/>
      <c r="F17" s="87"/>
      <c r="G17" s="757"/>
      <c r="H17" s="757"/>
      <c r="I17" s="757"/>
      <c r="J17" s="757"/>
      <c r="K17" s="757"/>
      <c r="M17" s="287"/>
    </row>
    <row r="18" spans="1:13" ht="15.6">
      <c r="A18" s="725">
        <f>ROW()</f>
        <v>18</v>
      </c>
      <c r="B18" s="312" t="s">
        <v>780</v>
      </c>
      <c r="D18" s="688"/>
      <c r="E18" s="756"/>
      <c r="F18" s="87"/>
      <c r="G18" s="757"/>
      <c r="H18" s="757"/>
      <c r="I18" s="757"/>
      <c r="J18" s="757"/>
      <c r="K18" s="757"/>
      <c r="M18" s="287"/>
    </row>
    <row r="19" spans="1:13" ht="15.6">
      <c r="A19" s="725">
        <f>ROW()</f>
        <v>19</v>
      </c>
      <c r="B19" s="312" t="s">
        <v>781</v>
      </c>
      <c r="D19" s="688"/>
      <c r="E19" s="988" t="s">
        <v>782</v>
      </c>
      <c r="F19" s="87"/>
      <c r="G19" s="757"/>
      <c r="H19" s="757"/>
      <c r="I19" s="757"/>
      <c r="J19" s="757"/>
      <c r="K19" s="757"/>
      <c r="M19" s="287"/>
    </row>
    <row r="20" spans="1:13" ht="15.6">
      <c r="A20" s="725">
        <f>ROW()</f>
        <v>20</v>
      </c>
      <c r="B20" s="312" t="s">
        <v>783</v>
      </c>
      <c r="D20" s="688"/>
      <c r="E20" s="756"/>
      <c r="F20" s="87"/>
      <c r="G20" s="757"/>
      <c r="H20" s="757"/>
      <c r="I20" s="757"/>
      <c r="J20" s="757"/>
      <c r="K20" s="757"/>
      <c r="M20" s="287"/>
    </row>
    <row r="21" spans="1:13" ht="15.6">
      <c r="A21" s="725">
        <f>ROW()</f>
        <v>21</v>
      </c>
      <c r="B21" s="312" t="s">
        <v>784</v>
      </c>
      <c r="D21" s="688"/>
      <c r="E21" s="756"/>
      <c r="F21" s="87"/>
      <c r="G21" s="757"/>
      <c r="H21" s="757"/>
      <c r="I21" s="757"/>
      <c r="J21" s="757"/>
      <c r="K21" s="757"/>
      <c r="M21" s="287"/>
    </row>
    <row r="22" spans="1:13" ht="15.6">
      <c r="A22" s="725">
        <f>ROW()</f>
        <v>22</v>
      </c>
      <c r="B22" s="312" t="s">
        <v>784</v>
      </c>
      <c r="D22" s="688"/>
      <c r="E22" s="756"/>
      <c r="F22" s="87"/>
      <c r="G22" s="757"/>
      <c r="H22" s="757"/>
      <c r="I22" s="757"/>
      <c r="J22" s="757"/>
      <c r="K22" s="757"/>
      <c r="M22" s="287"/>
    </row>
    <row r="23" spans="1:13" ht="15.6">
      <c r="A23" s="725">
        <f>ROW()</f>
        <v>23</v>
      </c>
      <c r="B23" s="312"/>
      <c r="D23" s="212"/>
      <c r="E23" s="756"/>
      <c r="F23" s="87"/>
      <c r="G23" s="757"/>
      <c r="H23" s="757"/>
      <c r="I23" s="757"/>
      <c r="J23" s="757"/>
      <c r="K23" s="757"/>
      <c r="M23" s="287"/>
    </row>
    <row r="24" spans="1:13">
      <c r="A24" s="725">
        <f>ROW()</f>
        <v>24</v>
      </c>
      <c r="B24" s="396" t="s">
        <v>785</v>
      </c>
      <c r="C24" s="529"/>
      <c r="D24" s="268"/>
      <c r="E24" s="533"/>
      <c r="F24" s="533"/>
      <c r="G24" s="533"/>
      <c r="H24" s="533"/>
      <c r="I24" s="533"/>
      <c r="J24" s="533"/>
      <c r="K24" s="533"/>
      <c r="M24" s="287"/>
    </row>
    <row r="25" spans="1:13">
      <c r="A25" s="725">
        <f>ROW()</f>
        <v>25</v>
      </c>
      <c r="B25" s="758"/>
      <c r="C25" s="695">
        <v>0</v>
      </c>
      <c r="D25" s="1182">
        <f>SUM(E25:K25)</f>
        <v>0</v>
      </c>
      <c r="E25" s="681">
        <v>0</v>
      </c>
      <c r="F25" s="681">
        <v>0</v>
      </c>
      <c r="G25" s="681">
        <v>0</v>
      </c>
      <c r="H25" s="681">
        <v>0</v>
      </c>
      <c r="I25" s="681">
        <v>0</v>
      </c>
      <c r="J25" s="681">
        <v>0</v>
      </c>
      <c r="K25" s="681">
        <v>0</v>
      </c>
      <c r="M25" s="287"/>
    </row>
    <row r="26" spans="1:13">
      <c r="A26" s="725">
        <f>ROW()</f>
        <v>26</v>
      </c>
      <c r="B26" s="691"/>
      <c r="C26" s="455">
        <v>0</v>
      </c>
      <c r="D26" s="1183">
        <f>SUM(E26:K26)</f>
        <v>0</v>
      </c>
      <c r="E26" s="535">
        <v>0</v>
      </c>
      <c r="F26" s="535">
        <v>0</v>
      </c>
      <c r="G26" s="535">
        <v>0</v>
      </c>
      <c r="H26" s="535">
        <v>0</v>
      </c>
      <c r="I26" s="535">
        <v>0</v>
      </c>
      <c r="J26" s="535">
        <v>0</v>
      </c>
      <c r="K26" s="535">
        <v>0</v>
      </c>
      <c r="M26" s="287"/>
    </row>
    <row r="27" spans="1:13">
      <c r="A27" s="725">
        <f>ROW()</f>
        <v>27</v>
      </c>
      <c r="B27" s="253"/>
      <c r="C27" s="455"/>
      <c r="D27" s="1183"/>
      <c r="E27" s="535">
        <v>0</v>
      </c>
      <c r="F27" s="535">
        <v>0</v>
      </c>
      <c r="G27" s="535">
        <v>0</v>
      </c>
      <c r="H27" s="535">
        <v>0</v>
      </c>
      <c r="I27" s="535">
        <v>0</v>
      </c>
      <c r="J27" s="535">
        <v>0</v>
      </c>
      <c r="K27" s="535">
        <v>0</v>
      </c>
      <c r="M27" s="287"/>
    </row>
    <row r="28" spans="1:13">
      <c r="A28" s="725">
        <f>ROW()</f>
        <v>28</v>
      </c>
      <c r="B28" s="691"/>
      <c r="C28" s="692">
        <v>0</v>
      </c>
      <c r="D28" s="1183">
        <f>SUM(E28:K28)</f>
        <v>0</v>
      </c>
      <c r="E28" s="535">
        <v>0</v>
      </c>
      <c r="F28" s="535">
        <v>0</v>
      </c>
      <c r="G28" s="535">
        <v>0</v>
      </c>
      <c r="H28" s="535">
        <v>0</v>
      </c>
      <c r="I28" s="535">
        <v>0</v>
      </c>
      <c r="J28" s="535">
        <v>0</v>
      </c>
      <c r="K28" s="535">
        <v>0</v>
      </c>
      <c r="M28" s="287"/>
    </row>
    <row r="29" spans="1:13">
      <c r="A29" s="725">
        <f>ROW()</f>
        <v>29</v>
      </c>
      <c r="B29" s="691"/>
      <c r="C29" s="692">
        <v>0</v>
      </c>
      <c r="D29" s="1183">
        <f>SUM(E29:K29)</f>
        <v>0</v>
      </c>
      <c r="E29" s="535">
        <v>0</v>
      </c>
      <c r="F29" s="535">
        <v>0</v>
      </c>
      <c r="G29" s="535">
        <v>0</v>
      </c>
      <c r="H29" s="535">
        <v>0</v>
      </c>
      <c r="I29" s="535">
        <v>0</v>
      </c>
      <c r="J29" s="535">
        <v>0</v>
      </c>
      <c r="K29" s="535">
        <v>0</v>
      </c>
      <c r="M29" s="287"/>
    </row>
    <row r="30" spans="1:13">
      <c r="A30" s="725">
        <f>ROW()</f>
        <v>30</v>
      </c>
      <c r="B30" s="253" t="s">
        <v>786</v>
      </c>
      <c r="C30" s="455"/>
      <c r="D30" s="1183"/>
      <c r="E30" s="535">
        <v>0</v>
      </c>
      <c r="F30" s="535">
        <v>0</v>
      </c>
      <c r="G30" s="535">
        <v>0</v>
      </c>
      <c r="H30" s="535">
        <v>0</v>
      </c>
      <c r="I30" s="535">
        <v>0</v>
      </c>
      <c r="J30" s="535">
        <v>0</v>
      </c>
      <c r="K30" s="535">
        <v>0</v>
      </c>
      <c r="M30" s="287"/>
    </row>
    <row r="31" spans="1:13">
      <c r="A31" s="725">
        <f>ROW()</f>
        <v>31</v>
      </c>
      <c r="B31" s="691" t="s">
        <v>787</v>
      </c>
      <c r="C31" s="692">
        <v>0</v>
      </c>
      <c r="D31" s="1183">
        <f>SUM(E31:K31)</f>
        <v>0</v>
      </c>
      <c r="E31" s="535">
        <v>0</v>
      </c>
      <c r="F31" s="535">
        <v>0</v>
      </c>
      <c r="G31" s="535">
        <v>0</v>
      </c>
      <c r="H31" s="535">
        <v>0</v>
      </c>
      <c r="I31" s="535">
        <v>0</v>
      </c>
      <c r="J31" s="535">
        <v>0</v>
      </c>
      <c r="K31" s="535">
        <v>0</v>
      </c>
      <c r="M31" s="287"/>
    </row>
    <row r="32" spans="1:13">
      <c r="A32" s="725">
        <f>ROW()</f>
        <v>32</v>
      </c>
      <c r="B32" s="691" t="s">
        <v>788</v>
      </c>
      <c r="C32" s="692">
        <v>0</v>
      </c>
      <c r="D32" s="1183">
        <f>SUM(E32:K32)</f>
        <v>0</v>
      </c>
      <c r="E32" s="535">
        <v>0</v>
      </c>
      <c r="F32" s="535">
        <v>0</v>
      </c>
      <c r="G32" s="535">
        <v>0</v>
      </c>
      <c r="H32" s="535">
        <v>0</v>
      </c>
      <c r="I32" s="535">
        <v>0</v>
      </c>
      <c r="J32" s="535">
        <v>0</v>
      </c>
      <c r="K32" s="535">
        <v>0</v>
      </c>
      <c r="M32" s="287"/>
    </row>
    <row r="33" spans="1:13">
      <c r="A33" s="725">
        <f>ROW()</f>
        <v>33</v>
      </c>
      <c r="B33" s="253" t="s">
        <v>786</v>
      </c>
      <c r="C33" s="692"/>
      <c r="D33" s="1183"/>
      <c r="E33" s="535">
        <v>0</v>
      </c>
      <c r="F33" s="535">
        <v>0</v>
      </c>
      <c r="G33" s="535">
        <v>0</v>
      </c>
      <c r="H33" s="535">
        <v>0</v>
      </c>
      <c r="I33" s="535">
        <v>0</v>
      </c>
      <c r="J33" s="535">
        <v>0</v>
      </c>
      <c r="K33" s="535">
        <v>0</v>
      </c>
      <c r="M33" s="287"/>
    </row>
    <row r="34" spans="1:13">
      <c r="A34" s="725">
        <f>ROW()</f>
        <v>34</v>
      </c>
      <c r="B34" s="691" t="s">
        <v>789</v>
      </c>
      <c r="C34" s="692">
        <v>0</v>
      </c>
      <c r="D34" s="1183">
        <f>SUM(E34:K34)</f>
        <v>0</v>
      </c>
      <c r="E34" s="535">
        <v>0</v>
      </c>
      <c r="F34" s="535">
        <v>0</v>
      </c>
      <c r="G34" s="535">
        <v>0</v>
      </c>
      <c r="H34" s="535">
        <v>0</v>
      </c>
      <c r="I34" s="535">
        <v>0</v>
      </c>
      <c r="J34" s="535">
        <v>0</v>
      </c>
      <c r="K34" s="535">
        <v>0</v>
      </c>
      <c r="M34" s="287"/>
    </row>
    <row r="35" spans="1:13">
      <c r="A35" s="725">
        <f>ROW()</f>
        <v>35</v>
      </c>
      <c r="B35" s="691" t="s">
        <v>790</v>
      </c>
      <c r="C35" s="692">
        <v>0</v>
      </c>
      <c r="D35" s="1183">
        <f>SUM(E35:K35)</f>
        <v>0</v>
      </c>
      <c r="E35" s="535">
        <v>0</v>
      </c>
      <c r="F35" s="535">
        <v>0</v>
      </c>
      <c r="G35" s="535">
        <v>0</v>
      </c>
      <c r="H35" s="535">
        <v>0</v>
      </c>
      <c r="I35" s="535">
        <v>0</v>
      </c>
      <c r="J35" s="535">
        <v>0</v>
      </c>
      <c r="K35" s="535">
        <v>0</v>
      </c>
      <c r="M35" s="287"/>
    </row>
    <row r="36" spans="1:13">
      <c r="A36" s="725">
        <f>ROW()</f>
        <v>36</v>
      </c>
      <c r="B36" s="253" t="s">
        <v>786</v>
      </c>
      <c r="C36" s="692" t="s">
        <v>1304</v>
      </c>
      <c r="D36" s="1183"/>
      <c r="E36" s="535">
        <v>0</v>
      </c>
      <c r="F36" s="535">
        <v>0</v>
      </c>
      <c r="G36" s="535">
        <v>0</v>
      </c>
      <c r="H36" s="535">
        <v>0</v>
      </c>
      <c r="I36" s="535">
        <v>0</v>
      </c>
      <c r="J36" s="535">
        <v>0</v>
      </c>
      <c r="K36" s="535">
        <v>0</v>
      </c>
      <c r="M36" s="287"/>
    </row>
    <row r="37" spans="1:13">
      <c r="A37" s="725">
        <f>ROW()</f>
        <v>37</v>
      </c>
      <c r="B37" s="691" t="s">
        <v>791</v>
      </c>
      <c r="C37" s="692">
        <v>0</v>
      </c>
      <c r="D37" s="1183"/>
      <c r="E37" s="535">
        <v>0</v>
      </c>
      <c r="F37" s="535">
        <v>0</v>
      </c>
      <c r="G37" s="535">
        <v>0</v>
      </c>
      <c r="H37" s="535">
        <v>0</v>
      </c>
      <c r="I37" s="535">
        <v>0</v>
      </c>
      <c r="J37" s="535">
        <v>0</v>
      </c>
      <c r="K37" s="535">
        <v>0</v>
      </c>
      <c r="M37" s="287"/>
    </row>
    <row r="38" spans="1:13">
      <c r="A38" s="725">
        <f>ROW()</f>
        <v>38</v>
      </c>
      <c r="B38" s="693" t="s">
        <v>791</v>
      </c>
      <c r="C38" s="694">
        <v>0</v>
      </c>
      <c r="D38" s="1184">
        <f>SUM(E38:K38)</f>
        <v>0</v>
      </c>
      <c r="E38" s="536">
        <v>0</v>
      </c>
      <c r="F38" s="536">
        <v>0</v>
      </c>
      <c r="G38" s="536">
        <v>0</v>
      </c>
      <c r="H38" s="536">
        <v>0</v>
      </c>
      <c r="I38" s="536">
        <v>0</v>
      </c>
      <c r="J38" s="536">
        <v>0</v>
      </c>
      <c r="K38" s="536">
        <v>0</v>
      </c>
      <c r="M38" s="287"/>
    </row>
    <row r="39" spans="1:13">
      <c r="A39" s="725">
        <f>ROW()</f>
        <v>39</v>
      </c>
      <c r="B39" s="106" t="s">
        <v>833</v>
      </c>
      <c r="C39" s="211"/>
      <c r="D39" s="537">
        <f>SUM(E39:K39)</f>
        <v>0</v>
      </c>
      <c r="E39" s="537">
        <f t="shared" ref="E39:K39" si="1">SUM(E25:E38)</f>
        <v>0</v>
      </c>
      <c r="F39" s="537">
        <f t="shared" si="1"/>
        <v>0</v>
      </c>
      <c r="G39" s="537">
        <f t="shared" si="1"/>
        <v>0</v>
      </c>
      <c r="H39" s="537">
        <f t="shared" si="1"/>
        <v>0</v>
      </c>
      <c r="I39" s="537">
        <f t="shared" si="1"/>
        <v>0</v>
      </c>
      <c r="J39" s="537">
        <f t="shared" si="1"/>
        <v>0</v>
      </c>
      <c r="K39" s="537">
        <f t="shared" si="1"/>
        <v>0</v>
      </c>
      <c r="M39" s="287"/>
    </row>
    <row r="40" spans="1:13">
      <c r="A40" s="725">
        <f>ROW()</f>
        <v>40</v>
      </c>
      <c r="B40" s="271" t="s">
        <v>792</v>
      </c>
      <c r="F40" s="211"/>
      <c r="G40" s="209"/>
      <c r="H40" s="212"/>
      <c r="I40" s="51"/>
      <c r="J40" s="51"/>
      <c r="K40" s="51"/>
      <c r="L40" s="119"/>
      <c r="M40" s="287"/>
    </row>
    <row r="41" spans="1:13">
      <c r="A41" s="725">
        <f>ROW()</f>
        <v>41</v>
      </c>
      <c r="B41" s="271"/>
      <c r="F41" s="211"/>
      <c r="G41" s="209"/>
      <c r="H41" s="212"/>
      <c r="I41" s="51"/>
      <c r="J41" s="51"/>
      <c r="K41" s="51"/>
      <c r="L41" s="119"/>
      <c r="M41" s="287"/>
    </row>
    <row r="42" spans="1:13">
      <c r="A42" s="725">
        <f>ROW()</f>
        <v>42</v>
      </c>
      <c r="B42" s="271"/>
      <c r="F42" s="211"/>
      <c r="G42" s="209"/>
      <c r="H42" s="212"/>
      <c r="I42" s="51"/>
      <c r="J42" s="51"/>
      <c r="K42" s="51"/>
      <c r="L42" s="119"/>
      <c r="M42" s="287"/>
    </row>
    <row r="43" spans="1:13">
      <c r="A43" s="725">
        <f>ROW()</f>
        <v>43</v>
      </c>
      <c r="B43" s="271"/>
      <c r="F43" s="211"/>
      <c r="G43" s="209"/>
      <c r="H43" s="212"/>
      <c r="I43" s="51"/>
      <c r="J43" s="51"/>
      <c r="K43" s="51"/>
      <c r="L43" s="119"/>
      <c r="M43" s="287"/>
    </row>
    <row r="44" spans="1:13">
      <c r="A44" s="725">
        <f>ROW()</f>
        <v>44</v>
      </c>
      <c r="B44" s="271"/>
      <c r="D44" s="1859" t="s">
        <v>793</v>
      </c>
      <c r="E44" s="1860"/>
      <c r="F44" s="1861"/>
      <c r="G44" s="209"/>
      <c r="H44" s="1859" t="s">
        <v>794</v>
      </c>
      <c r="I44" s="1860"/>
      <c r="J44" s="1861"/>
      <c r="K44" s="51"/>
      <c r="L44" s="119"/>
      <c r="M44" s="287"/>
    </row>
    <row r="45" spans="1:13">
      <c r="A45" s="725">
        <f>ROW()</f>
        <v>45</v>
      </c>
      <c r="B45" s="210"/>
      <c r="D45" s="31" t="s">
        <v>1371</v>
      </c>
      <c r="E45" s="272" t="s">
        <v>795</v>
      </c>
      <c r="F45" s="31" t="s">
        <v>796</v>
      </c>
      <c r="G45" s="209"/>
      <c r="H45" s="31" t="s">
        <v>1371</v>
      </c>
      <c r="I45" s="272" t="s">
        <v>797</v>
      </c>
      <c r="J45" s="31" t="s">
        <v>749</v>
      </c>
      <c r="K45" s="51"/>
      <c r="L45" s="119"/>
      <c r="M45" s="287"/>
    </row>
    <row r="46" spans="1:13">
      <c r="A46" s="725">
        <f>ROW()</f>
        <v>46</v>
      </c>
      <c r="B46" s="210"/>
      <c r="D46" s="31" t="s">
        <v>798</v>
      </c>
      <c r="E46" s="31" t="s">
        <v>799</v>
      </c>
      <c r="F46" s="31" t="s">
        <v>800</v>
      </c>
      <c r="G46" s="209"/>
      <c r="H46" s="31" t="s">
        <v>798</v>
      </c>
      <c r="I46" s="31" t="s">
        <v>801</v>
      </c>
      <c r="J46" s="31" t="s">
        <v>800</v>
      </c>
      <c r="K46" s="51"/>
      <c r="L46" s="119"/>
      <c r="M46" s="287"/>
    </row>
    <row r="47" spans="1:13" ht="15.6">
      <c r="A47" s="725">
        <f>ROW()</f>
        <v>47</v>
      </c>
      <c r="B47" s="273" t="s">
        <v>1292</v>
      </c>
      <c r="C47" s="58"/>
      <c r="D47" s="53" t="s">
        <v>802</v>
      </c>
      <c r="E47" s="53" t="s">
        <v>802</v>
      </c>
      <c r="F47" s="53" t="s">
        <v>802</v>
      </c>
      <c r="G47" s="209"/>
      <c r="H47" s="53" t="s">
        <v>802</v>
      </c>
      <c r="I47" s="53" t="s">
        <v>802</v>
      </c>
      <c r="J47" s="53" t="s">
        <v>802</v>
      </c>
      <c r="K47" s="51"/>
      <c r="L47" s="119"/>
      <c r="M47" s="287"/>
    </row>
    <row r="48" spans="1:13" ht="27.6" hidden="1">
      <c r="A48" s="725">
        <f>ROW()</f>
        <v>48</v>
      </c>
      <c r="B48" s="41" t="s">
        <v>803</v>
      </c>
      <c r="D48" s="726"/>
      <c r="E48" s="726"/>
      <c r="F48" s="727"/>
      <c r="G48" s="1185"/>
      <c r="H48" s="750"/>
      <c r="I48" s="751"/>
      <c r="J48" s="727"/>
      <c r="K48" s="51"/>
      <c r="L48" s="51"/>
      <c r="M48" s="287"/>
    </row>
    <row r="49" spans="1:13">
      <c r="A49" s="725">
        <f>ROW()</f>
        <v>49</v>
      </c>
      <c r="B49" s="41" t="s">
        <v>804</v>
      </c>
      <c r="D49" s="726"/>
      <c r="E49" s="726"/>
      <c r="F49" s="216"/>
      <c r="G49" s="1185"/>
      <c r="H49" s="752"/>
      <c r="I49" s="726"/>
      <c r="J49" s="216"/>
      <c r="K49" s="51"/>
      <c r="L49" s="51"/>
      <c r="M49" s="287"/>
    </row>
    <row r="50" spans="1:13">
      <c r="A50" s="725">
        <f>ROW()</f>
        <v>50</v>
      </c>
      <c r="B50" s="41" t="s">
        <v>1209</v>
      </c>
      <c r="D50" s="726"/>
      <c r="E50" s="726"/>
      <c r="F50" s="216"/>
      <c r="G50" s="1185"/>
      <c r="H50" s="752"/>
      <c r="I50" s="726"/>
      <c r="J50" s="216"/>
      <c r="K50" s="51"/>
      <c r="L50" s="51"/>
      <c r="M50" s="287"/>
    </row>
    <row r="51" spans="1:13">
      <c r="A51" s="725">
        <f>ROW()</f>
        <v>51</v>
      </c>
      <c r="B51" s="66" t="s">
        <v>805</v>
      </c>
      <c r="C51" s="66"/>
      <c r="D51" s="215"/>
      <c r="E51" s="215"/>
      <c r="F51" s="216"/>
      <c r="G51" s="1185"/>
      <c r="H51" s="753"/>
      <c r="I51" s="215"/>
      <c r="J51" s="216"/>
      <c r="K51" s="51"/>
      <c r="L51" s="51"/>
      <c r="M51" s="287"/>
    </row>
    <row r="52" spans="1:13">
      <c r="A52" s="725">
        <f>ROW()</f>
        <v>52</v>
      </c>
      <c r="B52" s="66" t="s">
        <v>806</v>
      </c>
      <c r="C52" s="66"/>
      <c r="D52" s="215"/>
      <c r="E52" s="215"/>
      <c r="F52" s="216"/>
      <c r="G52" s="1185"/>
      <c r="H52" s="753"/>
      <c r="I52" s="215"/>
      <c r="J52" s="216"/>
      <c r="K52" s="51"/>
      <c r="L52" s="51"/>
      <c r="M52" s="287"/>
    </row>
    <row r="53" spans="1:13">
      <c r="A53" s="725">
        <f>ROW()</f>
        <v>53</v>
      </c>
      <c r="B53" s="66" t="s">
        <v>807</v>
      </c>
      <c r="C53" s="66"/>
      <c r="D53" s="215"/>
      <c r="E53" s="215"/>
      <c r="F53" s="216"/>
      <c r="G53" s="1185"/>
      <c r="H53" s="753"/>
      <c r="I53" s="215"/>
      <c r="J53" s="216"/>
      <c r="K53" s="51"/>
      <c r="L53" s="51"/>
      <c r="M53" s="287"/>
    </row>
    <row r="54" spans="1:13">
      <c r="A54" s="725">
        <f>ROW()</f>
        <v>54</v>
      </c>
      <c r="B54" s="66" t="s">
        <v>808</v>
      </c>
      <c r="C54" s="66"/>
      <c r="D54" s="215"/>
      <c r="E54" s="215"/>
      <c r="F54" s="216"/>
      <c r="G54" s="1185"/>
      <c r="H54" s="753"/>
      <c r="I54" s="215"/>
      <c r="J54" s="216"/>
      <c r="K54" s="51"/>
      <c r="L54" s="51"/>
      <c r="M54" s="287"/>
    </row>
    <row r="55" spans="1:13">
      <c r="A55" s="725">
        <f>ROW()</f>
        <v>55</v>
      </c>
      <c r="B55" s="66" t="s">
        <v>809</v>
      </c>
      <c r="C55" s="66"/>
      <c r="D55" s="215"/>
      <c r="E55" s="215"/>
      <c r="F55" s="216"/>
      <c r="G55" s="1185"/>
      <c r="H55" s="753"/>
      <c r="I55" s="215"/>
      <c r="J55" s="216"/>
      <c r="K55" s="51"/>
      <c r="L55" s="51"/>
      <c r="M55" s="287"/>
    </row>
    <row r="56" spans="1:13">
      <c r="A56" s="725">
        <f>ROW()</f>
        <v>56</v>
      </c>
      <c r="B56" s="66" t="s">
        <v>810</v>
      </c>
      <c r="C56" s="66"/>
      <c r="D56" s="215"/>
      <c r="E56" s="215"/>
      <c r="F56" s="216"/>
      <c r="G56" s="1185"/>
      <c r="H56" s="753"/>
      <c r="I56" s="215"/>
      <c r="J56" s="216"/>
      <c r="K56" s="51"/>
      <c r="L56" s="51"/>
      <c r="M56" s="287"/>
    </row>
    <row r="57" spans="1:13">
      <c r="A57" s="725">
        <f>ROW()</f>
        <v>57</v>
      </c>
      <c r="B57" s="66" t="s">
        <v>811</v>
      </c>
      <c r="C57" s="66"/>
      <c r="D57" s="215"/>
      <c r="E57" s="215"/>
      <c r="F57" s="216"/>
      <c r="G57" s="1185"/>
      <c r="H57" s="753"/>
      <c r="I57" s="215"/>
      <c r="J57" s="216"/>
      <c r="K57" s="51"/>
      <c r="L57" s="51"/>
      <c r="M57" s="287"/>
    </row>
    <row r="58" spans="1:13">
      <c r="A58" s="725">
        <f>ROW()</f>
        <v>58</v>
      </c>
      <c r="B58" s="66" t="s">
        <v>812</v>
      </c>
      <c r="C58" s="66"/>
      <c r="D58" s="215"/>
      <c r="E58" s="215"/>
      <c r="F58" s="216"/>
      <c r="G58" s="1185"/>
      <c r="H58" s="753"/>
      <c r="I58" s="215"/>
      <c r="J58" s="216"/>
      <c r="K58" s="51"/>
      <c r="L58" s="51"/>
      <c r="M58" s="287"/>
    </row>
    <row r="59" spans="1:13">
      <c r="A59" s="725">
        <f>ROW()</f>
        <v>59</v>
      </c>
      <c r="B59" s="66" t="s">
        <v>813</v>
      </c>
      <c r="C59" s="66"/>
      <c r="D59" s="215"/>
      <c r="E59" s="215"/>
      <c r="F59" s="216"/>
      <c r="G59" s="1185"/>
      <c r="H59" s="753"/>
      <c r="I59" s="215"/>
      <c r="J59" s="216"/>
      <c r="K59" s="51"/>
      <c r="L59" s="51"/>
      <c r="M59" s="287"/>
    </row>
    <row r="60" spans="1:13">
      <c r="A60" s="725">
        <f>ROW()</f>
        <v>60</v>
      </c>
      <c r="B60" s="66" t="s">
        <v>814</v>
      </c>
      <c r="C60" s="66"/>
      <c r="D60" s="215"/>
      <c r="E60" s="215"/>
      <c r="F60" s="216"/>
      <c r="G60" s="1185"/>
      <c r="H60" s="753"/>
      <c r="I60" s="215"/>
      <c r="J60" s="216"/>
      <c r="K60" s="51"/>
      <c r="L60" s="51"/>
      <c r="M60" s="287"/>
    </row>
    <row r="61" spans="1:13">
      <c r="A61" s="725">
        <f>ROW()</f>
        <v>61</v>
      </c>
      <c r="B61" s="66" t="s">
        <v>815</v>
      </c>
      <c r="C61" s="66"/>
      <c r="D61" s="215"/>
      <c r="E61" s="215"/>
      <c r="F61" s="216"/>
      <c r="G61" s="1185"/>
      <c r="H61" s="753"/>
      <c r="I61" s="215"/>
      <c r="J61" s="216"/>
      <c r="K61" s="51"/>
      <c r="L61" s="51"/>
      <c r="M61" s="287"/>
    </row>
    <row r="62" spans="1:13">
      <c r="A62" s="725">
        <f>ROW()</f>
        <v>62</v>
      </c>
      <c r="B62" s="66" t="s">
        <v>816</v>
      </c>
      <c r="C62" s="66"/>
      <c r="D62" s="215"/>
      <c r="E62" s="215"/>
      <c r="F62" s="216"/>
      <c r="G62" s="1185"/>
      <c r="H62" s="753"/>
      <c r="I62" s="215"/>
      <c r="J62" s="216"/>
      <c r="K62" s="51"/>
      <c r="L62" s="51"/>
      <c r="M62" s="287"/>
    </row>
    <row r="63" spans="1:13">
      <c r="A63" s="725">
        <f>ROW()</f>
        <v>63</v>
      </c>
      <c r="B63" s="66" t="s">
        <v>817</v>
      </c>
      <c r="C63" s="66"/>
      <c r="D63" s="215"/>
      <c r="E63" s="215"/>
      <c r="F63" s="216"/>
      <c r="G63" s="1185"/>
      <c r="H63" s="753"/>
      <c r="I63" s="215"/>
      <c r="J63" s="216"/>
      <c r="K63" s="51"/>
      <c r="L63" s="51"/>
      <c r="M63" s="287"/>
    </row>
    <row r="64" spans="1:13">
      <c r="A64" s="725">
        <f>ROW()</f>
        <v>64</v>
      </c>
      <c r="B64" s="66" t="s">
        <v>818</v>
      </c>
      <c r="C64" s="66"/>
      <c r="D64" s="215"/>
      <c r="E64" s="215"/>
      <c r="F64" s="216"/>
      <c r="G64" s="1185"/>
      <c r="H64" s="753"/>
      <c r="I64" s="215"/>
      <c r="J64" s="216"/>
      <c r="K64" s="51"/>
      <c r="L64" s="51"/>
      <c r="M64" s="287"/>
    </row>
    <row r="65" spans="1:13">
      <c r="A65" s="725">
        <f>ROW()</f>
        <v>65</v>
      </c>
      <c r="B65" s="66" t="s">
        <v>819</v>
      </c>
      <c r="C65" s="66"/>
      <c r="D65" s="215"/>
      <c r="E65" s="215"/>
      <c r="F65" s="216"/>
      <c r="G65" s="1185"/>
      <c r="H65" s="753"/>
      <c r="I65" s="215"/>
      <c r="J65" s="216"/>
      <c r="K65" s="51"/>
      <c r="L65" s="51"/>
      <c r="M65" s="287"/>
    </row>
    <row r="66" spans="1:13">
      <c r="A66" s="725">
        <f>ROW()</f>
        <v>66</v>
      </c>
      <c r="B66" s="66" t="s">
        <v>820</v>
      </c>
      <c r="C66" s="66"/>
      <c r="D66" s="215"/>
      <c r="E66" s="215"/>
      <c r="F66" s="216"/>
      <c r="G66" s="1185"/>
      <c r="H66" s="753"/>
      <c r="I66" s="215"/>
      <c r="J66" s="216"/>
      <c r="K66" s="51"/>
      <c r="L66" s="51"/>
      <c r="M66" s="287"/>
    </row>
    <row r="67" spans="1:13">
      <c r="A67" s="725">
        <f>ROW()</f>
        <v>67</v>
      </c>
      <c r="B67" s="66" t="s">
        <v>821</v>
      </c>
      <c r="C67" s="66"/>
      <c r="D67" s="215"/>
      <c r="E67" s="215"/>
      <c r="F67" s="216"/>
      <c r="G67" s="1185"/>
      <c r="H67" s="753"/>
      <c r="I67" s="215"/>
      <c r="J67" s="216"/>
      <c r="K67" s="51"/>
      <c r="L67" s="51"/>
      <c r="M67" s="287"/>
    </row>
    <row r="68" spans="1:13">
      <c r="A68" s="725">
        <f>ROW()</f>
        <v>68</v>
      </c>
      <c r="B68" s="66" t="s">
        <v>822</v>
      </c>
      <c r="C68" s="66"/>
      <c r="D68" s="215"/>
      <c r="E68" s="215"/>
      <c r="F68" s="216"/>
      <c r="G68" s="1185"/>
      <c r="H68" s="753"/>
      <c r="I68" s="215"/>
      <c r="J68" s="216"/>
      <c r="K68" s="51"/>
      <c r="L68" s="51"/>
      <c r="M68" s="287"/>
    </row>
    <row r="69" spans="1:13">
      <c r="A69" s="725">
        <f>ROW()</f>
        <v>69</v>
      </c>
      <c r="B69" s="66" t="s">
        <v>823</v>
      </c>
      <c r="C69" s="66"/>
      <c r="D69" s="215"/>
      <c r="E69" s="215"/>
      <c r="F69" s="216"/>
      <c r="G69" s="1185"/>
      <c r="H69" s="753"/>
      <c r="I69" s="215"/>
      <c r="J69" s="216"/>
      <c r="K69" s="51"/>
      <c r="L69" s="51"/>
      <c r="M69" s="287"/>
    </row>
    <row r="70" spans="1:13">
      <c r="A70" s="725">
        <f>ROW()</f>
        <v>70</v>
      </c>
      <c r="B70" s="66" t="s">
        <v>824</v>
      </c>
      <c r="C70" s="66"/>
      <c r="D70" s="215"/>
      <c r="E70" s="215"/>
      <c r="F70" s="216"/>
      <c r="G70" s="1185"/>
      <c r="H70" s="753"/>
      <c r="I70" s="215"/>
      <c r="J70" s="216"/>
      <c r="K70" s="51"/>
      <c r="L70" s="51"/>
      <c r="M70" s="287"/>
    </row>
    <row r="71" spans="1:13">
      <c r="A71" s="725">
        <f>ROW()</f>
        <v>71</v>
      </c>
      <c r="B71" s="66" t="s">
        <v>825</v>
      </c>
      <c r="C71" s="66"/>
      <c r="D71" s="215"/>
      <c r="E71" s="215"/>
      <c r="F71" s="216"/>
      <c r="G71" s="1185"/>
      <c r="H71" s="753"/>
      <c r="I71" s="215"/>
      <c r="J71" s="216"/>
      <c r="K71" s="51"/>
      <c r="L71" s="51"/>
      <c r="M71" s="287"/>
    </row>
    <row r="72" spans="1:13">
      <c r="A72" s="725">
        <f>ROW()</f>
        <v>72</v>
      </c>
      <c r="B72" s="66" t="s">
        <v>826</v>
      </c>
      <c r="C72" s="66"/>
      <c r="D72" s="215"/>
      <c r="E72" s="215"/>
      <c r="F72" s="216"/>
      <c r="G72" s="1185"/>
      <c r="H72" s="753"/>
      <c r="I72" s="215"/>
      <c r="J72" s="216"/>
      <c r="K72" s="51"/>
      <c r="L72" s="51"/>
      <c r="M72" s="287"/>
    </row>
    <row r="73" spans="1:13">
      <c r="A73" s="725">
        <f>ROW()</f>
        <v>73</v>
      </c>
      <c r="B73" s="66" t="s">
        <v>53</v>
      </c>
      <c r="C73" s="66"/>
      <c r="D73" s="215"/>
      <c r="E73" s="215"/>
      <c r="F73" s="216"/>
      <c r="G73" s="1185"/>
      <c r="H73" s="753"/>
      <c r="I73" s="215"/>
      <c r="J73" s="216"/>
      <c r="K73" s="51"/>
      <c r="L73" s="51"/>
      <c r="M73" s="287"/>
    </row>
    <row r="74" spans="1:13">
      <c r="A74" s="725">
        <f>ROW()</f>
        <v>74</v>
      </c>
      <c r="B74" s="66" t="s">
        <v>827</v>
      </c>
      <c r="C74" s="66"/>
      <c r="D74" s="215"/>
      <c r="E74" s="215"/>
      <c r="F74" s="216"/>
      <c r="G74" s="1185"/>
      <c r="H74" s="753"/>
      <c r="I74" s="215"/>
      <c r="J74" s="216"/>
      <c r="K74" s="51"/>
      <c r="L74" s="51"/>
      <c r="M74" s="287"/>
    </row>
    <row r="75" spans="1:13">
      <c r="A75" s="725">
        <f>ROW()</f>
        <v>75</v>
      </c>
      <c r="B75" s="66" t="s">
        <v>828</v>
      </c>
      <c r="C75" s="66"/>
      <c r="D75" s="215"/>
      <c r="E75" s="215"/>
      <c r="F75" s="216"/>
      <c r="G75" s="1185"/>
      <c r="H75" s="753"/>
      <c r="I75" s="215"/>
      <c r="J75" s="216"/>
      <c r="K75" s="51"/>
      <c r="L75" s="51"/>
      <c r="M75" s="287"/>
    </row>
    <row r="76" spans="1:13">
      <c r="A76" s="725">
        <f>ROW()</f>
        <v>76</v>
      </c>
      <c r="B76" s="66" t="s">
        <v>829</v>
      </c>
      <c r="C76" s="66"/>
      <c r="D76" s="215"/>
      <c r="E76" s="215"/>
      <c r="F76" s="216"/>
      <c r="G76" s="1185"/>
      <c r="H76" s="753"/>
      <c r="I76" s="215"/>
      <c r="J76" s="216"/>
      <c r="K76" s="51"/>
      <c r="L76" s="51"/>
      <c r="M76" s="287"/>
    </row>
    <row r="77" spans="1:13">
      <c r="A77" s="725">
        <f>ROW()</f>
        <v>77</v>
      </c>
      <c r="B77" s="66" t="s">
        <v>1210</v>
      </c>
      <c r="C77" s="66"/>
      <c r="D77" s="215"/>
      <c r="E77" s="215"/>
      <c r="F77" s="216"/>
      <c r="G77" s="1185"/>
      <c r="H77" s="753"/>
      <c r="I77" s="215"/>
      <c r="J77" s="216"/>
      <c r="K77" s="51"/>
      <c r="L77" s="51"/>
      <c r="M77" s="287"/>
    </row>
    <row r="78" spans="1:13">
      <c r="A78" s="725">
        <f>ROW()</f>
        <v>78</v>
      </c>
      <c r="B78" s="66" t="s">
        <v>1211</v>
      </c>
      <c r="C78" s="66"/>
      <c r="D78" s="215"/>
      <c r="E78" s="215"/>
      <c r="F78" s="216"/>
      <c r="G78" s="1185"/>
      <c r="H78" s="753"/>
      <c r="I78" s="215"/>
      <c r="J78" s="216"/>
      <c r="K78" s="51"/>
      <c r="L78" s="51"/>
      <c r="M78" s="287"/>
    </row>
    <row r="79" spans="1:13">
      <c r="A79" s="725">
        <f>ROW()</f>
        <v>79</v>
      </c>
      <c r="B79" s="66" t="s">
        <v>830</v>
      </c>
      <c r="C79" s="66"/>
      <c r="D79" s="215"/>
      <c r="E79" s="215"/>
      <c r="F79" s="216"/>
      <c r="G79" s="1185"/>
      <c r="H79" s="753"/>
      <c r="I79" s="215"/>
      <c r="J79" s="216"/>
      <c r="K79" s="51"/>
      <c r="L79" s="51"/>
      <c r="M79" s="287"/>
    </row>
    <row r="80" spans="1:13">
      <c r="A80" s="725">
        <f>ROW()</f>
        <v>80</v>
      </c>
      <c r="B80" s="66" t="s">
        <v>831</v>
      </c>
      <c r="C80" s="66"/>
      <c r="D80" s="215"/>
      <c r="E80" s="215"/>
      <c r="F80" s="216"/>
      <c r="G80" s="1185"/>
      <c r="H80" s="753"/>
      <c r="I80" s="215"/>
      <c r="J80" s="216"/>
      <c r="K80" s="51"/>
      <c r="L80" s="51"/>
      <c r="M80" s="287"/>
    </row>
    <row r="81" spans="1:13">
      <c r="A81" s="725">
        <f>ROW()</f>
        <v>81</v>
      </c>
      <c r="B81" s="66" t="s">
        <v>832</v>
      </c>
      <c r="C81" s="66"/>
      <c r="D81" s="215"/>
      <c r="E81" s="215"/>
      <c r="F81" s="216"/>
      <c r="G81" s="1185"/>
      <c r="H81" s="753"/>
      <c r="I81" s="215"/>
      <c r="J81" s="216"/>
      <c r="K81" s="51"/>
      <c r="L81" s="51"/>
      <c r="M81" s="287"/>
    </row>
    <row r="82" spans="1:13">
      <c r="A82" s="725">
        <f>ROW()</f>
        <v>82</v>
      </c>
      <c r="B82" s="66" t="s">
        <v>1305</v>
      </c>
      <c r="C82" s="66"/>
      <c r="D82" s="215"/>
      <c r="E82" s="215"/>
      <c r="F82" s="216"/>
      <c r="G82" s="1185"/>
      <c r="H82" s="753"/>
      <c r="I82" s="215"/>
      <c r="J82" s="216"/>
      <c r="K82" s="51"/>
      <c r="L82" s="51"/>
      <c r="M82" s="287"/>
    </row>
    <row r="83" spans="1:13">
      <c r="A83" s="725">
        <f>ROW()</f>
        <v>83</v>
      </c>
      <c r="B83" s="66" t="s">
        <v>96</v>
      </c>
      <c r="C83" s="66"/>
      <c r="D83" s="215"/>
      <c r="E83" s="215"/>
      <c r="F83" s="728"/>
      <c r="G83" s="1185"/>
      <c r="H83" s="753"/>
      <c r="I83" s="215"/>
      <c r="J83" s="728"/>
      <c r="K83" s="51"/>
      <c r="L83" s="51"/>
      <c r="M83" s="287"/>
    </row>
    <row r="84" spans="1:13">
      <c r="A84" s="725">
        <f>ROW()</f>
        <v>84</v>
      </c>
      <c r="B84" s="1309"/>
      <c r="C84" s="1309"/>
      <c r="D84" s="215"/>
      <c r="E84" s="215"/>
      <c r="F84" s="728"/>
      <c r="G84" s="1185"/>
      <c r="H84" s="753"/>
      <c r="I84" s="215"/>
      <c r="J84" s="728"/>
      <c r="K84" s="51"/>
      <c r="L84" s="51"/>
      <c r="M84" s="287"/>
    </row>
    <row r="85" spans="1:13">
      <c r="A85" s="725">
        <f>ROW()</f>
        <v>85</v>
      </c>
      <c r="B85" s="1309"/>
      <c r="C85" s="1309"/>
      <c r="D85" s="215"/>
      <c r="E85" s="215"/>
      <c r="F85" s="728"/>
      <c r="G85" s="1185"/>
      <c r="H85" s="753"/>
      <c r="I85" s="215"/>
      <c r="J85" s="728"/>
      <c r="K85" s="51"/>
      <c r="L85" s="51"/>
      <c r="M85" s="287"/>
    </row>
    <row r="86" spans="1:13">
      <c r="A86" s="725">
        <f>ROW()</f>
        <v>86</v>
      </c>
      <c r="B86" s="1309"/>
      <c r="C86" s="1309"/>
      <c r="D86" s="215"/>
      <c r="E86" s="215"/>
      <c r="F86" s="729"/>
      <c r="G86" s="1185"/>
      <c r="H86" s="754"/>
      <c r="I86" s="755"/>
      <c r="J86" s="729"/>
      <c r="K86" s="51"/>
      <c r="L86" s="51"/>
      <c r="M86" s="287"/>
    </row>
    <row r="87" spans="1:13">
      <c r="A87" s="725">
        <f>ROW()</f>
        <v>87</v>
      </c>
      <c r="C87" s="104"/>
      <c r="D87" s="138"/>
      <c r="E87" s="138"/>
      <c r="F87" s="138"/>
      <c r="M87" s="1423"/>
    </row>
    <row r="88" spans="1:13">
      <c r="A88" s="725">
        <f>ROW()</f>
        <v>88</v>
      </c>
      <c r="B88" s="74"/>
      <c r="D88" s="31"/>
      <c r="E88" s="31"/>
      <c r="F88" s="31"/>
      <c r="G88" s="31"/>
      <c r="H88" s="31"/>
      <c r="I88" s="31"/>
      <c r="J88" s="31"/>
      <c r="K88" s="31"/>
      <c r="L88" s="31"/>
      <c r="M88" s="1423"/>
    </row>
    <row r="89" spans="1:13">
      <c r="A89" s="725">
        <f>ROW()</f>
        <v>89</v>
      </c>
      <c r="B89" s="74"/>
      <c r="E89" s="1759"/>
      <c r="F89" s="1759"/>
      <c r="G89" s="1759"/>
      <c r="H89" s="1759"/>
      <c r="I89" s="1759"/>
      <c r="J89" s="1759"/>
      <c r="K89" s="1759"/>
      <c r="L89" s="1760"/>
      <c r="M89" s="1423"/>
    </row>
    <row r="90" spans="1:13">
      <c r="A90" s="725">
        <f>ROW()</f>
        <v>90</v>
      </c>
      <c r="B90" s="74"/>
      <c r="M90" s="1423"/>
    </row>
  </sheetData>
  <sheetProtection sheet="1" objects="1" scenarios="1"/>
  <sortState xmlns:xlrd2="http://schemas.microsoft.com/office/spreadsheetml/2017/richdata2" ref="B48:B76">
    <sortCondition ref="B48:B76"/>
  </sortState>
  <mergeCells count="2">
    <mergeCell ref="D44:F44"/>
    <mergeCell ref="H44:J44"/>
  </mergeCells>
  <conditionalFormatting sqref="B48:C83">
    <cfRule type="expression" dxfId="24" priority="1" stopIfTrue="1">
      <formula>MOD(ROW(),2)=0</formula>
    </cfRule>
  </conditionalFormatting>
  <conditionalFormatting sqref="C1">
    <cfRule type="expression" dxfId="23" priority="3" stopIfTrue="1">
      <formula>MOD(ROW(),2)=0</formula>
    </cfRule>
  </conditionalFormatting>
  <conditionalFormatting sqref="D17:D22">
    <cfRule type="cellIs" dxfId="22" priority="7" stopIfTrue="1" operator="equal">
      <formula>0</formula>
    </cfRule>
  </conditionalFormatting>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FF99"/>
  </sheetPr>
  <dimension ref="A1:T220"/>
  <sheetViews>
    <sheetView zoomScale="80" zoomScaleNormal="130" workbookViewId="0">
      <selection activeCell="J19" sqref="J19"/>
    </sheetView>
  </sheetViews>
  <sheetFormatPr defaultColWidth="7.6640625" defaultRowHeight="13.8" outlineLevelRow="1" outlineLevelCol="1"/>
  <cols>
    <col min="1" max="1" width="4.6640625" style="32" customWidth="1"/>
    <col min="2" max="2" width="32.6640625" style="32" customWidth="1"/>
    <col min="3" max="3" width="16.6640625" style="32" bestFit="1" customWidth="1"/>
    <col min="4" max="4" width="14.5546875" style="32" bestFit="1" customWidth="1"/>
    <col min="5" max="5" width="10.5546875" style="32" bestFit="1" customWidth="1"/>
    <col min="6" max="6" width="13.6640625" style="32" customWidth="1"/>
    <col min="7" max="8" width="13.44140625" style="32" bestFit="1" customWidth="1"/>
    <col min="9" max="12" width="14.5546875" style="32" bestFit="1" customWidth="1"/>
    <col min="13" max="13" width="2.5546875" style="32" customWidth="1"/>
    <col min="14" max="14" width="5.44140625" style="32" hidden="1" customWidth="1" outlineLevel="1"/>
    <col min="15" max="15" width="55.5546875" style="257" hidden="1" customWidth="1" outlineLevel="1"/>
    <col min="16" max="16" width="4.44140625" style="32" customWidth="1" collapsed="1"/>
    <col min="17" max="17" width="55.5546875" style="257" customWidth="1" outlineLevel="1"/>
    <col min="18" max="18" width="9.33203125" style="32" customWidth="1"/>
    <col min="19" max="19" width="10.5546875" style="32" bestFit="1" customWidth="1"/>
    <col min="20" max="20" width="11.6640625" style="32" bestFit="1" customWidth="1"/>
    <col min="21" max="16384" width="7.6640625" style="32"/>
  </cols>
  <sheetData>
    <row r="1" spans="1:19" ht="17.399999999999999">
      <c r="A1" s="1461" t="s">
        <v>34</v>
      </c>
      <c r="B1" s="1462"/>
      <c r="C1" s="348"/>
      <c r="D1" s="348"/>
      <c r="E1" s="346"/>
      <c r="J1" s="32" t="s">
        <v>1212</v>
      </c>
      <c r="K1" s="34"/>
      <c r="L1" s="1427">
        <f>+' Enrol &amp; Rev'!C97</f>
        <v>0.01</v>
      </c>
      <c r="P1" s="32" t="s">
        <v>69</v>
      </c>
      <c r="S1" s="78"/>
    </row>
    <row r="2" spans="1:19" ht="15.6">
      <c r="A2" s="35" t="str">
        <f>SchoolName</f>
        <v>Game Changers Sports Academy</v>
      </c>
      <c r="B2" s="36"/>
      <c r="C2" s="30"/>
      <c r="D2" s="30"/>
      <c r="G2" s="30"/>
      <c r="J2" s="32" t="s">
        <v>1213</v>
      </c>
      <c r="L2" s="1771"/>
      <c r="P2" s="32" t="s">
        <v>69</v>
      </c>
    </row>
    <row r="3" spans="1:19">
      <c r="A3" s="37"/>
      <c r="P3" s="32" t="s">
        <v>69</v>
      </c>
    </row>
    <row r="4" spans="1:19">
      <c r="A4" s="29"/>
      <c r="P4" s="32" t="s">
        <v>69</v>
      </c>
    </row>
    <row r="5" spans="1:19" ht="10.199999999999999" customHeight="1">
      <c r="P5" s="32" t="s">
        <v>69</v>
      </c>
    </row>
    <row r="6" spans="1:19">
      <c r="B6" s="30"/>
      <c r="C6" s="31"/>
      <c r="D6" s="31"/>
      <c r="E6" s="31"/>
      <c r="F6" s="1772">
        <f>' Enrol &amp; Rev'!F9</f>
        <v>0</v>
      </c>
      <c r="G6" s="1511">
        <f>' Enrol &amp; Rev'!G9</f>
        <v>1</v>
      </c>
      <c r="H6" s="1511">
        <f>' Enrol &amp; Rev'!H9</f>
        <v>2</v>
      </c>
      <c r="I6" s="1511">
        <f>' Enrol &amp; Rev'!I9</f>
        <v>3</v>
      </c>
      <c r="J6" s="1511">
        <f>' Enrol &amp; Rev'!J9</f>
        <v>4</v>
      </c>
      <c r="K6" s="1511">
        <f>' Enrol &amp; Rev'!K9</f>
        <v>5</v>
      </c>
      <c r="L6" s="1512">
        <f>' Enrol &amp; Rev'!L9</f>
        <v>6</v>
      </c>
      <c r="P6" s="32" t="s">
        <v>69</v>
      </c>
      <c r="Q6" s="1426"/>
    </row>
    <row r="7" spans="1:19">
      <c r="B7" s="30"/>
      <c r="C7" s="31" t="s">
        <v>70</v>
      </c>
      <c r="D7" s="31"/>
      <c r="E7" s="31"/>
      <c r="F7" s="1773">
        <f>' Enrol &amp; Rev'!F10</f>
        <v>2025</v>
      </c>
      <c r="G7" s="1774">
        <f>' Enrol &amp; Rev'!G10</f>
        <v>2026</v>
      </c>
      <c r="H7" s="1514">
        <f>' Enrol &amp; Rev'!H10</f>
        <v>2027</v>
      </c>
      <c r="I7" s="1514">
        <f>' Enrol &amp; Rev'!I10</f>
        <v>2028</v>
      </c>
      <c r="J7" s="1514">
        <f>' Enrol &amp; Rev'!J10</f>
        <v>2029</v>
      </c>
      <c r="K7" s="1514">
        <f>' Enrol &amp; Rev'!K10</f>
        <v>2030</v>
      </c>
      <c r="L7" s="1515">
        <f>' Enrol &amp; Rev'!L10</f>
        <v>2031</v>
      </c>
      <c r="P7" s="32" t="s">
        <v>69</v>
      </c>
    </row>
    <row r="8" spans="1:19">
      <c r="B8" s="1307" t="s">
        <v>71</v>
      </c>
      <c r="C8" s="53"/>
      <c r="D8" s="53"/>
      <c r="E8" s="53"/>
      <c r="F8" s="1516">
        <f>' Enrol &amp; Rev'!F11</f>
        <v>2026</v>
      </c>
      <c r="G8" s="1516">
        <f>' Enrol &amp; Rev'!G11</f>
        <v>2027</v>
      </c>
      <c r="H8" s="1516">
        <f>' Enrol &amp; Rev'!H11</f>
        <v>2028</v>
      </c>
      <c r="I8" s="1516">
        <f>' Enrol &amp; Rev'!I11</f>
        <v>2029</v>
      </c>
      <c r="J8" s="1516">
        <f>' Enrol &amp; Rev'!J11</f>
        <v>2030</v>
      </c>
      <c r="K8" s="1516">
        <f>' Enrol &amp; Rev'!K11</f>
        <v>2031</v>
      </c>
      <c r="L8" s="1517">
        <f>' Enrol &amp; Rev'!L11</f>
        <v>2032</v>
      </c>
      <c r="O8" s="1099" t="s">
        <v>26</v>
      </c>
      <c r="P8" s="32" t="s">
        <v>69</v>
      </c>
    </row>
    <row r="9" spans="1:19">
      <c r="A9" s="290">
        <f>ROW()</f>
        <v>9</v>
      </c>
      <c r="B9" s="349" t="s">
        <v>72</v>
      </c>
      <c r="C9" s="614">
        <f>MAX(F9:L9)</f>
        <v>560</v>
      </c>
      <c r="D9" s="571"/>
      <c r="E9" s="31"/>
      <c r="F9" s="117">
        <f>+Statistics!F21</f>
        <v>0</v>
      </c>
      <c r="G9" s="117">
        <f>+Statistics!G21</f>
        <v>230</v>
      </c>
      <c r="H9" s="117">
        <f>+Statistics!H21</f>
        <v>310</v>
      </c>
      <c r="I9" s="117">
        <f>+Statistics!I21</f>
        <v>390</v>
      </c>
      <c r="J9" s="117">
        <f>+Statistics!J21</f>
        <v>470</v>
      </c>
      <c r="K9" s="117">
        <f>+Statistics!K21</f>
        <v>550</v>
      </c>
      <c r="L9" s="117">
        <f>+Statistics!L21</f>
        <v>560</v>
      </c>
      <c r="M9" s="31"/>
      <c r="O9" s="394"/>
      <c r="P9" s="32" t="s">
        <v>69</v>
      </c>
      <c r="Q9" s="1422"/>
    </row>
    <row r="10" spans="1:19">
      <c r="A10" s="290">
        <f>ROW()</f>
        <v>10</v>
      </c>
      <c r="B10" s="350" t="s">
        <v>73</v>
      </c>
      <c r="C10" s="614">
        <f>MAX(F10:L10)</f>
        <v>31</v>
      </c>
      <c r="D10" s="571"/>
      <c r="E10" s="31"/>
      <c r="F10" s="541">
        <f>+Statistics!F22</f>
        <v>0</v>
      </c>
      <c r="G10" s="541">
        <f>+Statistics!G22</f>
        <v>14.5</v>
      </c>
      <c r="H10" s="541">
        <f>+Statistics!H22</f>
        <v>21.5</v>
      </c>
      <c r="I10" s="541">
        <f>+Statistics!I22</f>
        <v>25</v>
      </c>
      <c r="J10" s="541">
        <f>+Statistics!J22</f>
        <v>30</v>
      </c>
      <c r="K10" s="541">
        <f>+Statistics!K22</f>
        <v>31</v>
      </c>
      <c r="L10" s="541">
        <f>+Statistics!L22</f>
        <v>31</v>
      </c>
      <c r="M10" s="31"/>
      <c r="O10" s="287"/>
      <c r="P10" s="32" t="s">
        <v>69</v>
      </c>
      <c r="Q10" s="1423"/>
    </row>
    <row r="11" spans="1:19">
      <c r="A11" s="290">
        <f>ROW()</f>
        <v>11</v>
      </c>
      <c r="B11" s="350" t="s">
        <v>74</v>
      </c>
      <c r="C11" s="614"/>
      <c r="D11" s="571"/>
      <c r="E11" s="31"/>
      <c r="F11" s="117">
        <f>+Facilities!F11</f>
        <v>0</v>
      </c>
      <c r="G11" s="117">
        <f>+Facilities!G11</f>
        <v>40000</v>
      </c>
      <c r="H11" s="117">
        <f>+Facilities!H11</f>
        <v>40000</v>
      </c>
      <c r="I11" s="117">
        <f>+Facilities!I11</f>
        <v>40000</v>
      </c>
      <c r="J11" s="117">
        <f>+Facilities!J11</f>
        <v>40000</v>
      </c>
      <c r="K11" s="117">
        <f>+Facilities!K11</f>
        <v>40000</v>
      </c>
      <c r="L11" s="117">
        <f>+Facilities!L11</f>
        <v>40000</v>
      </c>
      <c r="M11" s="31"/>
      <c r="O11" s="740" t="s">
        <v>75</v>
      </c>
      <c r="Q11" s="1424"/>
    </row>
    <row r="12" spans="1:19">
      <c r="A12" s="290">
        <f>ROW()</f>
        <v>12</v>
      </c>
      <c r="B12" s="350" t="s">
        <v>76</v>
      </c>
      <c r="C12" s="614"/>
      <c r="D12" s="571"/>
      <c r="E12" s="31"/>
      <c r="F12" s="117">
        <f>IFERROR(F11/F9,0)</f>
        <v>0</v>
      </c>
      <c r="G12" s="1263">
        <f t="shared" ref="G12" si="0">IFERROR(G11/G9,0)</f>
        <v>173.91304347826087</v>
      </c>
      <c r="H12" s="1263">
        <f t="shared" ref="H12" si="1">IFERROR(H11/H9,0)</f>
        <v>129.03225806451613</v>
      </c>
      <c r="I12" s="1263">
        <f t="shared" ref="I12" si="2">IFERROR(I11/I9,0)</f>
        <v>102.56410256410257</v>
      </c>
      <c r="J12" s="1263">
        <f t="shared" ref="J12" si="3">IFERROR(J11/J9,0)</f>
        <v>85.106382978723403</v>
      </c>
      <c r="K12" s="1263">
        <f t="shared" ref="K12" si="4">IFERROR(K11/K9,0)</f>
        <v>72.727272727272734</v>
      </c>
      <c r="L12" s="1263">
        <f t="shared" ref="L12" si="5">IFERROR(L11/L9,0)</f>
        <v>71.428571428571431</v>
      </c>
      <c r="M12" s="31"/>
      <c r="O12" s="287"/>
      <c r="P12" s="32" t="s">
        <v>69</v>
      </c>
      <c r="Q12" s="1423"/>
    </row>
    <row r="13" spans="1:19">
      <c r="A13" s="290">
        <f>ROW()</f>
        <v>13</v>
      </c>
      <c r="B13" s="350"/>
      <c r="C13" s="614"/>
      <c r="D13" s="571"/>
      <c r="E13" s="31"/>
      <c r="F13" s="117"/>
      <c r="G13" s="117"/>
      <c r="H13" s="117"/>
      <c r="I13" s="117"/>
      <c r="J13" s="117"/>
      <c r="K13" s="117"/>
      <c r="L13" s="117"/>
      <c r="M13" s="31"/>
      <c r="O13" s="287"/>
      <c r="Q13" s="1425" t="s">
        <v>1253</v>
      </c>
    </row>
    <row r="14" spans="1:19" ht="17.399999999999999">
      <c r="A14" s="290">
        <f>ROW()</f>
        <v>14</v>
      </c>
      <c r="B14" s="1428" t="s">
        <v>77</v>
      </c>
      <c r="C14" s="1429" t="s">
        <v>78</v>
      </c>
      <c r="D14" s="1429" t="s">
        <v>79</v>
      </c>
      <c r="E14" s="1430" t="s">
        <v>80</v>
      </c>
      <c r="F14" s="1431">
        <f t="shared" ref="F14:L14" si="6">+F6</f>
        <v>0</v>
      </c>
      <c r="G14" s="1431">
        <f t="shared" si="6"/>
        <v>1</v>
      </c>
      <c r="H14" s="1431">
        <f t="shared" si="6"/>
        <v>2</v>
      </c>
      <c r="I14" s="1431">
        <f t="shared" si="6"/>
        <v>3</v>
      </c>
      <c r="J14" s="1431">
        <f t="shared" si="6"/>
        <v>4</v>
      </c>
      <c r="K14" s="1431">
        <f t="shared" si="6"/>
        <v>5</v>
      </c>
      <c r="L14" s="1431">
        <f t="shared" si="6"/>
        <v>6</v>
      </c>
      <c r="M14" s="86"/>
      <c r="O14" s="287"/>
      <c r="P14" s="32" t="s">
        <v>69</v>
      </c>
      <c r="Q14" s="287"/>
    </row>
    <row r="15" spans="1:19">
      <c r="A15" s="290">
        <f>ROW()</f>
        <v>15</v>
      </c>
      <c r="B15" s="32" t="s">
        <v>81</v>
      </c>
      <c r="C15" s="209">
        <f t="shared" ref="C15:C34" si="7">SUM(F15:L15)</f>
        <v>25111551.777435001</v>
      </c>
      <c r="D15" s="209">
        <f t="shared" ref="D15:D34" si="8">AVERAGE(G15:L15)</f>
        <v>4185258.6295725</v>
      </c>
      <c r="E15" s="352">
        <f t="shared" ref="E15:E35" si="9">IFERROR(+D15/$D$35,0)</f>
        <v>0.90827271934069254</v>
      </c>
      <c r="F15" s="490">
        <f>+' Enrol &amp; Rev'!F119-' Enrol &amp; Rev'!G116</f>
        <v>0</v>
      </c>
      <c r="G15" s="490">
        <f>+' Enrol &amp; Rev'!G119-' Enrol &amp; Rev'!G116</f>
        <v>2165220</v>
      </c>
      <c r="H15" s="490">
        <f>+' Enrol &amp; Rev'!H119-' Enrol &amp; Rev'!H116</f>
        <v>3097055.5501589999</v>
      </c>
      <c r="I15" s="490">
        <f>+' Enrol &amp; Rev'!I119-' Enrol &amp; Rev'!I116</f>
        <v>3909717.932823</v>
      </c>
      <c r="J15" s="490">
        <f>+' Enrol &amp; Rev'!J119-' Enrol &amp; Rev'!J116</f>
        <v>4722380.3154870002</v>
      </c>
      <c r="K15" s="490">
        <f>+' Enrol &amp; Rev'!K119-' Enrol &amp; Rev'!K116</f>
        <v>5535042.6981509998</v>
      </c>
      <c r="L15" s="490">
        <f>+' Enrol &amp; Rev'!L119-' Enrol &amp; Rev'!L116</f>
        <v>5682135.2808150006</v>
      </c>
      <c r="M15" s="351"/>
      <c r="O15" s="287"/>
      <c r="P15" s="32" t="s">
        <v>69</v>
      </c>
      <c r="Q15" s="287"/>
    </row>
    <row r="16" spans="1:19">
      <c r="A16" s="290">
        <f>ROW()</f>
        <v>16</v>
      </c>
      <c r="B16" s="32" t="s">
        <v>82</v>
      </c>
      <c r="C16" s="51">
        <f t="shared" si="7"/>
        <v>-295364.25</v>
      </c>
      <c r="D16" s="51">
        <f t="shared" si="8"/>
        <v>-49227.375</v>
      </c>
      <c r="E16" s="768">
        <f t="shared" si="9"/>
        <v>-1.0683182501871117E-2</v>
      </c>
      <c r="F16" s="87">
        <f>+' Enrol &amp; Rev'!F120</f>
        <v>0</v>
      </c>
      <c r="G16" s="87">
        <f>+' Enrol &amp; Rev'!G120</f>
        <v>-27065.25</v>
      </c>
      <c r="H16" s="87">
        <f>+' Enrol &amp; Rev'!H120</f>
        <v>-36479.25</v>
      </c>
      <c r="I16" s="87">
        <f>+' Enrol &amp; Rev'!I120</f>
        <v>-45893.25</v>
      </c>
      <c r="J16" s="87">
        <f>+' Enrol &amp; Rev'!J120</f>
        <v>-55307.25</v>
      </c>
      <c r="K16" s="87">
        <f>+' Enrol &amp; Rev'!K120</f>
        <v>-64721.25</v>
      </c>
      <c r="L16" s="87">
        <f>+' Enrol &amp; Rev'!L120</f>
        <v>-65898</v>
      </c>
      <c r="M16" s="51"/>
      <c r="O16" s="287"/>
      <c r="P16" s="32" t="s">
        <v>69</v>
      </c>
      <c r="Q16" s="287"/>
    </row>
    <row r="17" spans="1:17">
      <c r="A17" s="290">
        <f>ROW()</f>
        <v>17</v>
      </c>
      <c r="B17" s="32" t="s">
        <v>83</v>
      </c>
      <c r="C17" s="51">
        <f t="shared" si="7"/>
        <v>451800</v>
      </c>
      <c r="D17" s="51">
        <f t="shared" si="8"/>
        <v>75300</v>
      </c>
      <c r="E17" s="352">
        <f t="shared" si="9"/>
        <v>1.6341388148177618E-2</v>
      </c>
      <c r="F17" s="87">
        <f>' Enrol &amp; Rev'!F125</f>
        <v>0</v>
      </c>
      <c r="G17" s="87">
        <f>' Enrol &amp; Rev'!G125</f>
        <v>41400</v>
      </c>
      <c r="H17" s="87">
        <f>' Enrol &amp; Rev'!H125</f>
        <v>55800</v>
      </c>
      <c r="I17" s="87">
        <f>' Enrol &amp; Rev'!I125</f>
        <v>70200</v>
      </c>
      <c r="J17" s="87">
        <f>' Enrol &amp; Rev'!J125</f>
        <v>84600</v>
      </c>
      <c r="K17" s="87">
        <f>' Enrol &amp; Rev'!K125</f>
        <v>99000</v>
      </c>
      <c r="L17" s="87">
        <f>' Enrol &amp; Rev'!L125</f>
        <v>100800</v>
      </c>
      <c r="M17" s="51"/>
      <c r="O17" s="287"/>
      <c r="P17" s="32" t="s">
        <v>69</v>
      </c>
      <c r="Q17" s="287"/>
    </row>
    <row r="18" spans="1:17">
      <c r="A18" s="290">
        <f>ROW()</f>
        <v>18</v>
      </c>
      <c r="B18" s="32" t="s">
        <v>84</v>
      </c>
      <c r="C18" s="51">
        <f t="shared" si="7"/>
        <v>93372</v>
      </c>
      <c r="D18" s="51">
        <f t="shared" si="8"/>
        <v>15562</v>
      </c>
      <c r="E18" s="352">
        <f t="shared" si="9"/>
        <v>3.3772202172900412E-3</v>
      </c>
      <c r="F18" s="87">
        <f>' Enrol &amp; Rev'!F126+' Enrol &amp; Rev'!F127</f>
        <v>0</v>
      </c>
      <c r="G18" s="87">
        <f>' Enrol &amp; Rev'!G126+' Enrol &amp; Rev'!G127</f>
        <v>8556</v>
      </c>
      <c r="H18" s="87">
        <f>' Enrol &amp; Rev'!H126+' Enrol &amp; Rev'!H127</f>
        <v>11532</v>
      </c>
      <c r="I18" s="87">
        <f>' Enrol &amp; Rev'!I126+' Enrol &amp; Rev'!I127</f>
        <v>14508</v>
      </c>
      <c r="J18" s="87">
        <f>' Enrol &amp; Rev'!J126+' Enrol &amp; Rev'!J127</f>
        <v>17484</v>
      </c>
      <c r="K18" s="87">
        <f>' Enrol &amp; Rev'!K126+' Enrol &amp; Rev'!K127</f>
        <v>20460</v>
      </c>
      <c r="L18" s="87">
        <f>' Enrol &amp; Rev'!L126+' Enrol &amp; Rev'!L127</f>
        <v>20832</v>
      </c>
      <c r="M18" s="51"/>
      <c r="O18" s="287"/>
      <c r="P18" s="32" t="s">
        <v>69</v>
      </c>
      <c r="Q18" s="287"/>
    </row>
    <row r="19" spans="1:17">
      <c r="A19" s="290">
        <f>ROW()</f>
        <v>19</v>
      </c>
      <c r="B19" s="32" t="s">
        <v>85</v>
      </c>
      <c r="C19" s="51">
        <f t="shared" si="7"/>
        <v>109561.5</v>
      </c>
      <c r="D19" s="51">
        <f t="shared" si="8"/>
        <v>18260.25</v>
      </c>
      <c r="E19" s="352">
        <f t="shared" si="9"/>
        <v>3.9627866259330721E-3</v>
      </c>
      <c r="F19" s="87">
        <f>' Enrol &amp; Rev'!F128</f>
        <v>0</v>
      </c>
      <c r="G19" s="87">
        <f>' Enrol &amp; Rev'!G128</f>
        <v>10039.5</v>
      </c>
      <c r="H19" s="87">
        <f>' Enrol &amp; Rev'!H128</f>
        <v>13531.5</v>
      </c>
      <c r="I19" s="87">
        <f>' Enrol &amp; Rev'!I128</f>
        <v>17023.5</v>
      </c>
      <c r="J19" s="87">
        <f>' Enrol &amp; Rev'!J128</f>
        <v>20515.5</v>
      </c>
      <c r="K19" s="87">
        <f>' Enrol &amp; Rev'!K128</f>
        <v>24007.5</v>
      </c>
      <c r="L19" s="87">
        <f>' Enrol &amp; Rev'!L128</f>
        <v>24444</v>
      </c>
      <c r="M19" s="51"/>
      <c r="O19" s="287"/>
      <c r="P19" s="32" t="s">
        <v>69</v>
      </c>
      <c r="Q19" s="287"/>
    </row>
    <row r="20" spans="1:17">
      <c r="A20" s="290">
        <f>ROW()</f>
        <v>20</v>
      </c>
      <c r="B20" s="32" t="s">
        <v>86</v>
      </c>
      <c r="C20" s="51">
        <f t="shared" si="7"/>
        <v>0</v>
      </c>
      <c r="D20" s="51">
        <f t="shared" si="8"/>
        <v>0</v>
      </c>
      <c r="E20" s="352">
        <f t="shared" si="9"/>
        <v>0</v>
      </c>
      <c r="F20" s="87">
        <f>' Enrol &amp; Rev'!F129</f>
        <v>0</v>
      </c>
      <c r="G20" s="87">
        <f>' Enrol &amp; Rev'!G129</f>
        <v>0</v>
      </c>
      <c r="H20" s="87">
        <f>' Enrol &amp; Rev'!H129</f>
        <v>0</v>
      </c>
      <c r="I20" s="87">
        <f>' Enrol &amp; Rev'!I129</f>
        <v>0</v>
      </c>
      <c r="J20" s="87">
        <f>' Enrol &amp; Rev'!J129</f>
        <v>0</v>
      </c>
      <c r="K20" s="87">
        <f>' Enrol &amp; Rev'!K129</f>
        <v>0</v>
      </c>
      <c r="L20" s="87">
        <f>' Enrol &amp; Rev'!L129</f>
        <v>0</v>
      </c>
      <c r="M20" s="51"/>
      <c r="O20" s="287"/>
      <c r="P20" s="32" t="s">
        <v>69</v>
      </c>
      <c r="Q20" s="287"/>
    </row>
    <row r="21" spans="1:17">
      <c r="A21" s="290">
        <f>ROW()</f>
        <v>21</v>
      </c>
      <c r="B21" s="32" t="s">
        <v>87</v>
      </c>
      <c r="C21" s="51">
        <f t="shared" si="7"/>
        <v>365958</v>
      </c>
      <c r="D21" s="51">
        <f t="shared" si="8"/>
        <v>60993</v>
      </c>
      <c r="E21" s="352">
        <f t="shared" si="9"/>
        <v>1.3236524400023871E-2</v>
      </c>
      <c r="F21" s="87">
        <f>' Enrol &amp; Rev'!F130</f>
        <v>0</v>
      </c>
      <c r="G21" s="87">
        <f>' Enrol &amp; Rev'!G130</f>
        <v>33534</v>
      </c>
      <c r="H21" s="87">
        <f>' Enrol &amp; Rev'!H130</f>
        <v>45198</v>
      </c>
      <c r="I21" s="87">
        <f>' Enrol &amp; Rev'!I130</f>
        <v>56862</v>
      </c>
      <c r="J21" s="87">
        <f>' Enrol &amp; Rev'!J130</f>
        <v>68526</v>
      </c>
      <c r="K21" s="87">
        <f>' Enrol &amp; Rev'!K130</f>
        <v>80190</v>
      </c>
      <c r="L21" s="87">
        <f>' Enrol &amp; Rev'!L130</f>
        <v>81648</v>
      </c>
      <c r="M21" s="51"/>
      <c r="O21" s="287"/>
      <c r="P21" s="32" t="s">
        <v>69</v>
      </c>
      <c r="Q21" s="287"/>
    </row>
    <row r="22" spans="1:17">
      <c r="A22" s="290">
        <f>ROW()</f>
        <v>22</v>
      </c>
      <c r="B22" s="32" t="s">
        <v>88</v>
      </c>
      <c r="C22" s="51">
        <f t="shared" si="7"/>
        <v>508275</v>
      </c>
      <c r="D22" s="51">
        <f t="shared" si="8"/>
        <v>84712.5</v>
      </c>
      <c r="E22" s="352">
        <f t="shared" si="9"/>
        <v>1.8384061666699821E-2</v>
      </c>
      <c r="F22" s="87">
        <f>' Enrol &amp; Rev'!F131</f>
        <v>0</v>
      </c>
      <c r="G22" s="87">
        <f>' Enrol &amp; Rev'!G131</f>
        <v>46575</v>
      </c>
      <c r="H22" s="87">
        <f>' Enrol &amp; Rev'!H131</f>
        <v>62775</v>
      </c>
      <c r="I22" s="87">
        <f>' Enrol &amp; Rev'!I131</f>
        <v>78975</v>
      </c>
      <c r="J22" s="87">
        <f>' Enrol &amp; Rev'!J131</f>
        <v>95175</v>
      </c>
      <c r="K22" s="87">
        <f>' Enrol &amp; Rev'!K131</f>
        <v>111375</v>
      </c>
      <c r="L22" s="87">
        <f>' Enrol &amp; Rev'!L131</f>
        <v>113400</v>
      </c>
      <c r="M22" s="51"/>
      <c r="O22" s="287"/>
      <c r="P22" s="32" t="s">
        <v>69</v>
      </c>
      <c r="Q22" s="287"/>
    </row>
    <row r="23" spans="1:17">
      <c r="A23" s="290">
        <f>ROW()</f>
        <v>23</v>
      </c>
      <c r="B23" s="32" t="s">
        <v>89</v>
      </c>
      <c r="C23" s="51">
        <f t="shared" si="7"/>
        <v>302706</v>
      </c>
      <c r="D23" s="51">
        <f t="shared" si="8"/>
        <v>50451</v>
      </c>
      <c r="E23" s="352">
        <f t="shared" si="9"/>
        <v>1.0948730059279004E-2</v>
      </c>
      <c r="F23" s="87">
        <f>' Enrol &amp; Rev'!F132</f>
        <v>0</v>
      </c>
      <c r="G23" s="87">
        <f>' Enrol &amp; Rev'!G132</f>
        <v>27737.999999999996</v>
      </c>
      <c r="H23" s="87">
        <f>' Enrol &amp; Rev'!H132</f>
        <v>37385.999999999993</v>
      </c>
      <c r="I23" s="87">
        <f>' Enrol &amp; Rev'!I132</f>
        <v>47034</v>
      </c>
      <c r="J23" s="87">
        <f>' Enrol &amp; Rev'!J132</f>
        <v>56682</v>
      </c>
      <c r="K23" s="87">
        <f>' Enrol &amp; Rev'!K132</f>
        <v>66330</v>
      </c>
      <c r="L23" s="87">
        <f>' Enrol &amp; Rev'!L132</f>
        <v>67536</v>
      </c>
      <c r="M23" s="51"/>
      <c r="O23" s="287"/>
      <c r="P23" s="32" t="s">
        <v>69</v>
      </c>
      <c r="Q23" s="287"/>
    </row>
    <row r="24" spans="1:17">
      <c r="A24" s="290">
        <f>ROW()</f>
        <v>24</v>
      </c>
      <c r="B24" s="32" t="s">
        <v>90</v>
      </c>
      <c r="C24" s="51">
        <f t="shared" si="7"/>
        <v>899730</v>
      </c>
      <c r="D24" s="51">
        <f t="shared" si="8"/>
        <v>149955</v>
      </c>
      <c r="E24" s="352">
        <f t="shared" si="9"/>
        <v>3.2542800262416662E-2</v>
      </c>
      <c r="F24" s="87">
        <f>' Enrol &amp; Rev'!F116</f>
        <v>0</v>
      </c>
      <c r="G24" s="87">
        <f>' Enrol &amp; Rev'!G116</f>
        <v>0</v>
      </c>
      <c r="H24" s="87">
        <f>' Enrol &amp; Rev'!H116</f>
        <v>106121.99999999999</v>
      </c>
      <c r="I24" s="87">
        <f>' Enrol &amp; Rev'!I116</f>
        <v>143033.99999999997</v>
      </c>
      <c r="J24" s="87">
        <f>' Enrol &amp; Rev'!J116</f>
        <v>179946</v>
      </c>
      <c r="K24" s="87">
        <f>' Enrol &amp; Rev'!K116</f>
        <v>216858</v>
      </c>
      <c r="L24" s="87">
        <f>' Enrol &amp; Rev'!L116</f>
        <v>253770</v>
      </c>
      <c r="M24" s="51"/>
      <c r="O24" s="287"/>
      <c r="P24" s="32" t="s">
        <v>69</v>
      </c>
      <c r="Q24" s="287"/>
    </row>
    <row r="25" spans="1:17">
      <c r="A25" s="290">
        <f>ROW()</f>
        <v>25</v>
      </c>
      <c r="B25" s="32" t="s">
        <v>91</v>
      </c>
      <c r="C25" s="51">
        <f t="shared" si="7"/>
        <v>0</v>
      </c>
      <c r="D25" s="51">
        <f t="shared" si="8"/>
        <v>0</v>
      </c>
      <c r="E25" s="352">
        <f t="shared" si="9"/>
        <v>0</v>
      </c>
      <c r="F25" s="87">
        <f>' Enrol &amp; Rev'!F133</f>
        <v>0</v>
      </c>
      <c r="G25" s="87">
        <f>' Enrol &amp; Rev'!G133</f>
        <v>0</v>
      </c>
      <c r="H25" s="87">
        <f>' Enrol &amp; Rev'!H133</f>
        <v>0</v>
      </c>
      <c r="I25" s="87">
        <f>' Enrol &amp; Rev'!I133</f>
        <v>0</v>
      </c>
      <c r="J25" s="87">
        <f>' Enrol &amp; Rev'!J133</f>
        <v>0</v>
      </c>
      <c r="K25" s="87">
        <f>' Enrol &amp; Rev'!K133</f>
        <v>0</v>
      </c>
      <c r="L25" s="87">
        <f>' Enrol &amp; Rev'!L133</f>
        <v>0</v>
      </c>
      <c r="M25" s="51"/>
      <c r="O25" s="287" t="s">
        <v>92</v>
      </c>
      <c r="P25" s="32" t="s">
        <v>69</v>
      </c>
      <c r="Q25" s="287"/>
    </row>
    <row r="26" spans="1:17">
      <c r="A26" s="290">
        <f>ROW()</f>
        <v>26</v>
      </c>
      <c r="B26" s="32" t="str">
        <f>+' Enrol &amp; Rev'!B134</f>
        <v>Charter School Program (CSP) Grant (w/ltr)</v>
      </c>
      <c r="C26" s="51">
        <f t="shared" si="7"/>
        <v>100000</v>
      </c>
      <c r="D26" s="51">
        <f t="shared" si="8"/>
        <v>16666.666666666668</v>
      </c>
      <c r="E26" s="352">
        <f t="shared" si="9"/>
        <v>3.6169517813584816E-3</v>
      </c>
      <c r="F26" s="87">
        <f>' Enrol &amp; Rev'!F134</f>
        <v>0</v>
      </c>
      <c r="G26" s="87">
        <f>' Enrol &amp; Rev'!G134</f>
        <v>100000</v>
      </c>
      <c r="H26" s="87">
        <f>' Enrol &amp; Rev'!H134</f>
        <v>0</v>
      </c>
      <c r="I26" s="87">
        <f>' Enrol &amp; Rev'!I134</f>
        <v>0</v>
      </c>
      <c r="J26" s="87">
        <f>' Enrol &amp; Rev'!J134</f>
        <v>0</v>
      </c>
      <c r="K26" s="87">
        <f>' Enrol &amp; Rev'!K134</f>
        <v>0</v>
      </c>
      <c r="L26" s="87">
        <f>' Enrol &amp; Rev'!L134</f>
        <v>0</v>
      </c>
      <c r="M26" s="51"/>
      <c r="O26" s="287" t="s">
        <v>92</v>
      </c>
      <c r="Q26" s="287"/>
    </row>
    <row r="27" spans="1:17">
      <c r="A27" s="290">
        <f>ROW()</f>
        <v>27</v>
      </c>
      <c r="B27" s="32" t="s">
        <v>93</v>
      </c>
      <c r="C27" s="51">
        <f t="shared" si="7"/>
        <v>0</v>
      </c>
      <c r="D27" s="51">
        <f t="shared" si="8"/>
        <v>0</v>
      </c>
      <c r="E27" s="352">
        <f t="shared" si="9"/>
        <v>0</v>
      </c>
      <c r="F27" s="87">
        <f>' Enrol &amp; Rev'!F135</f>
        <v>0</v>
      </c>
      <c r="G27" s="87">
        <f>' Enrol &amp; Rev'!G135</f>
        <v>0</v>
      </c>
      <c r="H27" s="87">
        <f>' Enrol &amp; Rev'!H135</f>
        <v>0</v>
      </c>
      <c r="I27" s="87">
        <f>' Enrol &amp; Rev'!I135</f>
        <v>0</v>
      </c>
      <c r="J27" s="87">
        <f>' Enrol &amp; Rev'!J135</f>
        <v>0</v>
      </c>
      <c r="K27" s="87">
        <f>' Enrol &amp; Rev'!K135</f>
        <v>0</v>
      </c>
      <c r="L27" s="87">
        <f>' Enrol &amp; Rev'!L135</f>
        <v>0</v>
      </c>
      <c r="M27" s="51"/>
      <c r="O27" s="287" t="s">
        <v>92</v>
      </c>
      <c r="P27" s="32" t="s">
        <v>69</v>
      </c>
      <c r="Q27" s="287"/>
    </row>
    <row r="28" spans="1:17">
      <c r="A28" s="290">
        <f>ROW()</f>
        <v>28</v>
      </c>
      <c r="B28" s="32" t="s">
        <v>94</v>
      </c>
      <c r="C28" s="51">
        <f t="shared" si="7"/>
        <v>0</v>
      </c>
      <c r="D28" s="51">
        <f t="shared" si="8"/>
        <v>0</v>
      </c>
      <c r="E28" s="352">
        <f t="shared" si="9"/>
        <v>0</v>
      </c>
      <c r="F28" s="87">
        <f>' Enrol &amp; Rev'!F137</f>
        <v>0</v>
      </c>
      <c r="G28" s="87">
        <f>' Enrol &amp; Rev'!G137</f>
        <v>0</v>
      </c>
      <c r="H28" s="87">
        <f>' Enrol &amp; Rev'!H137</f>
        <v>0</v>
      </c>
      <c r="I28" s="87">
        <f>' Enrol &amp; Rev'!I137</f>
        <v>0</v>
      </c>
      <c r="J28" s="87">
        <f>' Enrol &amp; Rev'!J137</f>
        <v>0</v>
      </c>
      <c r="K28" s="87">
        <f>' Enrol &amp; Rev'!K137</f>
        <v>0</v>
      </c>
      <c r="L28" s="87">
        <f>' Enrol &amp; Rev'!L137</f>
        <v>0</v>
      </c>
      <c r="M28" s="51"/>
      <c r="O28" s="287"/>
      <c r="P28" s="32" t="s">
        <v>69</v>
      </c>
      <c r="Q28" s="287"/>
    </row>
    <row r="29" spans="1:17">
      <c r="A29" s="290">
        <f>ROW()</f>
        <v>29</v>
      </c>
      <c r="B29" s="32" t="s">
        <v>95</v>
      </c>
      <c r="C29" s="51">
        <f t="shared" si="7"/>
        <v>0</v>
      </c>
      <c r="D29" s="51">
        <f t="shared" si="8"/>
        <v>0</v>
      </c>
      <c r="E29" s="352">
        <f t="shared" si="9"/>
        <v>0</v>
      </c>
      <c r="F29" s="87">
        <f>' Enrol &amp; Rev'!F138</f>
        <v>0</v>
      </c>
      <c r="G29" s="87">
        <f>' Enrol &amp; Rev'!G138</f>
        <v>0</v>
      </c>
      <c r="H29" s="87">
        <f>' Enrol &amp; Rev'!H138</f>
        <v>0</v>
      </c>
      <c r="I29" s="87">
        <f>' Enrol &amp; Rev'!I138</f>
        <v>0</v>
      </c>
      <c r="J29" s="87">
        <f>' Enrol &amp; Rev'!J138</f>
        <v>0</v>
      </c>
      <c r="K29" s="87">
        <f>' Enrol &amp; Rev'!K138</f>
        <v>0</v>
      </c>
      <c r="L29" s="87">
        <f>' Enrol &amp; Rev'!L138</f>
        <v>0</v>
      </c>
      <c r="M29" s="51"/>
      <c r="O29" s="287"/>
      <c r="P29" s="32" t="s">
        <v>69</v>
      </c>
      <c r="Q29" s="287"/>
    </row>
    <row r="30" spans="1:17">
      <c r="A30" s="290">
        <f>ROW()</f>
        <v>30</v>
      </c>
      <c r="B30" s="32" t="s">
        <v>96</v>
      </c>
      <c r="C30" s="51">
        <f t="shared" si="7"/>
        <v>0</v>
      </c>
      <c r="D30" s="51">
        <f t="shared" si="8"/>
        <v>0</v>
      </c>
      <c r="E30" s="352">
        <f t="shared" si="9"/>
        <v>0</v>
      </c>
      <c r="F30" s="87">
        <f>' Enrol &amp; Rev'!F139</f>
        <v>0</v>
      </c>
      <c r="G30" s="87">
        <f>' Enrol &amp; Rev'!G139</f>
        <v>0</v>
      </c>
      <c r="H30" s="87">
        <f>' Enrol &amp; Rev'!H139</f>
        <v>0</v>
      </c>
      <c r="I30" s="87">
        <f>' Enrol &amp; Rev'!I139</f>
        <v>0</v>
      </c>
      <c r="J30" s="87">
        <f>' Enrol &amp; Rev'!J139</f>
        <v>0</v>
      </c>
      <c r="K30" s="87">
        <f>' Enrol &amp; Rev'!K139</f>
        <v>0</v>
      </c>
      <c r="L30" s="87">
        <f>' Enrol &amp; Rev'!L139</f>
        <v>0</v>
      </c>
      <c r="M30" s="51"/>
      <c r="O30" s="287"/>
      <c r="Q30" s="287"/>
    </row>
    <row r="31" spans="1:17">
      <c r="A31" s="290">
        <f>ROW()</f>
        <v>31</v>
      </c>
      <c r="B31" s="32" t="s">
        <v>97</v>
      </c>
      <c r="C31" s="51">
        <f t="shared" si="7"/>
        <v>0</v>
      </c>
      <c r="D31" s="51">
        <f t="shared" si="8"/>
        <v>0</v>
      </c>
      <c r="E31" s="352">
        <f t="shared" si="9"/>
        <v>0</v>
      </c>
      <c r="F31" s="87">
        <f>' Enrol &amp; Rev'!F140</f>
        <v>0</v>
      </c>
      <c r="G31" s="87">
        <f>' Enrol &amp; Rev'!G140</f>
        <v>0</v>
      </c>
      <c r="H31" s="87">
        <f>' Enrol &amp; Rev'!H140</f>
        <v>0</v>
      </c>
      <c r="I31" s="87">
        <f>' Enrol &amp; Rev'!I140</f>
        <v>0</v>
      </c>
      <c r="J31" s="87">
        <f>' Enrol &amp; Rev'!J140</f>
        <v>0</v>
      </c>
      <c r="K31" s="87">
        <f>' Enrol &amp; Rev'!K140</f>
        <v>0</v>
      </c>
      <c r="L31" s="87">
        <f>' Enrol &amp; Rev'!L140</f>
        <v>0</v>
      </c>
      <c r="M31" s="51"/>
      <c r="O31" s="287"/>
      <c r="P31" s="32" t="s">
        <v>69</v>
      </c>
      <c r="Q31" s="287"/>
    </row>
    <row r="32" spans="1:17">
      <c r="A32" s="290">
        <f>ROW()</f>
        <v>32</v>
      </c>
      <c r="B32" s="32" t="s">
        <v>98</v>
      </c>
      <c r="C32" s="51">
        <f>SUM(F32:L32)</f>
        <v>0</v>
      </c>
      <c r="D32" s="51">
        <f t="shared" si="8"/>
        <v>0</v>
      </c>
      <c r="E32" s="352">
        <f t="shared" si="9"/>
        <v>0</v>
      </c>
      <c r="F32" s="87">
        <f>' Enrol &amp; Rev'!F136</f>
        <v>0</v>
      </c>
      <c r="G32" s="87">
        <f>' Enrol &amp; Rev'!G136</f>
        <v>0</v>
      </c>
      <c r="H32" s="87">
        <f>' Enrol &amp; Rev'!H136</f>
        <v>0</v>
      </c>
      <c r="I32" s="87">
        <f>' Enrol &amp; Rev'!I136</f>
        <v>0</v>
      </c>
      <c r="J32" s="87">
        <f>' Enrol &amp; Rev'!J136</f>
        <v>0</v>
      </c>
      <c r="K32" s="87">
        <f>' Enrol &amp; Rev'!K136</f>
        <v>0</v>
      </c>
      <c r="L32" s="87">
        <f>' Enrol &amp; Rev'!L136</f>
        <v>0</v>
      </c>
      <c r="M32" s="51"/>
      <c r="O32" s="287"/>
      <c r="P32" s="32" t="s">
        <v>69</v>
      </c>
      <c r="Q32" s="287"/>
    </row>
    <row r="33" spans="1:17">
      <c r="A33" s="290">
        <f>ROW()</f>
        <v>33</v>
      </c>
      <c r="B33" s="32" t="s">
        <v>99</v>
      </c>
      <c r="C33" s="51">
        <f t="shared" si="7"/>
        <v>0</v>
      </c>
      <c r="D33" s="51">
        <f t="shared" si="8"/>
        <v>0</v>
      </c>
      <c r="E33" s="352">
        <f t="shared" si="9"/>
        <v>0</v>
      </c>
      <c r="F33" s="87">
        <f>' Enrol &amp; Rev'!F141</f>
        <v>0</v>
      </c>
      <c r="G33" s="87">
        <f>' Enrol &amp; Rev'!G141</f>
        <v>0</v>
      </c>
      <c r="H33" s="87">
        <f>' Enrol &amp; Rev'!H141</f>
        <v>0</v>
      </c>
      <c r="I33" s="87">
        <f>' Enrol &amp; Rev'!I141</f>
        <v>0</v>
      </c>
      <c r="J33" s="87">
        <f>' Enrol &amp; Rev'!J141</f>
        <v>0</v>
      </c>
      <c r="K33" s="87">
        <f>' Enrol &amp; Rev'!K141</f>
        <v>0</v>
      </c>
      <c r="L33" s="87">
        <f>' Enrol &amp; Rev'!L141</f>
        <v>0</v>
      </c>
      <c r="M33" s="51"/>
      <c r="O33" s="287" t="s">
        <v>100</v>
      </c>
      <c r="P33" s="32" t="s">
        <v>69</v>
      </c>
      <c r="Q33" s="287"/>
    </row>
    <row r="34" spans="1:17">
      <c r="A34" s="290">
        <f>ROW()</f>
        <v>34</v>
      </c>
      <c r="B34" s="32" t="s">
        <v>101</v>
      </c>
      <c r="C34" s="51">
        <f t="shared" si="7"/>
        <v>0</v>
      </c>
      <c r="D34" s="51">
        <f t="shared" si="8"/>
        <v>0</v>
      </c>
      <c r="E34" s="352">
        <f t="shared" si="9"/>
        <v>0</v>
      </c>
      <c r="F34" s="1028">
        <f>' Enrol &amp; Rev'!F142</f>
        <v>0</v>
      </c>
      <c r="G34" s="1028">
        <f>' Enrol &amp; Rev'!G142</f>
        <v>0</v>
      </c>
      <c r="H34" s="1028">
        <f>' Enrol &amp; Rev'!H142</f>
        <v>0</v>
      </c>
      <c r="I34" s="1028">
        <f>' Enrol &amp; Rev'!I142</f>
        <v>0</v>
      </c>
      <c r="J34" s="1028">
        <f>' Enrol &amp; Rev'!J142</f>
        <v>0</v>
      </c>
      <c r="K34" s="1028">
        <f>' Enrol &amp; Rev'!K142</f>
        <v>0</v>
      </c>
      <c r="L34" s="1028">
        <f>' Enrol &amp; Rev'!L142</f>
        <v>0</v>
      </c>
      <c r="M34" s="51"/>
      <c r="O34" s="287" t="s">
        <v>100</v>
      </c>
      <c r="Q34" s="287"/>
    </row>
    <row r="35" spans="1:17">
      <c r="A35" s="290">
        <f>ROW()</f>
        <v>35</v>
      </c>
      <c r="B35" s="696" t="s">
        <v>102</v>
      </c>
      <c r="C35" s="606">
        <f>SUM(C15:C34)</f>
        <v>27647590.027435001</v>
      </c>
      <c r="D35" s="606">
        <f>AVERAGE(G35:L35)</f>
        <v>4607931.6712391665</v>
      </c>
      <c r="E35" s="584">
        <f t="shared" si="9"/>
        <v>1</v>
      </c>
      <c r="F35" s="958">
        <f t="shared" ref="F35:L35" si="10">SUM(F15:F34)</f>
        <v>0</v>
      </c>
      <c r="G35" s="958">
        <f>SUM(G15:G34)</f>
        <v>2405997.25</v>
      </c>
      <c r="H35" s="958">
        <f t="shared" si="10"/>
        <v>3392920.8001589999</v>
      </c>
      <c r="I35" s="958">
        <f t="shared" si="10"/>
        <v>4291461.1828229995</v>
      </c>
      <c r="J35" s="958">
        <f t="shared" si="10"/>
        <v>5190001.5654870002</v>
      </c>
      <c r="K35" s="958">
        <f t="shared" si="10"/>
        <v>6088541.9481509998</v>
      </c>
      <c r="L35" s="958">
        <f t="shared" si="10"/>
        <v>6278667.2808150006</v>
      </c>
      <c r="M35" s="959"/>
      <c r="O35" s="287"/>
      <c r="P35" s="32" t="s">
        <v>69</v>
      </c>
      <c r="Q35" s="287"/>
    </row>
    <row r="36" spans="1:17" outlineLevel="1">
      <c r="A36" s="290">
        <f>ROW()</f>
        <v>36</v>
      </c>
      <c r="B36" s="74" t="s">
        <v>103</v>
      </c>
      <c r="F36" s="52">
        <f>' Enrol &amp; Rev'!F145</f>
        <v>0</v>
      </c>
      <c r="G36" s="52">
        <f>' Enrol &amp; Rev'!G145</f>
        <v>2405997.25</v>
      </c>
      <c r="H36" s="52">
        <f>' Enrol &amp; Rev'!H145</f>
        <v>3392920.8001589999</v>
      </c>
      <c r="I36" s="52">
        <f>' Enrol &amp; Rev'!I145</f>
        <v>4291461.1828230005</v>
      </c>
      <c r="J36" s="52">
        <f>' Enrol &amp; Rev'!J145</f>
        <v>5190001.5654870002</v>
      </c>
      <c r="K36" s="52">
        <f>' Enrol &amp; Rev'!K145</f>
        <v>6088541.9481509998</v>
      </c>
      <c r="L36" s="52">
        <f>' Enrol &amp; Rev'!L145</f>
        <v>6278667.2808150006</v>
      </c>
      <c r="M36" s="54"/>
      <c r="O36" s="287"/>
      <c r="P36" s="32" t="s">
        <v>69</v>
      </c>
      <c r="Q36" s="287"/>
    </row>
    <row r="37" spans="1:17" outlineLevel="1">
      <c r="A37" s="290">
        <f>ROW()</f>
        <v>37</v>
      </c>
      <c r="B37" s="74" t="s">
        <v>104</v>
      </c>
      <c r="C37" s="54"/>
      <c r="D37" s="54"/>
      <c r="E37" s="54"/>
      <c r="F37" s="109">
        <f>+F35-F36</f>
        <v>0</v>
      </c>
      <c r="G37" s="109">
        <f t="shared" ref="G37:L37" si="11">+G35-G36</f>
        <v>0</v>
      </c>
      <c r="H37" s="109">
        <f t="shared" si="11"/>
        <v>0</v>
      </c>
      <c r="I37" s="109">
        <f t="shared" si="11"/>
        <v>0</v>
      </c>
      <c r="J37" s="109">
        <f t="shared" si="11"/>
        <v>0</v>
      </c>
      <c r="K37" s="109">
        <f t="shared" si="11"/>
        <v>0</v>
      </c>
      <c r="L37" s="109">
        <f t="shared" si="11"/>
        <v>0</v>
      </c>
      <c r="M37" s="54"/>
      <c r="O37" s="287"/>
      <c r="Q37" s="287"/>
    </row>
    <row r="38" spans="1:17">
      <c r="A38" s="290">
        <f>ROW()</f>
        <v>38</v>
      </c>
      <c r="B38" s="74" t="s">
        <v>105</v>
      </c>
      <c r="C38" s="54"/>
      <c r="D38" s="54"/>
      <c r="E38" s="54"/>
      <c r="F38" s="434"/>
      <c r="G38" s="113">
        <f t="shared" ref="G38:L38" si="12">+G35/G9</f>
        <v>10460.857608695653</v>
      </c>
      <c r="H38" s="113">
        <f t="shared" si="12"/>
        <v>10944.905806964516</v>
      </c>
      <c r="I38" s="113">
        <f t="shared" si="12"/>
        <v>11003.746622623075</v>
      </c>
      <c r="J38" s="113">
        <f t="shared" si="12"/>
        <v>11042.556522312767</v>
      </c>
      <c r="K38" s="113">
        <f t="shared" si="12"/>
        <v>11070.076269365454</v>
      </c>
      <c r="L38" s="113">
        <f t="shared" si="12"/>
        <v>11211.905858598215</v>
      </c>
      <c r="M38" s="54"/>
      <c r="O38" s="287"/>
      <c r="Q38" s="287"/>
    </row>
    <row r="39" spans="1:17" hidden="1" outlineLevel="1">
      <c r="A39" s="290">
        <f>ROW()</f>
        <v>39</v>
      </c>
      <c r="B39" s="74" t="s">
        <v>106</v>
      </c>
      <c r="C39" s="1101"/>
      <c r="D39" s="1101"/>
      <c r="E39" s="1102"/>
      <c r="F39" s="506"/>
      <c r="G39" s="506">
        <f>+' Enrol &amp; Rev'!G146</f>
        <v>10460.857608695653</v>
      </c>
      <c r="H39" s="506">
        <f>+' Enrol &amp; Rev'!H146</f>
        <v>10944.905806964516</v>
      </c>
      <c r="I39" s="506">
        <f>+' Enrol &amp; Rev'!I146</f>
        <v>11003.746622623079</v>
      </c>
      <c r="J39" s="506">
        <f>+' Enrol &amp; Rev'!J146</f>
        <v>11042.556522312767</v>
      </c>
      <c r="K39" s="506">
        <f>+' Enrol &amp; Rev'!K146</f>
        <v>11070.076269365454</v>
      </c>
      <c r="L39" s="506">
        <f>+' Enrol &amp; Rev'!L146</f>
        <v>11211.905858598215</v>
      </c>
      <c r="M39" s="54"/>
      <c r="O39" s="287"/>
      <c r="Q39" s="287"/>
    </row>
    <row r="40" spans="1:17" hidden="1" outlineLevel="1">
      <c r="A40" s="290">
        <f>ROW()</f>
        <v>40</v>
      </c>
      <c r="B40" s="74" t="s">
        <v>107</v>
      </c>
      <c r="C40" s="54"/>
      <c r="D40" s="54"/>
      <c r="E40" s="54"/>
      <c r="F40" s="434"/>
      <c r="G40" s="113">
        <f t="shared" ref="G40:L40" si="13">+G39-G38</f>
        <v>0</v>
      </c>
      <c r="H40" s="113">
        <f t="shared" si="13"/>
        <v>0</v>
      </c>
      <c r="I40" s="113">
        <f t="shared" si="13"/>
        <v>0</v>
      </c>
      <c r="J40" s="113">
        <f t="shared" si="13"/>
        <v>0</v>
      </c>
      <c r="K40" s="113">
        <f t="shared" si="13"/>
        <v>0</v>
      </c>
      <c r="L40" s="113">
        <f t="shared" si="13"/>
        <v>0</v>
      </c>
      <c r="M40" s="54"/>
      <c r="O40" s="287"/>
      <c r="Q40" s="287"/>
    </row>
    <row r="41" spans="1:17" outlineLevel="1">
      <c r="A41" s="290">
        <f>ROW()</f>
        <v>41</v>
      </c>
      <c r="B41" s="74" t="s">
        <v>108</v>
      </c>
      <c r="C41" s="1277">
        <f>SUM(C17:C23)/C35</f>
        <v>6.6250711117403424E-2</v>
      </c>
      <c r="D41" s="1277">
        <f t="shared" ref="D41:L41" si="14">SUM(D17:D23)/D35</f>
        <v>6.6250711117403424E-2</v>
      </c>
      <c r="E41" s="1277">
        <f t="shared" si="14"/>
        <v>6.6250711117403424E-2</v>
      </c>
      <c r="F41" s="1277" t="e">
        <f t="shared" si="14"/>
        <v>#DIV/0!</v>
      </c>
      <c r="G41" s="1277">
        <f t="shared" si="14"/>
        <v>6.976005479640511E-2</v>
      </c>
      <c r="H41" s="1277">
        <f t="shared" si="14"/>
        <v>6.6674854299398525E-2</v>
      </c>
      <c r="I41" s="1277">
        <f t="shared" si="14"/>
        <v>6.6318320934405706E-2</v>
      </c>
      <c r="J41" s="1277">
        <f t="shared" si="14"/>
        <v>6.6085240181968319E-2</v>
      </c>
      <c r="K41" s="1277">
        <f t="shared" si="14"/>
        <v>6.5920955036186918E-2</v>
      </c>
      <c r="L41" s="1277">
        <f t="shared" si="14"/>
        <v>6.5087060951405276E-2</v>
      </c>
      <c r="M41" s="54"/>
      <c r="O41" s="287"/>
      <c r="Q41" s="287"/>
    </row>
    <row r="42" spans="1:17">
      <c r="A42" s="290">
        <f>ROW()</f>
        <v>42</v>
      </c>
      <c r="B42" s="54"/>
      <c r="C42" s="54"/>
      <c r="D42" s="54"/>
      <c r="E42" s="54"/>
      <c r="F42" s="434"/>
      <c r="G42" s="113"/>
      <c r="H42" s="113"/>
      <c r="I42" s="113"/>
      <c r="J42" s="113"/>
      <c r="K42" s="113"/>
      <c r="L42" s="113"/>
      <c r="M42" s="54"/>
      <c r="O42" s="287"/>
      <c r="Q42" s="287"/>
    </row>
    <row r="43" spans="1:17" ht="17.399999999999999">
      <c r="A43" s="290">
        <f>ROW()</f>
        <v>43</v>
      </c>
      <c r="B43" s="1428" t="s">
        <v>109</v>
      </c>
      <c r="C43" s="1429" t="s">
        <v>78</v>
      </c>
      <c r="D43" s="1429" t="s">
        <v>79</v>
      </c>
      <c r="E43" s="1432" t="s">
        <v>80</v>
      </c>
      <c r="F43" s="1431">
        <f t="shared" ref="F43:L43" si="15">F6</f>
        <v>0</v>
      </c>
      <c r="G43" s="1431">
        <f t="shared" si="15"/>
        <v>1</v>
      </c>
      <c r="H43" s="1431">
        <f t="shared" si="15"/>
        <v>2</v>
      </c>
      <c r="I43" s="1431">
        <f t="shared" si="15"/>
        <v>3</v>
      </c>
      <c r="J43" s="1431">
        <f t="shared" si="15"/>
        <v>4</v>
      </c>
      <c r="K43" s="1431">
        <f t="shared" si="15"/>
        <v>5</v>
      </c>
      <c r="L43" s="1431">
        <f t="shared" si="15"/>
        <v>6</v>
      </c>
      <c r="M43" s="54"/>
      <c r="O43" s="287"/>
      <c r="P43" s="32" t="s">
        <v>69</v>
      </c>
      <c r="Q43" s="287"/>
    </row>
    <row r="44" spans="1:17">
      <c r="A44" s="290">
        <f>ROW()</f>
        <v>44</v>
      </c>
      <c r="B44" s="32" t="s">
        <v>110</v>
      </c>
      <c r="C44" s="209">
        <f t="shared" ref="C44:C52" si="16">SUM(F44:L44)</f>
        <v>12380788.61184779</v>
      </c>
      <c r="D44" s="209">
        <f t="shared" ref="D44:D52" si="17">AVERAGE(G44:L44)</f>
        <v>2063464.7686412984</v>
      </c>
      <c r="E44" s="352">
        <f t="shared" ref="E44:E54" si="18">IFERROR(+D44/$D$35,0)</f>
        <v>0.44780715424245665</v>
      </c>
      <c r="F44" s="490">
        <f>+Staff!G474</f>
        <v>0</v>
      </c>
      <c r="G44" s="490">
        <f>+Staff!H474</f>
        <v>1153645.23</v>
      </c>
      <c r="H44" s="490">
        <f>+Staff!I474</f>
        <v>1749062.9550000001</v>
      </c>
      <c r="I44" s="490">
        <f>+Staff!J474</f>
        <v>2028835.7324999999</v>
      </c>
      <c r="J44" s="490">
        <f>+Staff!K474</f>
        <v>2428492.1113499999</v>
      </c>
      <c r="K44" s="490">
        <f>+Staff!L474</f>
        <v>2509643.2119889501</v>
      </c>
      <c r="L44" s="490">
        <f>+Staff!M474</f>
        <v>2511109.3710088395</v>
      </c>
      <c r="M44" s="55"/>
      <c r="O44" s="287"/>
      <c r="P44" s="32" t="s">
        <v>69</v>
      </c>
      <c r="Q44" s="287"/>
    </row>
    <row r="45" spans="1:17">
      <c r="A45" s="290">
        <f>ROW()</f>
        <v>45</v>
      </c>
      <c r="B45" s="32" t="s">
        <v>45</v>
      </c>
      <c r="C45" s="51">
        <f t="shared" si="16"/>
        <v>3725816.0933567998</v>
      </c>
      <c r="D45" s="51">
        <f t="shared" si="17"/>
        <v>620969.34889279993</v>
      </c>
      <c r="E45" s="352">
        <f t="shared" si="18"/>
        <v>0.13476097155880973</v>
      </c>
      <c r="F45" s="87">
        <f>Facilities!F76</f>
        <v>0</v>
      </c>
      <c r="G45" s="87">
        <f>Facilities!G76</f>
        <v>576002</v>
      </c>
      <c r="H45" s="87">
        <f>Facilities!H76</f>
        <v>593282</v>
      </c>
      <c r="I45" s="87">
        <f>Facilities!I76</f>
        <v>611080.39999999991</v>
      </c>
      <c r="J45" s="87">
        <f>Facilities!J76</f>
        <v>629412.75199999998</v>
      </c>
      <c r="K45" s="87">
        <f>Facilities!K76</f>
        <v>648295.07455999998</v>
      </c>
      <c r="L45" s="87">
        <f>Facilities!L76</f>
        <v>667743.86679680005</v>
      </c>
      <c r="M45" s="55"/>
      <c r="O45" s="287"/>
      <c r="P45" s="32" t="s">
        <v>69</v>
      </c>
      <c r="Q45" s="287"/>
    </row>
    <row r="46" spans="1:17">
      <c r="A46" s="290">
        <f>ROW()</f>
        <v>46</v>
      </c>
      <c r="B46" s="32" t="s">
        <v>111</v>
      </c>
      <c r="C46" s="51">
        <f t="shared" si="16"/>
        <v>471300</v>
      </c>
      <c r="D46" s="51">
        <f t="shared" si="17"/>
        <v>78550</v>
      </c>
      <c r="E46" s="352">
        <f t="shared" si="18"/>
        <v>1.7046693745542522E-2</v>
      </c>
      <c r="F46" s="87">
        <f>+'Gen Optg'!F203</f>
        <v>0</v>
      </c>
      <c r="G46" s="87">
        <f>+'Gen Optg'!G203</f>
        <v>92300</v>
      </c>
      <c r="H46" s="87">
        <f>+'Gen Optg'!H203</f>
        <v>71800</v>
      </c>
      <c r="I46" s="87">
        <f>+'Gen Optg'!I203</f>
        <v>71800</v>
      </c>
      <c r="J46" s="87">
        <f>+'Gen Optg'!J203</f>
        <v>81800</v>
      </c>
      <c r="K46" s="87">
        <f>+'Gen Optg'!K203</f>
        <v>74300</v>
      </c>
      <c r="L46" s="87">
        <f>+'Gen Optg'!L203</f>
        <v>79300</v>
      </c>
      <c r="M46" s="55"/>
      <c r="O46" s="287"/>
      <c r="P46" s="32" t="s">
        <v>69</v>
      </c>
      <c r="Q46" s="287"/>
    </row>
    <row r="47" spans="1:17">
      <c r="A47" s="290">
        <f>ROW()</f>
        <v>47</v>
      </c>
      <c r="B47" s="32" t="s">
        <v>112</v>
      </c>
      <c r="C47" s="51">
        <f t="shared" si="16"/>
        <v>0</v>
      </c>
      <c r="D47" s="51">
        <f t="shared" si="17"/>
        <v>0</v>
      </c>
      <c r="E47" s="352">
        <f t="shared" si="18"/>
        <v>0</v>
      </c>
      <c r="F47" s="87">
        <f>'EMO-CMO-BOSP'!E39</f>
        <v>0</v>
      </c>
      <c r="G47" s="87">
        <f>'EMO-CMO-BOSP'!F39</f>
        <v>0</v>
      </c>
      <c r="H47" s="87">
        <f>'EMO-CMO-BOSP'!G39</f>
        <v>0</v>
      </c>
      <c r="I47" s="87">
        <f>'EMO-CMO-BOSP'!H39</f>
        <v>0</v>
      </c>
      <c r="J47" s="87">
        <f>'EMO-CMO-BOSP'!I39</f>
        <v>0</v>
      </c>
      <c r="K47" s="87">
        <f>'EMO-CMO-BOSP'!J39</f>
        <v>0</v>
      </c>
      <c r="L47" s="87">
        <f>'EMO-CMO-BOSP'!K39</f>
        <v>0</v>
      </c>
      <c r="M47" s="51"/>
      <c r="O47" s="287"/>
      <c r="P47" s="32" t="s">
        <v>69</v>
      </c>
      <c r="Q47" s="287"/>
    </row>
    <row r="48" spans="1:17">
      <c r="A48" s="290">
        <f>ROW()</f>
        <v>48</v>
      </c>
      <c r="B48" s="32" t="s">
        <v>53</v>
      </c>
      <c r="C48" s="51">
        <f t="shared" si="16"/>
        <v>0</v>
      </c>
      <c r="D48" s="51">
        <f t="shared" si="17"/>
        <v>0</v>
      </c>
      <c r="E48" s="352">
        <f t="shared" si="18"/>
        <v>0</v>
      </c>
      <c r="F48" s="87">
        <f>Marketing!H44</f>
        <v>0</v>
      </c>
      <c r="G48" s="87">
        <f>Marketing!I44</f>
        <v>0</v>
      </c>
      <c r="H48" s="87">
        <f>Marketing!J44</f>
        <v>0</v>
      </c>
      <c r="I48" s="87">
        <f>Marketing!K44</f>
        <v>0</v>
      </c>
      <c r="J48" s="87">
        <f>Marketing!L44</f>
        <v>0</v>
      </c>
      <c r="K48" s="87">
        <f>Marketing!M44</f>
        <v>0</v>
      </c>
      <c r="L48" s="87">
        <f>Marketing!N44</f>
        <v>0</v>
      </c>
      <c r="M48" s="51"/>
      <c r="O48" s="287"/>
      <c r="P48" s="32" t="s">
        <v>69</v>
      </c>
      <c r="Q48" s="287"/>
    </row>
    <row r="49" spans="1:20">
      <c r="A49" s="290">
        <f>ROW()</f>
        <v>49</v>
      </c>
      <c r="B49" s="32" t="s">
        <v>113</v>
      </c>
      <c r="C49" s="51">
        <f t="shared" si="16"/>
        <v>701600</v>
      </c>
      <c r="D49" s="51">
        <f t="shared" si="17"/>
        <v>116933.33333333333</v>
      </c>
      <c r="E49" s="352">
        <f t="shared" si="18"/>
        <v>2.5376533698011104E-2</v>
      </c>
      <c r="F49" s="87">
        <f>'FFE&amp;T'!F43</f>
        <v>0</v>
      </c>
      <c r="G49" s="87">
        <f>'FFE&amp;T'!G43</f>
        <v>237350</v>
      </c>
      <c r="H49" s="87">
        <f>'FFE&amp;T'!H43</f>
        <v>110430</v>
      </c>
      <c r="I49" s="87">
        <f>'FFE&amp;T'!I43</f>
        <v>95810</v>
      </c>
      <c r="J49" s="87">
        <f>'FFE&amp;T'!J43</f>
        <v>101190</v>
      </c>
      <c r="K49" s="87">
        <f>'FFE&amp;T'!K43</f>
        <v>94570</v>
      </c>
      <c r="L49" s="87">
        <f>'FFE&amp;T'!L43</f>
        <v>62250</v>
      </c>
      <c r="M49" s="51"/>
      <c r="O49" s="287"/>
      <c r="P49" s="32" t="s">
        <v>69</v>
      </c>
      <c r="Q49" s="287"/>
    </row>
    <row r="50" spans="1:20">
      <c r="A50" s="290">
        <f>ROW()</f>
        <v>50</v>
      </c>
      <c r="B50" s="32" t="s">
        <v>96</v>
      </c>
      <c r="C50" s="51">
        <f t="shared" si="16"/>
        <v>0</v>
      </c>
      <c r="D50" s="51">
        <f t="shared" si="17"/>
        <v>0</v>
      </c>
      <c r="E50" s="352">
        <f t="shared" si="18"/>
        <v>0</v>
      </c>
      <c r="F50" s="87">
        <f>+'Gen Optg'!F184</f>
        <v>0</v>
      </c>
      <c r="G50" s="87">
        <f>+'Gen Optg'!G184</f>
        <v>0</v>
      </c>
      <c r="H50" s="87">
        <f>+'Gen Optg'!H184</f>
        <v>0</v>
      </c>
      <c r="I50" s="87">
        <f>+'Gen Optg'!I184</f>
        <v>0</v>
      </c>
      <c r="J50" s="87">
        <f>+'Gen Optg'!J184</f>
        <v>0</v>
      </c>
      <c r="K50" s="87">
        <f>+'Gen Optg'!K184</f>
        <v>0</v>
      </c>
      <c r="L50" s="87">
        <f>+'Gen Optg'!L184</f>
        <v>0</v>
      </c>
      <c r="M50" s="51"/>
      <c r="O50" s="287"/>
      <c r="P50" s="32" t="s">
        <v>69</v>
      </c>
      <c r="Q50" s="287"/>
    </row>
    <row r="51" spans="1:20">
      <c r="A51" s="290">
        <f>ROW()</f>
        <v>51</v>
      </c>
      <c r="B51" s="32" t="s">
        <v>1178</v>
      </c>
      <c r="C51" s="51">
        <f t="shared" si="16"/>
        <v>0</v>
      </c>
      <c r="D51" s="51">
        <f>IFERROR(AVERAGE(G51:L51),0)</f>
        <v>0</v>
      </c>
      <c r="E51" s="352">
        <f t="shared" si="18"/>
        <v>0</v>
      </c>
      <c r="F51" s="87"/>
      <c r="G51" s="87"/>
      <c r="H51" s="87"/>
      <c r="I51" s="87"/>
      <c r="J51" s="87"/>
      <c r="K51" s="87"/>
      <c r="L51" s="87"/>
      <c r="M51" s="51"/>
      <c r="O51" s="287"/>
      <c r="Q51" s="287"/>
    </row>
    <row r="52" spans="1:20">
      <c r="A52" s="290">
        <f>ROW()</f>
        <v>52</v>
      </c>
      <c r="B52" s="32" t="s">
        <v>51</v>
      </c>
      <c r="C52" s="51">
        <f t="shared" si="16"/>
        <v>114642</v>
      </c>
      <c r="D52" s="51">
        <f t="shared" si="17"/>
        <v>19107</v>
      </c>
      <c r="E52" s="352">
        <f t="shared" si="18"/>
        <v>4.1465458611849903E-3</v>
      </c>
      <c r="F52" s="87">
        <f>Ins!F51</f>
        <v>0</v>
      </c>
      <c r="G52" s="87">
        <f>Ins!G51</f>
        <v>19107</v>
      </c>
      <c r="H52" s="87">
        <f>Ins!H51</f>
        <v>19107</v>
      </c>
      <c r="I52" s="87">
        <f>Ins!I51</f>
        <v>19107</v>
      </c>
      <c r="J52" s="87">
        <f>Ins!J51</f>
        <v>19107</v>
      </c>
      <c r="K52" s="87">
        <f>Ins!K51</f>
        <v>19107</v>
      </c>
      <c r="L52" s="87">
        <f>Ins!L51</f>
        <v>19107</v>
      </c>
      <c r="M52" s="51"/>
      <c r="O52" s="287"/>
      <c r="P52" s="32" t="s">
        <v>69</v>
      </c>
      <c r="Q52" s="287"/>
    </row>
    <row r="53" spans="1:20">
      <c r="A53" s="290">
        <f>ROW()</f>
        <v>53</v>
      </c>
      <c r="B53" s="32" t="s">
        <v>1214</v>
      </c>
      <c r="C53" s="51">
        <f t="shared" ref="C53" si="19">SUM(F53:L53)</f>
        <v>0</v>
      </c>
      <c r="D53" s="51">
        <f t="shared" ref="D53" si="20">AVERAGE(G53:L53)</f>
        <v>0</v>
      </c>
      <c r="E53" s="352">
        <f t="shared" ref="E53" si="21">IFERROR(+D53/$D$35,0)</f>
        <v>0</v>
      </c>
      <c r="F53" s="87">
        <f>SUM(F44:F52)*$L$2</f>
        <v>0</v>
      </c>
      <c r="G53" s="87">
        <f t="shared" ref="G53:L53" si="22">SUM(G44:G52)*$L$2</f>
        <v>0</v>
      </c>
      <c r="H53" s="87">
        <f t="shared" si="22"/>
        <v>0</v>
      </c>
      <c r="I53" s="87">
        <f t="shared" si="22"/>
        <v>0</v>
      </c>
      <c r="J53" s="87">
        <f t="shared" si="22"/>
        <v>0</v>
      </c>
      <c r="K53" s="87">
        <f t="shared" si="22"/>
        <v>0</v>
      </c>
      <c r="L53" s="87">
        <f t="shared" si="22"/>
        <v>0</v>
      </c>
      <c r="M53" s="51"/>
      <c r="O53" s="287"/>
      <c r="Q53" s="287"/>
    </row>
    <row r="54" spans="1:20">
      <c r="A54" s="290">
        <f>ROW()</f>
        <v>54</v>
      </c>
      <c r="B54" s="696" t="s">
        <v>114</v>
      </c>
      <c r="C54" s="606">
        <f>SUM(C44:C52)</f>
        <v>17394146.705204591</v>
      </c>
      <c r="D54" s="606">
        <f>AVERAGE(G54:L54)</f>
        <v>2899024.4508674317</v>
      </c>
      <c r="E54" s="584">
        <f t="shared" si="18"/>
        <v>0.62913789910600504</v>
      </c>
      <c r="F54" s="958">
        <f t="shared" ref="F54:L54" si="23">SUM(F44:F53)</f>
        <v>0</v>
      </c>
      <c r="G54" s="958">
        <f t="shared" si="23"/>
        <v>2078404.23</v>
      </c>
      <c r="H54" s="958">
        <f t="shared" si="23"/>
        <v>2543681.9550000001</v>
      </c>
      <c r="I54" s="958">
        <f t="shared" si="23"/>
        <v>2826633.1324999998</v>
      </c>
      <c r="J54" s="958">
        <f t="shared" si="23"/>
        <v>3260001.8633499998</v>
      </c>
      <c r="K54" s="958">
        <f t="shared" si="23"/>
        <v>3345915.2865489502</v>
      </c>
      <c r="L54" s="958">
        <f t="shared" si="23"/>
        <v>3339510.2378056394</v>
      </c>
      <c r="M54" s="51"/>
      <c r="O54" s="287"/>
      <c r="P54" s="32" t="s">
        <v>69</v>
      </c>
      <c r="Q54" s="287"/>
    </row>
    <row r="55" spans="1:20">
      <c r="A55" s="290">
        <f>ROW()</f>
        <v>55</v>
      </c>
      <c r="B55" s="74" t="s">
        <v>115</v>
      </c>
      <c r="C55" s="354"/>
      <c r="D55" s="354"/>
      <c r="E55" s="353"/>
      <c r="F55" s="506">
        <f t="shared" ref="F55:L55" si="24">IFERROR(F54/F9,0)</f>
        <v>0</v>
      </c>
      <c r="G55" s="506">
        <f t="shared" si="24"/>
        <v>9036.5401304347834</v>
      </c>
      <c r="H55" s="506">
        <f t="shared" si="24"/>
        <v>8205.4256612903228</v>
      </c>
      <c r="I55" s="506">
        <f t="shared" si="24"/>
        <v>7247.7772628205121</v>
      </c>
      <c r="J55" s="506">
        <f t="shared" si="24"/>
        <v>6936.1741773404246</v>
      </c>
      <c r="K55" s="506">
        <f t="shared" si="24"/>
        <v>6083.4823391799091</v>
      </c>
      <c r="L55" s="506">
        <f t="shared" si="24"/>
        <v>5963.4111389386417</v>
      </c>
      <c r="M55" s="51"/>
      <c r="O55" s="287"/>
      <c r="P55" s="32" t="s">
        <v>69</v>
      </c>
      <c r="Q55" s="287"/>
    </row>
    <row r="56" spans="1:20">
      <c r="A56" s="290">
        <f>ROW()</f>
        <v>56</v>
      </c>
      <c r="B56" s="32" t="s">
        <v>144</v>
      </c>
      <c r="C56" s="51">
        <f t="shared" ref="C56:C57" si="25">SUM(F56:L56)</f>
        <v>0</v>
      </c>
      <c r="D56" s="51">
        <f t="shared" ref="D56:D57" si="26">AVERAGE(G56:L56)</f>
        <v>0</v>
      </c>
      <c r="E56" s="1823">
        <v>0</v>
      </c>
      <c r="F56" s="87">
        <f>+$E56*F54</f>
        <v>0</v>
      </c>
      <c r="G56" s="87">
        <f t="shared" ref="G56:L56" si="27">+$E56*G54</f>
        <v>0</v>
      </c>
      <c r="H56" s="87">
        <f t="shared" si="27"/>
        <v>0</v>
      </c>
      <c r="I56" s="87">
        <f t="shared" si="27"/>
        <v>0</v>
      </c>
      <c r="J56" s="87">
        <f t="shared" si="27"/>
        <v>0</v>
      </c>
      <c r="K56" s="87">
        <f t="shared" si="27"/>
        <v>0</v>
      </c>
      <c r="L56" s="87">
        <f t="shared" si="27"/>
        <v>0</v>
      </c>
      <c r="M56" s="51"/>
      <c r="O56" s="287"/>
      <c r="Q56" s="287"/>
    </row>
    <row r="57" spans="1:20">
      <c r="A57" s="290">
        <f>ROW()</f>
        <v>57</v>
      </c>
      <c r="B57" s="32" t="s">
        <v>1254</v>
      </c>
      <c r="C57" s="51">
        <f t="shared" si="25"/>
        <v>0</v>
      </c>
      <c r="D57" s="51">
        <f t="shared" si="26"/>
        <v>0</v>
      </c>
      <c r="E57" s="1823">
        <v>0</v>
      </c>
      <c r="F57" s="87">
        <f>+$E57*F54</f>
        <v>0</v>
      </c>
      <c r="G57" s="87">
        <f t="shared" ref="G57:L57" si="28">+$E57*G54</f>
        <v>0</v>
      </c>
      <c r="H57" s="87">
        <f t="shared" si="28"/>
        <v>0</v>
      </c>
      <c r="I57" s="87">
        <f t="shared" si="28"/>
        <v>0</v>
      </c>
      <c r="J57" s="87">
        <f t="shared" si="28"/>
        <v>0</v>
      </c>
      <c r="K57" s="87">
        <f t="shared" si="28"/>
        <v>0</v>
      </c>
      <c r="L57" s="87">
        <f t="shared" si="28"/>
        <v>0</v>
      </c>
      <c r="M57" s="51"/>
      <c r="O57" s="287"/>
      <c r="Q57" s="287"/>
    </row>
    <row r="58" spans="1:20">
      <c r="A58" s="290">
        <f>ROW()</f>
        <v>58</v>
      </c>
      <c r="M58" s="51"/>
      <c r="O58" s="287"/>
      <c r="Q58" s="287"/>
    </row>
    <row r="59" spans="1:20" ht="14.4" thickBot="1">
      <c r="A59" s="290">
        <f>ROW()</f>
        <v>59</v>
      </c>
      <c r="B59" s="30"/>
      <c r="C59" s="354"/>
      <c r="D59" s="354"/>
      <c r="E59" s="353"/>
      <c r="F59" s="542"/>
      <c r="G59" s="542"/>
      <c r="H59" s="542"/>
      <c r="I59" s="542"/>
      <c r="J59" s="542"/>
      <c r="K59" s="542"/>
      <c r="L59" s="542"/>
      <c r="M59" s="51"/>
      <c r="O59" s="287"/>
      <c r="Q59" s="287"/>
    </row>
    <row r="60" spans="1:20" ht="14.4" thickBot="1">
      <c r="A60" s="290">
        <f>ROW()</f>
        <v>60</v>
      </c>
      <c r="B60" s="1433" t="s">
        <v>116</v>
      </c>
      <c r="C60" s="1434">
        <f>C35-C54</f>
        <v>10253443.32223041</v>
      </c>
      <c r="D60" s="1434">
        <f>AVERAGE(G60:L60)</f>
        <v>1708907.2203717353</v>
      </c>
      <c r="E60" s="1435">
        <f>IFERROR(+D60/$D$35,0)</f>
        <v>0.37086210089399513</v>
      </c>
      <c r="F60" s="1436">
        <f t="shared" ref="F60:L60" si="29">F35-F54-SUM(F56:F57)</f>
        <v>0</v>
      </c>
      <c r="G60" s="1436">
        <f t="shared" si="29"/>
        <v>327593.02</v>
      </c>
      <c r="H60" s="1436">
        <f t="shared" si="29"/>
        <v>849238.84515899979</v>
      </c>
      <c r="I60" s="1436">
        <f t="shared" si="29"/>
        <v>1464828.0503229997</v>
      </c>
      <c r="J60" s="1436">
        <f t="shared" si="29"/>
        <v>1929999.7021370004</v>
      </c>
      <c r="K60" s="1436">
        <f t="shared" si="29"/>
        <v>2742626.6616020496</v>
      </c>
      <c r="L60" s="1436">
        <f t="shared" si="29"/>
        <v>2939157.0430093613</v>
      </c>
      <c r="M60" s="51"/>
      <c r="N60" s="683"/>
      <c r="O60" s="287" t="s">
        <v>117</v>
      </c>
      <c r="P60" s="56" t="s">
        <v>69</v>
      </c>
      <c r="Q60" s="287"/>
      <c r="R60" s="56"/>
      <c r="T60" s="57"/>
    </row>
    <row r="61" spans="1:20" ht="15" thickBot="1">
      <c r="A61" s="290">
        <f>ROW()</f>
        <v>61</v>
      </c>
      <c r="B61" s="154" t="s">
        <v>118</v>
      </c>
      <c r="C61" s="357"/>
      <c r="D61" s="357"/>
      <c r="E61" s="357"/>
      <c r="F61" s="543"/>
      <c r="G61" s="113">
        <f>IFERROR(G60/Statistics!G21,0)</f>
        <v>1424.3174782608696</v>
      </c>
      <c r="H61" s="113">
        <f>IFERROR(H60/Statistics!H21,0)</f>
        <v>2739.480145674193</v>
      </c>
      <c r="I61" s="113">
        <f>IFERROR(I60/Statistics!I21,0)</f>
        <v>3755.9693598025633</v>
      </c>
      <c r="J61" s="113">
        <f>IFERROR(J60/Statistics!J21,0)</f>
        <v>4106.3823449723413</v>
      </c>
      <c r="K61" s="113">
        <f>IFERROR(K60/Statistics!K21,0)</f>
        <v>4986.5939301855451</v>
      </c>
      <c r="L61" s="113">
        <f>IFERROR(L60/Statistics!L21,0)</f>
        <v>5248.494719659574</v>
      </c>
      <c r="M61" s="51"/>
      <c r="O61" s="287"/>
      <c r="P61" s="32" t="s">
        <v>69</v>
      </c>
      <c r="Q61" s="287"/>
    </row>
    <row r="62" spans="1:20" ht="15" thickBot="1">
      <c r="A62" s="290">
        <f>ROW()</f>
        <v>62</v>
      </c>
      <c r="B62" s="359" t="s">
        <v>119</v>
      </c>
      <c r="C62" s="360"/>
      <c r="D62" s="360"/>
      <c r="E62" s="356"/>
      <c r="F62" s="544">
        <f t="shared" ref="F62:L62" si="30">+F60+E62</f>
        <v>0</v>
      </c>
      <c r="G62" s="544">
        <f t="shared" si="30"/>
        <v>327593.02</v>
      </c>
      <c r="H62" s="544">
        <f t="shared" si="30"/>
        <v>1176831.8651589998</v>
      </c>
      <c r="I62" s="544">
        <f t="shared" si="30"/>
        <v>2641659.9154819995</v>
      </c>
      <c r="J62" s="544">
        <f t="shared" si="30"/>
        <v>4571659.6176190004</v>
      </c>
      <c r="K62" s="544">
        <f t="shared" si="30"/>
        <v>7314286.2792210504</v>
      </c>
      <c r="L62" s="544">
        <f t="shared" si="30"/>
        <v>10253443.322230412</v>
      </c>
      <c r="M62" s="358"/>
      <c r="O62" s="257" t="s">
        <v>120</v>
      </c>
      <c r="P62" s="32" t="s">
        <v>69</v>
      </c>
      <c r="Q62" s="1110"/>
      <c r="S62" s="52"/>
    </row>
    <row r="63" spans="1:20" ht="14.4">
      <c r="A63" s="290">
        <f>ROW()</f>
        <v>63</v>
      </c>
      <c r="B63" s="1034" t="s">
        <v>121</v>
      </c>
      <c r="C63" s="92">
        <f>SUM(F63:L63)</f>
        <v>0</v>
      </c>
      <c r="D63" s="33"/>
      <c r="E63" s="582"/>
      <c r="F63" s="583">
        <v>0</v>
      </c>
      <c r="G63" s="583">
        <v>0</v>
      </c>
      <c r="H63" s="583">
        <v>0</v>
      </c>
      <c r="I63" s="583">
        <v>0</v>
      </c>
      <c r="J63" s="583">
        <v>0</v>
      </c>
      <c r="K63" s="583">
        <v>0</v>
      </c>
      <c r="L63" s="583">
        <v>0</v>
      </c>
      <c r="M63" s="358"/>
      <c r="O63" s="287"/>
      <c r="Q63" s="287"/>
      <c r="S63" s="52"/>
    </row>
    <row r="64" spans="1:20" ht="14.4">
      <c r="A64" s="290">
        <f>ROW()</f>
        <v>64</v>
      </c>
      <c r="B64" s="1437" t="s">
        <v>1215</v>
      </c>
      <c r="C64" s="1438">
        <f t="shared" ref="C64" si="31">SUM(F64:L64)</f>
        <v>214639.19999999998</v>
      </c>
      <c r="D64" s="1438">
        <f t="shared" ref="D64" si="32">AVERAGE(G64:L64)</f>
        <v>35773.199999999997</v>
      </c>
      <c r="E64" s="1439"/>
      <c r="F64" s="1439"/>
      <c r="G64" s="1440">
        <f>+' Enrol &amp; Rev'!G118</f>
        <v>0</v>
      </c>
      <c r="H64" s="1440">
        <f>+' Enrol &amp; Rev'!H118</f>
        <v>29183.4</v>
      </c>
      <c r="I64" s="1440">
        <f>+' Enrol &amp; Rev'!I118</f>
        <v>36714.6</v>
      </c>
      <c r="J64" s="1440">
        <f>+' Enrol &amp; Rev'!J118</f>
        <v>44245.8</v>
      </c>
      <c r="K64" s="1440">
        <f>+' Enrol &amp; Rev'!K118</f>
        <v>51777</v>
      </c>
      <c r="L64" s="1440">
        <f>+' Enrol &amp; Rev'!L118</f>
        <v>52718.400000000001</v>
      </c>
      <c r="M64" s="358"/>
      <c r="O64" s="287"/>
      <c r="Q64" s="287"/>
      <c r="S64" s="52"/>
    </row>
    <row r="65" spans="1:19" ht="14.4">
      <c r="A65" s="290">
        <f>ROW()</f>
        <v>65</v>
      </c>
      <c r="B65" s="1034" t="s">
        <v>122</v>
      </c>
      <c r="C65" s="92"/>
      <c r="D65" s="33"/>
      <c r="E65" s="582"/>
      <c r="F65" s="1042"/>
      <c r="G65" s="1042"/>
      <c r="H65" s="1042"/>
      <c r="I65" s="1042"/>
      <c r="J65" s="1042"/>
      <c r="K65" s="1042"/>
      <c r="L65" s="1042"/>
      <c r="M65" s="358"/>
      <c r="O65" s="287"/>
      <c r="Q65" s="287"/>
      <c r="S65" s="52"/>
    </row>
    <row r="66" spans="1:19" ht="14.4">
      <c r="A66" s="290">
        <f>ROW()</f>
        <v>66</v>
      </c>
      <c r="B66" s="1034" t="s">
        <v>123</v>
      </c>
      <c r="C66" s="92"/>
      <c r="D66" s="33"/>
      <c r="E66" s="582"/>
      <c r="F66" s="1043"/>
      <c r="G66" s="1043"/>
      <c r="H66" s="1043"/>
      <c r="I66" s="1043"/>
      <c r="J66" s="1043"/>
      <c r="K66" s="1043"/>
      <c r="L66" s="1043"/>
      <c r="M66" s="358"/>
      <c r="O66" s="287"/>
      <c r="Q66" s="287"/>
      <c r="S66" s="52"/>
    </row>
    <row r="67" spans="1:19" ht="14.4">
      <c r="A67" s="290">
        <f>ROW()</f>
        <v>67</v>
      </c>
      <c r="B67" s="1034" t="s">
        <v>124</v>
      </c>
      <c r="C67" s="92"/>
      <c r="D67" s="33"/>
      <c r="E67" s="582"/>
      <c r="F67" s="1043"/>
      <c r="G67" s="1043"/>
      <c r="H67" s="1043"/>
      <c r="I67" s="1043"/>
      <c r="J67" s="1043"/>
      <c r="K67" s="1043"/>
      <c r="L67" s="1043"/>
      <c r="M67" s="358"/>
      <c r="O67" s="287"/>
      <c r="Q67" s="287"/>
      <c r="S67" s="52"/>
    </row>
    <row r="68" spans="1:19" ht="14.4" hidden="1" outlineLevel="1">
      <c r="A68" s="290">
        <f>ROW()</f>
        <v>68</v>
      </c>
      <c r="B68" s="1035" t="s">
        <v>125</v>
      </c>
      <c r="C68" s="1036"/>
      <c r="D68" s="1037"/>
      <c r="E68" s="582"/>
      <c r="F68" s="1045">
        <v>0</v>
      </c>
      <c r="G68" s="1044">
        <f>+F76</f>
        <v>0</v>
      </c>
      <c r="H68" s="1044">
        <f>+G76</f>
        <v>0</v>
      </c>
      <c r="I68" s="1044">
        <f t="shared" ref="I68:L68" si="33">+H76</f>
        <v>0</v>
      </c>
      <c r="J68" s="1044">
        <f t="shared" si="33"/>
        <v>0</v>
      </c>
      <c r="K68" s="1044">
        <f t="shared" si="33"/>
        <v>0</v>
      </c>
      <c r="L68" s="1044">
        <f t="shared" si="33"/>
        <v>0</v>
      </c>
      <c r="M68" s="358"/>
      <c r="O68" s="287"/>
      <c r="Q68" s="287"/>
      <c r="S68" s="52"/>
    </row>
    <row r="69" spans="1:19" ht="14.4" hidden="1" outlineLevel="1">
      <c r="A69" s="290">
        <f>ROW()</f>
        <v>69</v>
      </c>
      <c r="B69" s="1035" t="s">
        <v>126</v>
      </c>
      <c r="C69" s="1036"/>
      <c r="D69" s="1037"/>
      <c r="E69" s="582"/>
      <c r="F69" s="1043">
        <f t="shared" ref="F69:L69" si="34">IF(F60&lt;0,-F60,0)</f>
        <v>0</v>
      </c>
      <c r="G69" s="1043">
        <f t="shared" si="34"/>
        <v>0</v>
      </c>
      <c r="H69" s="1043">
        <f t="shared" si="34"/>
        <v>0</v>
      </c>
      <c r="I69" s="1043">
        <f t="shared" si="34"/>
        <v>0</v>
      </c>
      <c r="J69" s="1043">
        <f t="shared" si="34"/>
        <v>0</v>
      </c>
      <c r="K69" s="1043">
        <f t="shared" si="34"/>
        <v>0</v>
      </c>
      <c r="L69" s="1043">
        <f t="shared" si="34"/>
        <v>0</v>
      </c>
      <c r="M69" s="358"/>
      <c r="O69" s="287"/>
      <c r="Q69" s="287"/>
      <c r="S69" s="52"/>
    </row>
    <row r="70" spans="1:19" ht="14.4" hidden="1" outlineLevel="1">
      <c r="A70" s="290">
        <f>ROW()</f>
        <v>70</v>
      </c>
      <c r="B70" s="1035" t="s">
        <v>127</v>
      </c>
      <c r="C70" s="1036"/>
      <c r="D70" s="1053">
        <v>0.06</v>
      </c>
      <c r="E70" s="582"/>
      <c r="F70" s="1043"/>
      <c r="G70" s="1043">
        <f>G68*$D$70</f>
        <v>0</v>
      </c>
      <c r="H70" s="1043">
        <f t="shared" ref="H70:L70" si="35">H68*$D$70</f>
        <v>0</v>
      </c>
      <c r="I70" s="1043">
        <f t="shared" si="35"/>
        <v>0</v>
      </c>
      <c r="J70" s="1043">
        <f t="shared" si="35"/>
        <v>0</v>
      </c>
      <c r="K70" s="1043">
        <f t="shared" si="35"/>
        <v>0</v>
      </c>
      <c r="L70" s="1043">
        <f t="shared" si="35"/>
        <v>0</v>
      </c>
      <c r="M70" s="358"/>
      <c r="O70" s="287"/>
      <c r="Q70" s="287"/>
      <c r="S70" s="52"/>
    </row>
    <row r="71" spans="1:19" ht="14.4" hidden="1" outlineLevel="1">
      <c r="A71" s="290">
        <f>ROW()</f>
        <v>71</v>
      </c>
      <c r="B71" s="1035"/>
      <c r="C71" s="1036"/>
      <c r="D71" s="1036"/>
      <c r="E71" s="582"/>
      <c r="F71" s="1044">
        <f>SUM(F68:F70)</f>
        <v>0</v>
      </c>
      <c r="G71" s="1044">
        <f>SUM(G68:G70)</f>
        <v>0</v>
      </c>
      <c r="H71" s="1044">
        <f t="shared" ref="H71:L71" si="36">SUM(H68:H70)</f>
        <v>0</v>
      </c>
      <c r="I71" s="1044">
        <f t="shared" si="36"/>
        <v>0</v>
      </c>
      <c r="J71" s="1044">
        <f t="shared" si="36"/>
        <v>0</v>
      </c>
      <c r="K71" s="1044">
        <f t="shared" si="36"/>
        <v>0</v>
      </c>
      <c r="L71" s="1044">
        <f t="shared" si="36"/>
        <v>0</v>
      </c>
      <c r="M71" s="358"/>
      <c r="O71" s="287"/>
      <c r="Q71" s="287"/>
      <c r="S71" s="52"/>
    </row>
    <row r="72" spans="1:19" ht="14.4" hidden="1" outlineLevel="1">
      <c r="A72" s="290">
        <f>ROW()</f>
        <v>72</v>
      </c>
      <c r="B72" s="1064" t="s">
        <v>128</v>
      </c>
      <c r="C72" s="1065"/>
      <c r="D72" s="1065"/>
      <c r="E72" s="582"/>
      <c r="F72" s="1043"/>
      <c r="G72" s="1043"/>
      <c r="H72" s="1043"/>
      <c r="I72" s="1043"/>
      <c r="J72" s="1043"/>
      <c r="K72" s="1043"/>
      <c r="L72" s="1043"/>
      <c r="M72" s="358"/>
      <c r="O72" s="287"/>
      <c r="Q72" s="287"/>
      <c r="S72" s="52"/>
    </row>
    <row r="73" spans="1:19" ht="14.4" hidden="1" outlineLevel="1">
      <c r="A73" s="290">
        <f>ROW()</f>
        <v>73</v>
      </c>
      <c r="B73" s="1035" t="s">
        <v>129</v>
      </c>
      <c r="C73" s="1036"/>
      <c r="D73" s="1037"/>
      <c r="E73" s="582"/>
      <c r="F73" s="1043">
        <f t="shared" ref="F73:L73" si="37">IF(F60&gt;0,F60,F60+F68+F69+F70)</f>
        <v>0</v>
      </c>
      <c r="G73" s="1043">
        <f t="shared" si="37"/>
        <v>327593.02</v>
      </c>
      <c r="H73" s="1043">
        <f t="shared" si="37"/>
        <v>849238.84515899979</v>
      </c>
      <c r="I73" s="1043">
        <f t="shared" si="37"/>
        <v>1464828.0503229997</v>
      </c>
      <c r="J73" s="1043">
        <f t="shared" si="37"/>
        <v>1929999.7021370004</v>
      </c>
      <c r="K73" s="1043">
        <f t="shared" si="37"/>
        <v>2742626.6616020496</v>
      </c>
      <c r="L73" s="1043">
        <f t="shared" si="37"/>
        <v>2939157.0430093613</v>
      </c>
      <c r="M73" s="358"/>
      <c r="O73" s="287"/>
      <c r="Q73" s="287"/>
      <c r="S73" s="52"/>
    </row>
    <row r="74" spans="1:19" ht="14.4" hidden="1" outlineLevel="1">
      <c r="A74" s="290">
        <f>ROW()</f>
        <v>74</v>
      </c>
      <c r="B74" s="1035" t="s">
        <v>130</v>
      </c>
      <c r="C74" s="1036"/>
      <c r="D74" s="1037"/>
      <c r="E74" s="582"/>
      <c r="F74" s="1043">
        <f>+E74+F73</f>
        <v>0</v>
      </c>
      <c r="G74" s="1043">
        <f>+F74+G73</f>
        <v>327593.02</v>
      </c>
      <c r="H74" s="1043">
        <f>+G74+H73</f>
        <v>1176831.8651589998</v>
      </c>
      <c r="I74" s="1043">
        <f t="shared" ref="I74:L74" si="38">+H74+I73</f>
        <v>2641659.9154819995</v>
      </c>
      <c r="J74" s="1043">
        <f t="shared" si="38"/>
        <v>4571659.6176190004</v>
      </c>
      <c r="K74" s="1043">
        <f t="shared" si="38"/>
        <v>7314286.2792210504</v>
      </c>
      <c r="L74" s="1043">
        <f t="shared" si="38"/>
        <v>10253443.322230412</v>
      </c>
      <c r="M74" s="358"/>
      <c r="O74" s="287"/>
      <c r="Q74" s="287"/>
      <c r="S74" s="52"/>
    </row>
    <row r="75" spans="1:19" ht="14.4" hidden="1" outlineLevel="1">
      <c r="A75" s="290">
        <f>ROW()</f>
        <v>75</v>
      </c>
      <c r="B75" s="1035" t="s">
        <v>131</v>
      </c>
      <c r="C75" s="1036"/>
      <c r="D75" s="1037"/>
      <c r="E75" s="582"/>
      <c r="F75" s="1054">
        <f t="shared" ref="F75:L75" si="39">IF(F60&gt;0,MIN(F73,F60,(F68+F70+F69)),0)</f>
        <v>0</v>
      </c>
      <c r="G75" s="1054">
        <f t="shared" si="39"/>
        <v>0</v>
      </c>
      <c r="H75" s="1054">
        <f t="shared" si="39"/>
        <v>0</v>
      </c>
      <c r="I75" s="1054">
        <f t="shared" si="39"/>
        <v>0</v>
      </c>
      <c r="J75" s="1054">
        <f t="shared" si="39"/>
        <v>0</v>
      </c>
      <c r="K75" s="1054">
        <f t="shared" si="39"/>
        <v>0</v>
      </c>
      <c r="L75" s="1054">
        <f t="shared" si="39"/>
        <v>0</v>
      </c>
      <c r="M75" s="358"/>
      <c r="O75" s="287"/>
      <c r="Q75" s="287"/>
      <c r="S75" s="52"/>
    </row>
    <row r="76" spans="1:19" ht="14.4" hidden="1" outlineLevel="1">
      <c r="A76" s="290">
        <f>ROW()</f>
        <v>76</v>
      </c>
      <c r="B76" s="1035" t="s">
        <v>132</v>
      </c>
      <c r="C76" s="1036"/>
      <c r="D76" s="1037"/>
      <c r="E76" s="582"/>
      <c r="F76" s="1044">
        <f t="shared" ref="F76:L76" si="40">F68+F69+F70-F75</f>
        <v>0</v>
      </c>
      <c r="G76" s="1044">
        <f t="shared" si="40"/>
        <v>0</v>
      </c>
      <c r="H76" s="1044">
        <f t="shared" si="40"/>
        <v>0</v>
      </c>
      <c r="I76" s="1044">
        <f t="shared" si="40"/>
        <v>0</v>
      </c>
      <c r="J76" s="1044">
        <f t="shared" si="40"/>
        <v>0</v>
      </c>
      <c r="K76" s="1044">
        <f t="shared" si="40"/>
        <v>0</v>
      </c>
      <c r="L76" s="1044">
        <f t="shared" si="40"/>
        <v>0</v>
      </c>
      <c r="M76" s="358"/>
      <c r="O76" s="287"/>
      <c r="Q76" s="287"/>
      <c r="S76" s="52"/>
    </row>
    <row r="77" spans="1:19" ht="14.4" hidden="1" outlineLevel="1">
      <c r="A77" s="290">
        <f>ROW()</f>
        <v>77</v>
      </c>
      <c r="B77" s="1035"/>
      <c r="C77" s="1036"/>
      <c r="D77" s="1037"/>
      <c r="E77" s="582"/>
      <c r="F77" s="1043"/>
      <c r="G77" s="1043"/>
      <c r="H77" s="1043"/>
      <c r="I77" s="1043"/>
      <c r="J77" s="1043"/>
      <c r="K77" s="1043"/>
      <c r="L77" s="1043"/>
      <c r="M77" s="358"/>
      <c r="O77" s="287"/>
      <c r="Q77" s="287"/>
      <c r="S77" s="52"/>
    </row>
    <row r="78" spans="1:19" ht="14.4" hidden="1" outlineLevel="1">
      <c r="A78" s="290">
        <f>ROW()</f>
        <v>78</v>
      </c>
      <c r="B78" s="1035" t="s">
        <v>133</v>
      </c>
      <c r="C78" s="1036"/>
      <c r="D78" s="1037"/>
      <c r="E78" s="582"/>
      <c r="F78" s="1043">
        <f t="shared" ref="F78:L78" si="41">IF(F60&gt;0,F60-F75,0)</f>
        <v>0</v>
      </c>
      <c r="G78" s="1043">
        <f t="shared" si="41"/>
        <v>327593.02</v>
      </c>
      <c r="H78" s="1043">
        <f t="shared" si="41"/>
        <v>849238.84515899979</v>
      </c>
      <c r="I78" s="1043">
        <f t="shared" si="41"/>
        <v>1464828.0503229997</v>
      </c>
      <c r="J78" s="1043">
        <f t="shared" si="41"/>
        <v>1929999.7021370004</v>
      </c>
      <c r="K78" s="1043">
        <f t="shared" si="41"/>
        <v>2742626.6616020496</v>
      </c>
      <c r="L78" s="1043">
        <f t="shared" si="41"/>
        <v>2939157.0430093613</v>
      </c>
      <c r="M78" s="358"/>
      <c r="O78" s="287"/>
      <c r="Q78" s="287"/>
      <c r="S78" s="52"/>
    </row>
    <row r="79" spans="1:19" ht="14.4" hidden="1" outlineLevel="1">
      <c r="A79" s="290">
        <f>ROW()</f>
        <v>79</v>
      </c>
      <c r="B79" s="1035" t="s">
        <v>134</v>
      </c>
      <c r="C79" s="1036"/>
      <c r="D79" s="1037"/>
      <c r="E79" s="582"/>
      <c r="F79" s="1043">
        <f t="shared" ref="F79:H79" si="42">+F78+E79</f>
        <v>0</v>
      </c>
      <c r="G79" s="1043">
        <f t="shared" si="42"/>
        <v>327593.02</v>
      </c>
      <c r="H79" s="1043">
        <f t="shared" si="42"/>
        <v>1176831.8651589998</v>
      </c>
      <c r="I79" s="1043">
        <f>+I78+H79</f>
        <v>2641659.9154819995</v>
      </c>
      <c r="J79" s="1043">
        <f t="shared" ref="J79:L79" si="43">+J78+I79</f>
        <v>4571659.6176190004</v>
      </c>
      <c r="K79" s="1043">
        <f t="shared" si="43"/>
        <v>7314286.2792210504</v>
      </c>
      <c r="L79" s="1043">
        <f t="shared" si="43"/>
        <v>10253443.322230412</v>
      </c>
      <c r="M79" s="358"/>
      <c r="O79" s="287"/>
      <c r="Q79" s="287"/>
      <c r="S79" s="52"/>
    </row>
    <row r="80" spans="1:19" ht="14.4" collapsed="1">
      <c r="A80" s="290">
        <f>ROW()</f>
        <v>80</v>
      </c>
      <c r="B80" s="582"/>
      <c r="C80" s="582"/>
      <c r="D80" s="582"/>
      <c r="E80" s="582"/>
      <c r="F80" s="92"/>
      <c r="G80" s="92"/>
      <c r="H80" s="92"/>
      <c r="I80" s="92"/>
      <c r="J80" s="92"/>
      <c r="K80" s="92"/>
      <c r="L80" s="92"/>
      <c r="M80" s="358"/>
      <c r="O80" s="287"/>
      <c r="Q80" s="287"/>
      <c r="S80" s="52"/>
    </row>
    <row r="81" spans="1:19" ht="14.4">
      <c r="A81" s="290">
        <f>ROW()</f>
        <v>81</v>
      </c>
      <c r="B81" s="1441" t="s">
        <v>135</v>
      </c>
      <c r="C81" s="1122"/>
      <c r="D81" s="1442"/>
      <c r="E81" s="1098"/>
      <c r="F81" s="583">
        <v>0</v>
      </c>
      <c r="G81" s="583">
        <v>0</v>
      </c>
      <c r="H81" s="583">
        <v>0</v>
      </c>
      <c r="I81" s="583">
        <v>0</v>
      </c>
      <c r="J81" s="583">
        <v>0</v>
      </c>
      <c r="K81" s="583">
        <v>0</v>
      </c>
      <c r="L81" s="583">
        <v>0</v>
      </c>
      <c r="M81" s="358"/>
      <c r="O81" s="287"/>
      <c r="Q81" s="287"/>
      <c r="S81" s="52"/>
    </row>
    <row r="82" spans="1:19" ht="14.4">
      <c r="A82" s="290">
        <f>ROW()</f>
        <v>82</v>
      </c>
      <c r="B82" s="1441" t="s">
        <v>136</v>
      </c>
      <c r="C82" s="1122"/>
      <c r="D82" s="1442"/>
      <c r="E82" s="1098"/>
      <c r="F82" s="243">
        <v>0</v>
      </c>
      <c r="G82" s="243">
        <v>0</v>
      </c>
      <c r="H82" s="243">
        <v>0</v>
      </c>
      <c r="I82" s="243">
        <v>0</v>
      </c>
      <c r="J82" s="243">
        <v>0</v>
      </c>
      <c r="K82" s="243">
        <v>0</v>
      </c>
      <c r="L82" s="243">
        <v>0</v>
      </c>
      <c r="M82" s="358"/>
      <c r="O82" s="287"/>
      <c r="Q82" s="287"/>
      <c r="S82" s="52"/>
    </row>
    <row r="83" spans="1:19" ht="15" thickBot="1">
      <c r="A83" s="290">
        <f>ROW()</f>
        <v>83</v>
      </c>
      <c r="B83" s="589" t="s">
        <v>137</v>
      </c>
      <c r="C83" s="590"/>
      <c r="D83" s="590"/>
      <c r="E83" s="591"/>
      <c r="F83" s="676">
        <f t="shared" ref="F83:L83" si="44">SUM(F81:F82)</f>
        <v>0</v>
      </c>
      <c r="G83" s="676">
        <f t="shared" si="44"/>
        <v>0</v>
      </c>
      <c r="H83" s="676">
        <f t="shared" si="44"/>
        <v>0</v>
      </c>
      <c r="I83" s="676">
        <f t="shared" si="44"/>
        <v>0</v>
      </c>
      <c r="J83" s="676">
        <f t="shared" si="44"/>
        <v>0</v>
      </c>
      <c r="K83" s="676">
        <f t="shared" si="44"/>
        <v>0</v>
      </c>
      <c r="L83" s="676">
        <f t="shared" si="44"/>
        <v>0</v>
      </c>
      <c r="M83" s="358"/>
      <c r="O83" s="287"/>
      <c r="Q83" s="287"/>
      <c r="S83" s="52"/>
    </row>
    <row r="84" spans="1:19" ht="15" thickBot="1">
      <c r="A84" s="290">
        <f>ROW()</f>
        <v>84</v>
      </c>
      <c r="B84" s="359" t="s">
        <v>138</v>
      </c>
      <c r="C84" s="360"/>
      <c r="D84" s="360"/>
      <c r="E84" s="356"/>
      <c r="F84" s="544">
        <f t="shared" ref="F84:L84" si="45">+F60-F63-F83</f>
        <v>0</v>
      </c>
      <c r="G84" s="544">
        <f t="shared" si="45"/>
        <v>327593.02</v>
      </c>
      <c r="H84" s="544">
        <f t="shared" si="45"/>
        <v>849238.84515899979</v>
      </c>
      <c r="I84" s="544">
        <f t="shared" si="45"/>
        <v>1464828.0503229997</v>
      </c>
      <c r="J84" s="544">
        <f t="shared" si="45"/>
        <v>1929999.7021370004</v>
      </c>
      <c r="K84" s="544">
        <f t="shared" si="45"/>
        <v>2742626.6616020496</v>
      </c>
      <c r="L84" s="544">
        <f t="shared" si="45"/>
        <v>2939157.0430093613</v>
      </c>
      <c r="M84" s="358"/>
      <c r="O84" s="287"/>
      <c r="Q84" s="287"/>
      <c r="S84" s="52"/>
    </row>
    <row r="85" spans="1:19" ht="14.4">
      <c r="A85" s="290">
        <f>ROW()</f>
        <v>85</v>
      </c>
      <c r="B85" s="154"/>
      <c r="C85" s="357"/>
      <c r="D85" s="357"/>
      <c r="E85" s="357"/>
      <c r="F85" s="545"/>
      <c r="G85" s="545"/>
      <c r="H85" s="545"/>
      <c r="I85" s="545"/>
      <c r="J85" s="545"/>
      <c r="K85" s="545"/>
      <c r="L85" s="545"/>
      <c r="M85" s="358"/>
      <c r="O85" s="287"/>
      <c r="P85" s="32" t="s">
        <v>69</v>
      </c>
      <c r="Q85" s="287"/>
    </row>
    <row r="86" spans="1:19" ht="14.4">
      <c r="A86" s="290">
        <f>ROW()</f>
        <v>86</v>
      </c>
      <c r="B86" s="154" t="s">
        <v>139</v>
      </c>
      <c r="C86" s="357"/>
      <c r="D86" s="357"/>
      <c r="E86" s="357"/>
      <c r="F86" s="543">
        <f t="shared" ref="F86:L86" si="46">+F60-(SUM(F33:F34))-F28</f>
        <v>0</v>
      </c>
      <c r="G86" s="543">
        <f t="shared" si="46"/>
        <v>327593.02</v>
      </c>
      <c r="H86" s="543">
        <f t="shared" si="46"/>
        <v>849238.84515899979</v>
      </c>
      <c r="I86" s="543">
        <f t="shared" si="46"/>
        <v>1464828.0503229997</v>
      </c>
      <c r="J86" s="543">
        <f t="shared" si="46"/>
        <v>1929999.7021370004</v>
      </c>
      <c r="K86" s="543">
        <f t="shared" si="46"/>
        <v>2742626.6616020496</v>
      </c>
      <c r="L86" s="543">
        <f t="shared" si="46"/>
        <v>2939157.0430093613</v>
      </c>
      <c r="M86" s="358"/>
      <c r="O86" s="287"/>
      <c r="P86" s="32" t="s">
        <v>69</v>
      </c>
      <c r="Q86" s="287"/>
    </row>
    <row r="87" spans="1:19" ht="14.4">
      <c r="A87" s="290">
        <f>ROW()</f>
        <v>87</v>
      </c>
      <c r="B87" s="154" t="s">
        <v>140</v>
      </c>
      <c r="C87" s="357"/>
      <c r="D87" s="357"/>
      <c r="E87" s="357"/>
      <c r="F87" s="545"/>
      <c r="G87" s="543">
        <f t="shared" ref="G87:L87" si="47">+G86+F87</f>
        <v>327593.02</v>
      </c>
      <c r="H87" s="543">
        <f t="shared" si="47"/>
        <v>1176831.8651589998</v>
      </c>
      <c r="I87" s="543">
        <f t="shared" si="47"/>
        <v>2641659.9154819995</v>
      </c>
      <c r="J87" s="543">
        <f t="shared" si="47"/>
        <v>4571659.6176190004</v>
      </c>
      <c r="K87" s="543">
        <f t="shared" si="47"/>
        <v>7314286.2792210504</v>
      </c>
      <c r="L87" s="543">
        <f t="shared" si="47"/>
        <v>10253443.322230412</v>
      </c>
      <c r="M87" s="358"/>
      <c r="O87" s="287"/>
      <c r="P87" s="32" t="s">
        <v>69</v>
      </c>
      <c r="Q87" s="287"/>
    </row>
    <row r="88" spans="1:19" ht="14.4">
      <c r="A88" s="290">
        <f>ROW()</f>
        <v>88</v>
      </c>
      <c r="B88" s="154"/>
      <c r="C88" s="357"/>
      <c r="D88" s="357"/>
      <c r="E88" s="357"/>
      <c r="F88" s="545"/>
      <c r="G88" s="545"/>
      <c r="H88" s="545"/>
      <c r="I88" s="545"/>
      <c r="J88" s="545"/>
      <c r="K88" s="545"/>
      <c r="L88" s="545"/>
      <c r="M88" s="358"/>
      <c r="O88" s="287"/>
      <c r="P88" s="32" t="s">
        <v>69</v>
      </c>
      <c r="Q88" s="287"/>
    </row>
    <row r="89" spans="1:19" ht="14.4">
      <c r="A89" s="290">
        <f>ROW()</f>
        <v>89</v>
      </c>
      <c r="B89" s="1264" t="s">
        <v>141</v>
      </c>
      <c r="M89" s="358"/>
      <c r="O89" s="287"/>
      <c r="P89" s="32" t="s">
        <v>69</v>
      </c>
      <c r="Q89" s="287"/>
    </row>
    <row r="90" spans="1:19">
      <c r="A90" s="290">
        <f>ROW()</f>
        <v>90</v>
      </c>
      <c r="B90" s="30" t="s">
        <v>142</v>
      </c>
      <c r="M90" s="361"/>
      <c r="O90" s="287"/>
      <c r="P90" s="32" t="s">
        <v>69</v>
      </c>
      <c r="Q90" s="287"/>
    </row>
    <row r="91" spans="1:19" ht="14.4">
      <c r="A91" s="290">
        <f>ROW()</f>
        <v>91</v>
      </c>
      <c r="B91" s="154" t="s">
        <v>1180</v>
      </c>
      <c r="F91" s="52">
        <f t="shared" ref="F91:L91" si="48">+F60</f>
        <v>0</v>
      </c>
      <c r="G91" s="52">
        <f t="shared" si="48"/>
        <v>327593.02</v>
      </c>
      <c r="H91" s="52">
        <f t="shared" si="48"/>
        <v>849238.84515899979</v>
      </c>
      <c r="I91" s="52">
        <f t="shared" si="48"/>
        <v>1464828.0503229997</v>
      </c>
      <c r="J91" s="52">
        <f t="shared" si="48"/>
        <v>1929999.7021370004</v>
      </c>
      <c r="K91" s="52">
        <f t="shared" si="48"/>
        <v>2742626.6616020496</v>
      </c>
      <c r="L91" s="52">
        <f t="shared" si="48"/>
        <v>2939157.0430093613</v>
      </c>
      <c r="M91" s="361"/>
      <c r="O91" s="287"/>
      <c r="Q91" s="287"/>
    </row>
    <row r="92" spans="1:19" ht="14.4">
      <c r="A92" s="290">
        <f>ROW()</f>
        <v>92</v>
      </c>
      <c r="B92" s="154" t="s">
        <v>1181</v>
      </c>
      <c r="F92" s="1392">
        <v>0</v>
      </c>
      <c r="G92" s="1392">
        <v>0.1</v>
      </c>
      <c r="H92" s="1392">
        <v>0.1</v>
      </c>
      <c r="I92" s="1392">
        <v>0.1</v>
      </c>
      <c r="J92" s="1392">
        <v>0.1</v>
      </c>
      <c r="K92" s="1392">
        <v>0.1</v>
      </c>
      <c r="L92" s="1392">
        <v>0.1</v>
      </c>
      <c r="M92" s="361"/>
      <c r="O92" s="287"/>
      <c r="Q92" s="287"/>
    </row>
    <row r="93" spans="1:19" ht="14.4">
      <c r="A93" s="290">
        <f>ROW()</f>
        <v>93</v>
      </c>
      <c r="B93" s="154" t="s">
        <v>1182</v>
      </c>
      <c r="F93" s="1393">
        <v>0</v>
      </c>
      <c r="G93" s="1393">
        <v>0</v>
      </c>
      <c r="H93" s="1393">
        <v>0</v>
      </c>
      <c r="I93" s="1393">
        <v>0</v>
      </c>
      <c r="J93" s="1393">
        <v>0</v>
      </c>
      <c r="K93" s="1393">
        <v>0</v>
      </c>
      <c r="L93" s="1393">
        <v>0</v>
      </c>
      <c r="M93" s="361"/>
      <c r="O93" s="287"/>
      <c r="Q93" s="287"/>
    </row>
    <row r="94" spans="1:19" ht="14.4">
      <c r="A94" s="290">
        <f>ROW()</f>
        <v>94</v>
      </c>
      <c r="B94" s="154" t="s">
        <v>1183</v>
      </c>
      <c r="F94" s="1393"/>
      <c r="G94" s="1393">
        <v>0</v>
      </c>
      <c r="H94" s="1393">
        <v>0</v>
      </c>
      <c r="I94" s="1393">
        <v>0</v>
      </c>
      <c r="J94" s="1393">
        <v>0</v>
      </c>
      <c r="K94" s="1393">
        <v>0</v>
      </c>
      <c r="L94" s="1393">
        <v>0</v>
      </c>
      <c r="M94" s="361"/>
      <c r="O94" s="287"/>
      <c r="Q94" s="287"/>
    </row>
    <row r="95" spans="1:19">
      <c r="A95" s="290">
        <f>ROW()</f>
        <v>95</v>
      </c>
      <c r="B95" s="84" t="s">
        <v>1185</v>
      </c>
      <c r="F95" s="1283">
        <f>+F91*F92+F93+F94</f>
        <v>0</v>
      </c>
      <c r="G95" s="1283">
        <f>+G91*G92+G93+G94</f>
        <v>32759.302000000003</v>
      </c>
      <c r="H95" s="1283">
        <f t="shared" ref="H95:L95" si="49">+H91*H92+H93+H94</f>
        <v>84923.88451589999</v>
      </c>
      <c r="I95" s="1283">
        <f t="shared" si="49"/>
        <v>146482.80503229998</v>
      </c>
      <c r="J95" s="1283">
        <f t="shared" si="49"/>
        <v>192999.97021370006</v>
      </c>
      <c r="K95" s="1283">
        <f t="shared" si="49"/>
        <v>274262.66616020497</v>
      </c>
      <c r="L95" s="1283">
        <f t="shared" si="49"/>
        <v>293915.70430093614</v>
      </c>
      <c r="M95" s="362"/>
      <c r="O95" s="287"/>
      <c r="P95" s="32" t="s">
        <v>69</v>
      </c>
      <c r="Q95" s="287"/>
    </row>
    <row r="96" spans="1:19">
      <c r="A96" s="290">
        <f>ROW()</f>
        <v>96</v>
      </c>
      <c r="B96" s="84" t="s">
        <v>1184</v>
      </c>
      <c r="F96" s="1283">
        <v>0</v>
      </c>
      <c r="G96" s="1283">
        <v>0</v>
      </c>
      <c r="H96" s="1283">
        <v>0</v>
      </c>
      <c r="I96" s="1283">
        <v>0</v>
      </c>
      <c r="J96" s="1283">
        <v>0</v>
      </c>
      <c r="K96" s="1283">
        <v>0</v>
      </c>
      <c r="L96" s="1283">
        <v>0</v>
      </c>
      <c r="M96" s="362"/>
      <c r="O96" s="287"/>
      <c r="Q96" s="287"/>
    </row>
    <row r="97" spans="1:19">
      <c r="A97" s="290">
        <f>ROW()</f>
        <v>97</v>
      </c>
      <c r="B97" s="84" t="s">
        <v>1190</v>
      </c>
      <c r="F97" s="1283">
        <v>0</v>
      </c>
      <c r="G97" s="1283">
        <v>0</v>
      </c>
      <c r="H97" s="1283">
        <v>0</v>
      </c>
      <c r="I97" s="1283">
        <v>0</v>
      </c>
      <c r="J97" s="1283">
        <v>0</v>
      </c>
      <c r="K97" s="1283">
        <v>0</v>
      </c>
      <c r="L97" s="1283">
        <v>0</v>
      </c>
      <c r="M97" s="362"/>
      <c r="O97" s="287"/>
      <c r="Q97" s="287"/>
    </row>
    <row r="98" spans="1:19">
      <c r="A98" s="290">
        <f>ROW()</f>
        <v>98</v>
      </c>
      <c r="B98" s="84" t="s">
        <v>143</v>
      </c>
      <c r="F98" s="1239">
        <v>0</v>
      </c>
      <c r="G98" s="1239">
        <v>0</v>
      </c>
      <c r="H98" s="1239">
        <v>0</v>
      </c>
      <c r="I98" s="1239">
        <v>0</v>
      </c>
      <c r="J98" s="1239">
        <v>0</v>
      </c>
      <c r="K98" s="1239">
        <v>0</v>
      </c>
      <c r="L98" s="1239">
        <v>0</v>
      </c>
      <c r="M98" s="362"/>
      <c r="O98" s="287"/>
      <c r="Q98" s="287"/>
    </row>
    <row r="99" spans="1:19">
      <c r="A99" s="290">
        <f>ROW()</f>
        <v>99</v>
      </c>
      <c r="B99" s="84" t="s">
        <v>1230</v>
      </c>
      <c r="F99" s="52">
        <f t="shared" ref="F99:L99" si="50">+F63</f>
        <v>0</v>
      </c>
      <c r="G99" s="52">
        <f t="shared" si="50"/>
        <v>0</v>
      </c>
      <c r="H99" s="52">
        <f t="shared" si="50"/>
        <v>0</v>
      </c>
      <c r="I99" s="52">
        <f t="shared" si="50"/>
        <v>0</v>
      </c>
      <c r="J99" s="52">
        <f t="shared" si="50"/>
        <v>0</v>
      </c>
      <c r="K99" s="52">
        <f t="shared" si="50"/>
        <v>0</v>
      </c>
      <c r="L99" s="52">
        <f t="shared" si="50"/>
        <v>0</v>
      </c>
      <c r="M99" s="364"/>
      <c r="O99" s="287"/>
      <c r="P99" s="32" t="s">
        <v>69</v>
      </c>
      <c r="Q99" s="287"/>
      <c r="S99" s="291"/>
    </row>
    <row r="100" spans="1:19">
      <c r="A100" s="290">
        <f>ROW()</f>
        <v>100</v>
      </c>
      <c r="B100" s="84" t="s">
        <v>1229</v>
      </c>
      <c r="F100" s="1239">
        <v>0</v>
      </c>
      <c r="G100" s="1239">
        <v>0</v>
      </c>
      <c r="H100" s="1239">
        <v>0</v>
      </c>
      <c r="I100" s="1239">
        <v>0</v>
      </c>
      <c r="J100" s="1239">
        <v>0</v>
      </c>
      <c r="K100" s="1239">
        <v>0</v>
      </c>
      <c r="L100" s="1239">
        <v>0</v>
      </c>
      <c r="M100" s="364"/>
      <c r="O100" s="287"/>
      <c r="Q100" s="287"/>
      <c r="S100" s="291"/>
    </row>
    <row r="101" spans="1:19">
      <c r="A101" s="290">
        <f>ROW()</f>
        <v>101</v>
      </c>
      <c r="B101" s="84" t="s">
        <v>145</v>
      </c>
      <c r="F101" s="1239">
        <v>0</v>
      </c>
      <c r="G101" s="1239">
        <v>0</v>
      </c>
      <c r="H101" s="1239">
        <v>0</v>
      </c>
      <c r="I101" s="1239">
        <v>0</v>
      </c>
      <c r="J101" s="1239">
        <v>0</v>
      </c>
      <c r="K101" s="1239">
        <v>0</v>
      </c>
      <c r="L101" s="1239">
        <v>0</v>
      </c>
      <c r="M101" s="364"/>
      <c r="O101" s="287"/>
      <c r="P101" s="32" t="s">
        <v>69</v>
      </c>
      <c r="Q101" s="287"/>
    </row>
    <row r="102" spans="1:19">
      <c r="A102" s="290">
        <f>ROW()</f>
        <v>102</v>
      </c>
      <c r="B102" s="84" t="s">
        <v>146</v>
      </c>
      <c r="F102" s="1239">
        <v>0</v>
      </c>
      <c r="G102" s="1239">
        <v>0</v>
      </c>
      <c r="H102" s="1239">
        <v>0</v>
      </c>
      <c r="I102" s="1239">
        <v>0</v>
      </c>
      <c r="J102" s="1239">
        <v>0</v>
      </c>
      <c r="K102" s="1239">
        <v>0</v>
      </c>
      <c r="L102" s="1239">
        <v>0</v>
      </c>
      <c r="O102" s="287"/>
      <c r="P102" s="32" t="s">
        <v>69</v>
      </c>
      <c r="Q102" s="287"/>
    </row>
    <row r="103" spans="1:19">
      <c r="A103" s="290">
        <f>ROW()</f>
        <v>103</v>
      </c>
      <c r="B103" s="81" t="s">
        <v>147</v>
      </c>
      <c r="F103" s="1288">
        <f t="shared" ref="F103:L103" si="51">SUM(F95:F102)</f>
        <v>0</v>
      </c>
      <c r="G103" s="1288">
        <f t="shared" si="51"/>
        <v>32759.302000000003</v>
      </c>
      <c r="H103" s="1288">
        <f t="shared" si="51"/>
        <v>84923.88451589999</v>
      </c>
      <c r="I103" s="1288">
        <f t="shared" si="51"/>
        <v>146482.80503229998</v>
      </c>
      <c r="J103" s="1288">
        <f t="shared" si="51"/>
        <v>192999.97021370006</v>
      </c>
      <c r="K103" s="1288">
        <f t="shared" si="51"/>
        <v>274262.66616020497</v>
      </c>
      <c r="L103" s="1288">
        <f t="shared" si="51"/>
        <v>293915.70430093614</v>
      </c>
      <c r="O103" s="287"/>
      <c r="P103" s="32" t="s">
        <v>69</v>
      </c>
      <c r="Q103" s="287"/>
    </row>
    <row r="104" spans="1:19">
      <c r="A104" s="290">
        <f>ROW()</f>
        <v>104</v>
      </c>
      <c r="O104" s="287"/>
      <c r="P104" s="32" t="s">
        <v>69</v>
      </c>
      <c r="Q104" s="287"/>
    </row>
    <row r="105" spans="1:19">
      <c r="A105" s="290">
        <f>ROW()</f>
        <v>105</v>
      </c>
      <c r="B105" s="30" t="s">
        <v>148</v>
      </c>
      <c r="O105" s="287"/>
      <c r="P105" s="32" t="s">
        <v>69</v>
      </c>
      <c r="Q105" s="287"/>
    </row>
    <row r="106" spans="1:19">
      <c r="A106" s="290">
        <f>ROW()</f>
        <v>106</v>
      </c>
      <c r="B106" s="32" t="s">
        <v>149</v>
      </c>
      <c r="F106" s="1283">
        <v>0</v>
      </c>
      <c r="G106" s="1283">
        <v>0</v>
      </c>
      <c r="H106" s="1283">
        <v>0</v>
      </c>
      <c r="I106" s="1283">
        <v>0</v>
      </c>
      <c r="J106" s="1283">
        <v>0</v>
      </c>
      <c r="K106" s="1283">
        <v>0</v>
      </c>
      <c r="L106" s="1283">
        <v>0</v>
      </c>
      <c r="O106" s="287"/>
      <c r="P106" s="32" t="s">
        <v>69</v>
      </c>
      <c r="Q106" s="287"/>
    </row>
    <row r="107" spans="1:19">
      <c r="A107" s="290">
        <f>ROW()</f>
        <v>107</v>
      </c>
      <c r="B107" s="32" t="s">
        <v>1168</v>
      </c>
      <c r="F107" s="429" t="s">
        <v>150</v>
      </c>
      <c r="G107" s="429" t="s">
        <v>150</v>
      </c>
      <c r="H107" s="429" t="s">
        <v>150</v>
      </c>
      <c r="I107" s="429" t="s">
        <v>150</v>
      </c>
      <c r="J107" s="429" t="s">
        <v>150</v>
      </c>
      <c r="K107" s="429" t="s">
        <v>150</v>
      </c>
      <c r="L107" s="429" t="s">
        <v>150</v>
      </c>
      <c r="O107" s="287"/>
      <c r="P107" s="32" t="s">
        <v>69</v>
      </c>
      <c r="Q107" s="287"/>
    </row>
    <row r="108" spans="1:19">
      <c r="A108" s="290">
        <f>ROW()</f>
        <v>108</v>
      </c>
      <c r="B108" s="32" t="s">
        <v>151</v>
      </c>
      <c r="F108" s="1239">
        <v>0</v>
      </c>
      <c r="G108" s="1239">
        <v>0</v>
      </c>
      <c r="H108" s="1239">
        <v>0</v>
      </c>
      <c r="I108" s="1239">
        <v>0</v>
      </c>
      <c r="J108" s="1239">
        <v>0</v>
      </c>
      <c r="K108" s="1239">
        <v>0</v>
      </c>
      <c r="L108" s="1239">
        <v>0</v>
      </c>
      <c r="O108" s="287"/>
      <c r="P108" s="32" t="s">
        <v>69</v>
      </c>
      <c r="Q108" s="287"/>
    </row>
    <row r="109" spans="1:19">
      <c r="A109" s="290">
        <f>ROW()</f>
        <v>109</v>
      </c>
      <c r="B109" s="30" t="s">
        <v>152</v>
      </c>
      <c r="F109" s="303">
        <f>SUM(F108,F106)</f>
        <v>0</v>
      </c>
      <c r="G109" s="303">
        <f t="shared" ref="G109:L109" si="52">SUM(G108,G106)</f>
        <v>0</v>
      </c>
      <c r="H109" s="303">
        <f t="shared" si="52"/>
        <v>0</v>
      </c>
      <c r="I109" s="303">
        <f t="shared" si="52"/>
        <v>0</v>
      </c>
      <c r="J109" s="303">
        <f t="shared" si="52"/>
        <v>0</v>
      </c>
      <c r="K109" s="303">
        <f t="shared" si="52"/>
        <v>0</v>
      </c>
      <c r="L109" s="303">
        <f t="shared" si="52"/>
        <v>0</v>
      </c>
      <c r="O109" s="287"/>
      <c r="P109" s="32" t="s">
        <v>69</v>
      </c>
      <c r="Q109" s="287"/>
    </row>
    <row r="110" spans="1:19">
      <c r="A110" s="290">
        <f>ROW()</f>
        <v>110</v>
      </c>
      <c r="B110" s="30"/>
      <c r="O110" s="287"/>
      <c r="Q110" s="287"/>
    </row>
    <row r="111" spans="1:19">
      <c r="A111" s="290">
        <f>ROW()</f>
        <v>111</v>
      </c>
      <c r="B111" s="30" t="s">
        <v>153</v>
      </c>
      <c r="F111" s="1239">
        <f>+F103-F109</f>
        <v>0</v>
      </c>
      <c r="G111" s="1239">
        <f t="shared" ref="G111:L111" si="53">+G103-G109</f>
        <v>32759.302000000003</v>
      </c>
      <c r="H111" s="1239">
        <f t="shared" si="53"/>
        <v>84923.88451589999</v>
      </c>
      <c r="I111" s="1239">
        <f t="shared" si="53"/>
        <v>146482.80503229998</v>
      </c>
      <c r="J111" s="1239">
        <f t="shared" si="53"/>
        <v>192999.97021370006</v>
      </c>
      <c r="K111" s="1239">
        <f t="shared" si="53"/>
        <v>274262.66616020497</v>
      </c>
      <c r="L111" s="1239">
        <f t="shared" si="53"/>
        <v>293915.70430093614</v>
      </c>
      <c r="O111" s="287"/>
      <c r="P111" s="32" t="s">
        <v>69</v>
      </c>
      <c r="Q111" s="287"/>
    </row>
    <row r="112" spans="1:19">
      <c r="A112" s="290">
        <f>ROW()</f>
        <v>112</v>
      </c>
      <c r="B112" s="30" t="s">
        <v>154</v>
      </c>
      <c r="F112" s="563">
        <f>+F111+F109</f>
        <v>0</v>
      </c>
      <c r="G112" s="563">
        <f t="shared" ref="G112:L112" si="54">+G111+G109</f>
        <v>32759.302000000003</v>
      </c>
      <c r="H112" s="563">
        <f t="shared" si="54"/>
        <v>84923.88451589999</v>
      </c>
      <c r="I112" s="563">
        <f t="shared" si="54"/>
        <v>146482.80503229998</v>
      </c>
      <c r="J112" s="563">
        <f t="shared" si="54"/>
        <v>192999.97021370006</v>
      </c>
      <c r="K112" s="563">
        <f t="shared" si="54"/>
        <v>274262.66616020497</v>
      </c>
      <c r="L112" s="563">
        <f t="shared" si="54"/>
        <v>293915.70430093614</v>
      </c>
      <c r="O112" s="287"/>
      <c r="Q112" s="287"/>
    </row>
    <row r="113" spans="1:17">
      <c r="A113" s="290">
        <f>ROW()</f>
        <v>113</v>
      </c>
      <c r="B113" s="32" t="s">
        <v>155</v>
      </c>
      <c r="F113" s="52">
        <f>+F103-F112</f>
        <v>0</v>
      </c>
      <c r="G113" s="52">
        <f t="shared" ref="G113:L113" si="55">+G103-G112</f>
        <v>0</v>
      </c>
      <c r="H113" s="52">
        <f t="shared" si="55"/>
        <v>0</v>
      </c>
      <c r="I113" s="52">
        <f t="shared" si="55"/>
        <v>0</v>
      </c>
      <c r="J113" s="52">
        <f t="shared" si="55"/>
        <v>0</v>
      </c>
      <c r="K113" s="52">
        <f t="shared" si="55"/>
        <v>0</v>
      </c>
      <c r="L113" s="52">
        <f t="shared" si="55"/>
        <v>0</v>
      </c>
      <c r="O113" s="287"/>
      <c r="P113" s="32" t="s">
        <v>69</v>
      </c>
      <c r="Q113" s="287"/>
    </row>
    <row r="114" spans="1:17">
      <c r="A114" s="290">
        <f>ROW()</f>
        <v>114</v>
      </c>
      <c r="B114" s="30" t="s">
        <v>1173</v>
      </c>
      <c r="F114" s="48"/>
      <c r="G114" s="48">
        <f>+G111-F111</f>
        <v>32759.302000000003</v>
      </c>
      <c r="H114" s="48">
        <f t="shared" ref="H114:K114" si="56">+H111-G111</f>
        <v>52164.582515899987</v>
      </c>
      <c r="I114" s="48">
        <f t="shared" si="56"/>
        <v>61558.920516399987</v>
      </c>
      <c r="J114" s="48">
        <f t="shared" si="56"/>
        <v>46517.16518140008</v>
      </c>
      <c r="K114" s="48">
        <f t="shared" si="56"/>
        <v>81262.695946504915</v>
      </c>
      <c r="O114" s="287"/>
      <c r="P114" s="32" t="s">
        <v>69</v>
      </c>
      <c r="Q114" s="287"/>
    </row>
    <row r="115" spans="1:17">
      <c r="A115" s="290">
        <f>ROW()</f>
        <v>115</v>
      </c>
      <c r="B115" s="30" t="s">
        <v>156</v>
      </c>
      <c r="C115" s="30"/>
      <c r="D115" s="30"/>
      <c r="E115" s="30"/>
      <c r="F115" s="1294" cm="1">
        <f t="array" ref="F115">IFERROR(SUM(F95:F98/F106),0)</f>
        <v>0</v>
      </c>
      <c r="G115" s="1294" cm="1">
        <f t="array" ref="G115">IFERROR(SUM(G95:G98/G106),0)</f>
        <v>0</v>
      </c>
      <c r="H115" s="1294" cm="1">
        <f t="array" ref="H115">IFERROR(SUM(H95:H98/H106),0)</f>
        <v>0</v>
      </c>
      <c r="I115" s="1294" cm="1">
        <f t="array" ref="I115">IFERROR(SUM(I95:I98/I106),0)</f>
        <v>0</v>
      </c>
      <c r="J115" s="1294" cm="1">
        <f t="array" ref="J115">IFERROR(SUM(J95:J98/J106),0)</f>
        <v>0</v>
      </c>
      <c r="K115" s="1294" cm="1">
        <f t="array" ref="K115">IFERROR(SUM(K95:K98/K106),0)</f>
        <v>0</v>
      </c>
      <c r="L115" s="1294" cm="1">
        <f t="array" ref="L115">IFERROR(SUM(L95:L98/L106),0)</f>
        <v>0</v>
      </c>
      <c r="O115" s="287"/>
      <c r="P115" s="32" t="s">
        <v>69</v>
      </c>
      <c r="Q115" s="287"/>
    </row>
    <row r="116" spans="1:17" ht="14.4">
      <c r="A116" s="290">
        <f>ROW()</f>
        <v>116</v>
      </c>
      <c r="B116" s="30" t="s">
        <v>1179</v>
      </c>
      <c r="F116" s="1391" t="e">
        <f t="shared" ref="F116:L116" si="57">F95/(F54/365)</f>
        <v>#DIV/0!</v>
      </c>
      <c r="G116" s="1391">
        <f t="shared" si="57"/>
        <v>5.7530412310602355</v>
      </c>
      <c r="H116" s="1391">
        <f t="shared" si="57"/>
        <v>12.185964439215239</v>
      </c>
      <c r="I116" s="1391">
        <f t="shared" si="57"/>
        <v>18.915162078179417</v>
      </c>
      <c r="J116" s="1391">
        <f t="shared" si="57"/>
        <v>21.608880019353972</v>
      </c>
      <c r="K116" s="1391">
        <f t="shared" si="57"/>
        <v>29.918830745929075</v>
      </c>
      <c r="L116" s="1391">
        <f t="shared" si="57"/>
        <v>32.12424111037727</v>
      </c>
      <c r="O116" s="287"/>
      <c r="P116" s="32" t="s">
        <v>69</v>
      </c>
      <c r="Q116" s="287"/>
    </row>
    <row r="117" spans="1:17">
      <c r="A117" s="290">
        <f>ROW()</f>
        <v>117</v>
      </c>
      <c r="B117" s="30" t="s">
        <v>1174</v>
      </c>
      <c r="F117" s="1391"/>
      <c r="G117" s="1391"/>
      <c r="H117" s="1391"/>
      <c r="I117" s="1391"/>
      <c r="J117" s="1391"/>
      <c r="K117" s="1391"/>
      <c r="L117" s="1391"/>
      <c r="O117" s="287"/>
      <c r="Q117" s="287"/>
    </row>
    <row r="118" spans="1:17">
      <c r="A118" s="290">
        <f>ROW()</f>
        <v>118</v>
      </c>
      <c r="B118" s="30" t="s">
        <v>1175</v>
      </c>
      <c r="C118" s="30"/>
      <c r="D118" s="30"/>
      <c r="E118" s="30"/>
      <c r="F118" s="1294" t="e">
        <f>F108/F103</f>
        <v>#DIV/0!</v>
      </c>
      <c r="G118" s="1294">
        <f t="shared" ref="G118:L118" si="58">G108/G103</f>
        <v>0</v>
      </c>
      <c r="H118" s="1294">
        <f t="shared" si="58"/>
        <v>0</v>
      </c>
      <c r="I118" s="1294">
        <f t="shared" si="58"/>
        <v>0</v>
      </c>
      <c r="J118" s="1294">
        <f t="shared" si="58"/>
        <v>0</v>
      </c>
      <c r="K118" s="1294">
        <f t="shared" si="58"/>
        <v>0</v>
      </c>
      <c r="L118" s="1294">
        <f t="shared" si="58"/>
        <v>0</v>
      </c>
      <c r="O118" s="287"/>
      <c r="P118" s="32" t="s">
        <v>69</v>
      </c>
      <c r="Q118" s="287"/>
    </row>
    <row r="119" spans="1:17">
      <c r="A119" s="290">
        <f>ROW()</f>
        <v>119</v>
      </c>
      <c r="B119" s="30" t="s">
        <v>1176</v>
      </c>
      <c r="G119" s="52">
        <f>+G95-F95</f>
        <v>32759.302000000003</v>
      </c>
      <c r="H119" s="52">
        <f t="shared" ref="H119:L119" si="59">+H95-G95</f>
        <v>52164.582515899987</v>
      </c>
      <c r="I119" s="52">
        <f t="shared" si="59"/>
        <v>61558.920516399987</v>
      </c>
      <c r="J119" s="52">
        <f t="shared" si="59"/>
        <v>46517.16518140008</v>
      </c>
      <c r="K119" s="52">
        <f t="shared" si="59"/>
        <v>81262.695946504915</v>
      </c>
      <c r="L119" s="52">
        <f t="shared" si="59"/>
        <v>19653.038140731165</v>
      </c>
      <c r="Q119" s="1421"/>
    </row>
    <row r="120" spans="1:17">
      <c r="A120" s="290">
        <f>ROW()</f>
        <v>120</v>
      </c>
      <c r="B120" s="30" t="s">
        <v>1177</v>
      </c>
      <c r="O120" s="287"/>
      <c r="P120" s="32" t="s">
        <v>69</v>
      </c>
      <c r="Q120" s="287"/>
    </row>
    <row r="121" spans="1:17">
      <c r="B121" s="74"/>
      <c r="O121" s="287"/>
      <c r="P121" s="32" t="s">
        <v>69</v>
      </c>
      <c r="Q121" s="287"/>
    </row>
    <row r="122" spans="1:17">
      <c r="O122" s="287"/>
      <c r="P122" s="32" t="s">
        <v>69</v>
      </c>
      <c r="Q122" s="287"/>
    </row>
    <row r="123" spans="1:17">
      <c r="O123" s="287"/>
      <c r="P123" s="32" t="s">
        <v>69</v>
      </c>
      <c r="Q123" s="287"/>
    </row>
    <row r="124" spans="1:17">
      <c r="O124" s="287"/>
      <c r="P124" s="32" t="s">
        <v>69</v>
      </c>
      <c r="Q124" s="287"/>
    </row>
    <row r="125" spans="1:17">
      <c r="O125" s="287"/>
      <c r="P125" s="32" t="s">
        <v>69</v>
      </c>
      <c r="Q125" s="287"/>
    </row>
    <row r="126" spans="1:17">
      <c r="O126" s="287"/>
      <c r="P126" s="32" t="s">
        <v>69</v>
      </c>
      <c r="Q126" s="287"/>
    </row>
    <row r="127" spans="1:17">
      <c r="O127" s="287"/>
      <c r="P127" s="32" t="s">
        <v>69</v>
      </c>
      <c r="Q127" s="287"/>
    </row>
    <row r="128" spans="1:17">
      <c r="O128" s="287"/>
      <c r="P128" s="32" t="s">
        <v>69</v>
      </c>
      <c r="Q128" s="287"/>
    </row>
    <row r="129" spans="13:17">
      <c r="O129" s="287"/>
      <c r="P129" s="32" t="s">
        <v>69</v>
      </c>
      <c r="Q129" s="287"/>
    </row>
    <row r="130" spans="13:17">
      <c r="O130" s="287"/>
      <c r="P130" s="32" t="s">
        <v>69</v>
      </c>
      <c r="Q130" s="287"/>
    </row>
    <row r="131" spans="13:17">
      <c r="O131" s="287"/>
      <c r="P131" s="32" t="s">
        <v>69</v>
      </c>
      <c r="Q131" s="287"/>
    </row>
    <row r="132" spans="13:17">
      <c r="O132" s="287"/>
      <c r="P132" s="32" t="s">
        <v>69</v>
      </c>
      <c r="Q132" s="287"/>
    </row>
    <row r="133" spans="13:17">
      <c r="O133" s="287"/>
      <c r="P133" s="32" t="s">
        <v>69</v>
      </c>
      <c r="Q133" s="287"/>
    </row>
    <row r="134" spans="13:17">
      <c r="O134" s="287"/>
      <c r="P134" s="32" t="s">
        <v>69</v>
      </c>
      <c r="Q134" s="287"/>
    </row>
    <row r="135" spans="13:17">
      <c r="O135" s="287"/>
      <c r="Q135" s="287"/>
    </row>
    <row r="136" spans="13:17">
      <c r="O136" s="287"/>
      <c r="P136" s="32" t="s">
        <v>69</v>
      </c>
      <c r="Q136" s="287"/>
    </row>
    <row r="137" spans="13:17">
      <c r="O137" s="287"/>
      <c r="P137" s="32" t="s">
        <v>69</v>
      </c>
      <c r="Q137" s="287"/>
    </row>
    <row r="138" spans="13:17">
      <c r="O138" s="287"/>
      <c r="P138" s="32" t="s">
        <v>69</v>
      </c>
      <c r="Q138" s="287"/>
    </row>
    <row r="139" spans="13:17">
      <c r="O139" s="287"/>
      <c r="P139" s="32" t="s">
        <v>69</v>
      </c>
      <c r="Q139" s="287"/>
    </row>
    <row r="140" spans="13:17">
      <c r="O140" s="287"/>
      <c r="P140" s="32" t="s">
        <v>69</v>
      </c>
      <c r="Q140" s="287"/>
    </row>
    <row r="141" spans="13:17">
      <c r="M141" s="352"/>
      <c r="O141" s="287"/>
      <c r="P141" s="32" t="s">
        <v>69</v>
      </c>
      <c r="Q141" s="287"/>
    </row>
    <row r="142" spans="13:17">
      <c r="M142" s="352"/>
      <c r="O142" s="287"/>
      <c r="P142" s="32" t="s">
        <v>69</v>
      </c>
      <c r="Q142" s="287"/>
    </row>
    <row r="143" spans="13:17">
      <c r="M143" s="352"/>
      <c r="O143" s="287"/>
      <c r="P143" s="32" t="s">
        <v>69</v>
      </c>
      <c r="Q143" s="287"/>
    </row>
    <row r="144" spans="13:17">
      <c r="M144" s="352"/>
      <c r="O144" s="287"/>
      <c r="P144" s="32" t="s">
        <v>69</v>
      </c>
      <c r="Q144" s="287"/>
    </row>
    <row r="145" spans="13:17">
      <c r="M145" s="352"/>
      <c r="O145" s="287"/>
      <c r="P145" s="32" t="s">
        <v>69</v>
      </c>
      <c r="Q145" s="287"/>
    </row>
    <row r="146" spans="13:17">
      <c r="M146" s="352"/>
      <c r="O146" s="287"/>
      <c r="P146" s="32" t="s">
        <v>69</v>
      </c>
      <c r="Q146" s="287"/>
    </row>
    <row r="147" spans="13:17">
      <c r="M147" s="352"/>
      <c r="O147" s="287"/>
      <c r="P147" s="32" t="s">
        <v>69</v>
      </c>
      <c r="Q147" s="287"/>
    </row>
    <row r="148" spans="13:17">
      <c r="M148" s="352"/>
      <c r="O148" s="287"/>
      <c r="P148" s="32" t="s">
        <v>69</v>
      </c>
      <c r="Q148" s="287"/>
    </row>
    <row r="149" spans="13:17">
      <c r="M149" s="352"/>
      <c r="O149" s="287"/>
      <c r="P149" s="32" t="s">
        <v>69</v>
      </c>
      <c r="Q149" s="287"/>
    </row>
    <row r="150" spans="13:17">
      <c r="M150" s="352"/>
      <c r="O150" s="287"/>
      <c r="P150" s="32" t="s">
        <v>69</v>
      </c>
      <c r="Q150" s="287"/>
    </row>
    <row r="151" spans="13:17">
      <c r="M151" s="352"/>
      <c r="O151" s="287"/>
      <c r="P151" s="32" t="s">
        <v>69</v>
      </c>
      <c r="Q151" s="287"/>
    </row>
    <row r="152" spans="13:17">
      <c r="M152" s="352"/>
      <c r="O152" s="287"/>
      <c r="P152" s="32" t="s">
        <v>69</v>
      </c>
      <c r="Q152" s="287"/>
    </row>
    <row r="153" spans="13:17">
      <c r="M153" s="352"/>
      <c r="O153" s="287"/>
      <c r="P153" s="32" t="s">
        <v>69</v>
      </c>
      <c r="Q153" s="287"/>
    </row>
    <row r="154" spans="13:17">
      <c r="M154" s="352"/>
      <c r="O154" s="287"/>
      <c r="P154" s="32" t="s">
        <v>69</v>
      </c>
      <c r="Q154" s="287"/>
    </row>
    <row r="155" spans="13:17">
      <c r="M155" s="352"/>
      <c r="O155" s="287"/>
      <c r="P155" s="32" t="s">
        <v>69</v>
      </c>
      <c r="Q155" s="287"/>
    </row>
    <row r="156" spans="13:17">
      <c r="M156" s="352"/>
      <c r="O156" s="287"/>
      <c r="P156" s="32" t="s">
        <v>69</v>
      </c>
      <c r="Q156" s="287"/>
    </row>
    <row r="157" spans="13:17">
      <c r="M157" s="352"/>
      <c r="O157" s="287"/>
      <c r="P157" s="32" t="s">
        <v>69</v>
      </c>
      <c r="Q157" s="287"/>
    </row>
    <row r="158" spans="13:17">
      <c r="M158" s="352"/>
      <c r="O158" s="287"/>
      <c r="P158" s="32" t="s">
        <v>69</v>
      </c>
      <c r="Q158" s="287"/>
    </row>
    <row r="159" spans="13:17">
      <c r="M159" s="352"/>
      <c r="O159" s="287"/>
      <c r="P159" s="32" t="s">
        <v>69</v>
      </c>
      <c r="Q159" s="287"/>
    </row>
    <row r="160" spans="13:17">
      <c r="M160" s="352"/>
      <c r="O160" s="287"/>
      <c r="P160" s="32" t="s">
        <v>69</v>
      </c>
      <c r="Q160" s="287"/>
    </row>
    <row r="161" spans="13:19">
      <c r="M161" s="352"/>
      <c r="O161" s="287"/>
      <c r="P161" s="32" t="s">
        <v>69</v>
      </c>
      <c r="Q161" s="287"/>
    </row>
    <row r="162" spans="13:19">
      <c r="M162" s="352"/>
      <c r="O162" s="287"/>
      <c r="P162" s="32" t="s">
        <v>69</v>
      </c>
      <c r="Q162" s="287"/>
    </row>
    <row r="163" spans="13:19">
      <c r="M163" s="352"/>
      <c r="O163" s="287"/>
      <c r="P163" s="32" t="s">
        <v>69</v>
      </c>
      <c r="Q163" s="287"/>
    </row>
    <row r="164" spans="13:19">
      <c r="M164" s="352"/>
      <c r="O164" s="287"/>
      <c r="P164" s="32" t="s">
        <v>69</v>
      </c>
      <c r="Q164" s="287"/>
    </row>
    <row r="165" spans="13:19">
      <c r="M165" s="352"/>
      <c r="O165" s="287"/>
      <c r="P165" s="32" t="s">
        <v>69</v>
      </c>
      <c r="Q165" s="287"/>
    </row>
    <row r="166" spans="13:19">
      <c r="M166" s="352"/>
      <c r="O166" s="287"/>
      <c r="P166" s="32" t="s">
        <v>69</v>
      </c>
      <c r="Q166" s="287"/>
    </row>
    <row r="167" spans="13:19">
      <c r="M167" s="352"/>
      <c r="O167" s="287"/>
      <c r="P167" s="32" t="s">
        <v>69</v>
      </c>
      <c r="Q167" s="287"/>
    </row>
    <row r="168" spans="13:19">
      <c r="M168" s="352"/>
      <c r="O168" s="287"/>
      <c r="P168" s="32" t="s">
        <v>69</v>
      </c>
      <c r="Q168" s="287"/>
    </row>
    <row r="169" spans="13:19">
      <c r="M169" s="352"/>
      <c r="O169" s="287"/>
      <c r="P169" s="32" t="s">
        <v>69</v>
      </c>
      <c r="Q169" s="287"/>
    </row>
    <row r="170" spans="13:19">
      <c r="M170" s="352"/>
      <c r="O170" s="287"/>
      <c r="P170" s="32" t="s">
        <v>69</v>
      </c>
      <c r="Q170" s="287"/>
    </row>
    <row r="171" spans="13:19">
      <c r="M171" s="352"/>
      <c r="O171" s="287"/>
      <c r="P171" s="32" t="s">
        <v>69</v>
      </c>
      <c r="Q171" s="287"/>
    </row>
    <row r="172" spans="13:19">
      <c r="M172" s="352"/>
      <c r="O172" s="287"/>
      <c r="P172" s="32" t="s">
        <v>69</v>
      </c>
      <c r="Q172" s="287"/>
    </row>
    <row r="173" spans="13:19">
      <c r="M173" s="352"/>
      <c r="O173" s="287"/>
      <c r="P173" s="32" t="s">
        <v>69</v>
      </c>
      <c r="Q173" s="287"/>
    </row>
    <row r="174" spans="13:19">
      <c r="M174" s="352"/>
      <c r="O174" s="287"/>
      <c r="P174" s="32" t="s">
        <v>69</v>
      </c>
      <c r="Q174" s="287"/>
    </row>
    <row r="175" spans="13:19">
      <c r="M175" s="352"/>
      <c r="O175" s="287"/>
      <c r="P175" s="32" t="s">
        <v>69</v>
      </c>
      <c r="Q175" s="287"/>
    </row>
    <row r="176" spans="13:19">
      <c r="M176" s="352"/>
      <c r="O176" s="287"/>
      <c r="P176" s="32" t="s">
        <v>69</v>
      </c>
      <c r="Q176" s="287"/>
      <c r="S176" s="78"/>
    </row>
    <row r="177" spans="13:17">
      <c r="M177" s="352"/>
      <c r="O177" s="287"/>
      <c r="P177" s="32" t="s">
        <v>69</v>
      </c>
      <c r="Q177" s="287"/>
    </row>
    <row r="178" spans="13:17">
      <c r="M178" s="352"/>
      <c r="O178" s="287"/>
      <c r="P178" s="32" t="s">
        <v>69</v>
      </c>
      <c r="Q178" s="287"/>
    </row>
    <row r="179" spans="13:17">
      <c r="M179" s="51"/>
      <c r="O179" s="287"/>
      <c r="P179" s="32" t="s">
        <v>69</v>
      </c>
      <c r="Q179" s="287"/>
    </row>
    <row r="180" spans="13:17">
      <c r="M180" s="51"/>
      <c r="O180" s="287"/>
      <c r="P180" s="32" t="s">
        <v>69</v>
      </c>
      <c r="Q180" s="287"/>
    </row>
    <row r="181" spans="13:17">
      <c r="M181" s="51"/>
      <c r="O181" s="287"/>
      <c r="P181" s="32" t="s">
        <v>69</v>
      </c>
      <c r="Q181" s="287"/>
    </row>
    <row r="182" spans="13:17">
      <c r="M182" s="51"/>
      <c r="O182" s="287"/>
      <c r="P182" s="32" t="s">
        <v>69</v>
      </c>
      <c r="Q182" s="287"/>
    </row>
    <row r="183" spans="13:17">
      <c r="M183" s="51"/>
      <c r="O183" s="287"/>
      <c r="P183" s="32" t="s">
        <v>69</v>
      </c>
      <c r="Q183" s="287"/>
    </row>
    <row r="184" spans="13:17">
      <c r="M184" s="51"/>
      <c r="O184" s="287"/>
      <c r="P184" s="32" t="s">
        <v>69</v>
      </c>
      <c r="Q184" s="287"/>
    </row>
    <row r="185" spans="13:17">
      <c r="M185" s="51"/>
      <c r="O185" s="287"/>
      <c r="P185" s="32" t="s">
        <v>69</v>
      </c>
      <c r="Q185" s="287"/>
    </row>
    <row r="186" spans="13:17">
      <c r="M186" s="51"/>
      <c r="O186" s="287"/>
      <c r="P186" s="32" t="s">
        <v>69</v>
      </c>
      <c r="Q186" s="287"/>
    </row>
    <row r="187" spans="13:17">
      <c r="M187" s="51"/>
      <c r="O187" s="287"/>
      <c r="P187" s="32" t="s">
        <v>69</v>
      </c>
      <c r="Q187" s="287"/>
    </row>
    <row r="188" spans="13:17">
      <c r="M188" s="51"/>
      <c r="O188" s="287"/>
      <c r="P188" s="32" t="s">
        <v>69</v>
      </c>
      <c r="Q188" s="287"/>
    </row>
    <row r="189" spans="13:17">
      <c r="M189" s="51"/>
      <c r="O189" s="287"/>
      <c r="P189" s="32" t="s">
        <v>69</v>
      </c>
      <c r="Q189" s="287"/>
    </row>
    <row r="190" spans="13:17">
      <c r="M190" s="51"/>
      <c r="O190" s="287"/>
      <c r="P190" s="32" t="s">
        <v>69</v>
      </c>
      <c r="Q190" s="287"/>
    </row>
    <row r="191" spans="13:17">
      <c r="M191" s="51"/>
      <c r="O191" s="287"/>
      <c r="P191" s="32" t="s">
        <v>69</v>
      </c>
      <c r="Q191" s="287"/>
    </row>
    <row r="192" spans="13:17">
      <c r="M192" s="51"/>
      <c r="O192" s="287"/>
      <c r="P192" s="32" t="s">
        <v>69</v>
      </c>
      <c r="Q192" s="287"/>
    </row>
    <row r="193" spans="13:17">
      <c r="M193" s="51"/>
      <c r="O193" s="287"/>
      <c r="P193" s="32" t="s">
        <v>69</v>
      </c>
      <c r="Q193" s="287"/>
    </row>
    <row r="194" spans="13:17">
      <c r="M194" s="51"/>
      <c r="O194" s="287"/>
      <c r="P194" s="32" t="s">
        <v>69</v>
      </c>
      <c r="Q194" s="287"/>
    </row>
    <row r="195" spans="13:17">
      <c r="M195" s="51"/>
      <c r="O195" s="287"/>
      <c r="P195" s="32" t="s">
        <v>69</v>
      </c>
      <c r="Q195" s="287"/>
    </row>
    <row r="196" spans="13:17">
      <c r="M196" s="51"/>
      <c r="O196" s="287"/>
      <c r="P196" s="32" t="s">
        <v>69</v>
      </c>
      <c r="Q196" s="287"/>
    </row>
    <row r="197" spans="13:17">
      <c r="M197" s="51"/>
      <c r="O197" s="287"/>
      <c r="P197" s="32" t="s">
        <v>69</v>
      </c>
      <c r="Q197" s="287"/>
    </row>
    <row r="198" spans="13:17">
      <c r="M198" s="51"/>
      <c r="O198" s="287"/>
      <c r="P198" s="32" t="s">
        <v>69</v>
      </c>
      <c r="Q198" s="287"/>
    </row>
    <row r="199" spans="13:17">
      <c r="M199" s="51"/>
      <c r="O199" s="287"/>
      <c r="P199" s="32" t="s">
        <v>69</v>
      </c>
      <c r="Q199" s="287"/>
    </row>
    <row r="200" spans="13:17">
      <c r="M200" s="51"/>
      <c r="O200" s="287"/>
      <c r="P200" s="32" t="s">
        <v>69</v>
      </c>
      <c r="Q200" s="287"/>
    </row>
    <row r="201" spans="13:17">
      <c r="M201" s="51"/>
      <c r="O201" s="287"/>
      <c r="P201" s="32" t="s">
        <v>69</v>
      </c>
      <c r="Q201" s="287"/>
    </row>
    <row r="202" spans="13:17">
      <c r="M202" s="51"/>
      <c r="O202" s="287"/>
      <c r="P202" s="32" t="s">
        <v>69</v>
      </c>
      <c r="Q202" s="287"/>
    </row>
    <row r="203" spans="13:17">
      <c r="M203" s="51"/>
      <c r="O203" s="287"/>
      <c r="P203" s="32" t="s">
        <v>69</v>
      </c>
      <c r="Q203" s="287"/>
    </row>
    <row r="204" spans="13:17">
      <c r="P204" s="32" t="s">
        <v>69</v>
      </c>
    </row>
    <row r="205" spans="13:17">
      <c r="M205" s="51"/>
      <c r="O205" s="287"/>
      <c r="P205" s="32" t="s">
        <v>69</v>
      </c>
      <c r="Q205" s="287"/>
    </row>
    <row r="206" spans="13:17">
      <c r="M206" s="51"/>
      <c r="O206" s="287"/>
      <c r="P206" s="32" t="s">
        <v>69</v>
      </c>
      <c r="Q206" s="287"/>
    </row>
    <row r="207" spans="13:17">
      <c r="M207" s="51"/>
      <c r="O207" s="287"/>
      <c r="P207" s="32" t="s">
        <v>69</v>
      </c>
      <c r="Q207" s="287"/>
    </row>
    <row r="208" spans="13:17" hidden="1">
      <c r="M208" s="51"/>
      <c r="O208" s="287"/>
      <c r="P208" s="32" t="s">
        <v>69</v>
      </c>
      <c r="Q208" s="287"/>
    </row>
    <row r="209" spans="1:17" hidden="1">
      <c r="M209" s="51"/>
      <c r="O209" s="287"/>
      <c r="P209" s="32" t="s">
        <v>69</v>
      </c>
      <c r="Q209" s="287"/>
    </row>
    <row r="210" spans="1:17" hidden="1">
      <c r="M210" s="51"/>
      <c r="O210" s="287"/>
      <c r="P210" s="32" t="s">
        <v>69</v>
      </c>
      <c r="Q210" s="287"/>
    </row>
    <row r="211" spans="1:17" hidden="1">
      <c r="M211" s="51"/>
      <c r="O211" s="287"/>
      <c r="P211" s="32" t="s">
        <v>69</v>
      </c>
      <c r="Q211" s="287"/>
    </row>
    <row r="212" spans="1:17">
      <c r="M212" s="51"/>
      <c r="O212" s="287"/>
      <c r="P212" s="32" t="s">
        <v>69</v>
      </c>
      <c r="Q212" s="287"/>
    </row>
    <row r="213" spans="1:17" ht="14.4">
      <c r="B213" s="305"/>
      <c r="C213" s="372"/>
      <c r="D213" s="372"/>
      <c r="E213" s="372"/>
      <c r="F213" s="434"/>
      <c r="G213" s="556"/>
      <c r="H213" s="556"/>
      <c r="I213" s="556"/>
      <c r="J213" s="556"/>
      <c r="K213" s="556"/>
      <c r="L213" s="556"/>
      <c r="M213" s="51"/>
      <c r="O213" s="287"/>
      <c r="P213" s="32" t="s">
        <v>69</v>
      </c>
      <c r="Q213" s="287"/>
    </row>
    <row r="214" spans="1:17">
      <c r="F214" s="434"/>
      <c r="G214" s="429"/>
      <c r="H214" s="429"/>
      <c r="I214" s="429"/>
      <c r="J214" s="429"/>
      <c r="K214" s="429"/>
      <c r="L214" s="429"/>
      <c r="M214" s="51"/>
      <c r="P214" s="32" t="s">
        <v>69</v>
      </c>
    </row>
    <row r="215" spans="1:17">
      <c r="A215" s="32" t="s">
        <v>69</v>
      </c>
      <c r="B215" s="32" t="s">
        <v>69</v>
      </c>
      <c r="C215" s="32" t="s">
        <v>69</v>
      </c>
      <c r="E215" s="32" t="s">
        <v>69</v>
      </c>
      <c r="F215" s="54" t="s">
        <v>69</v>
      </c>
      <c r="G215" s="32" t="s">
        <v>69</v>
      </c>
      <c r="H215" s="32" t="s">
        <v>69</v>
      </c>
      <c r="I215" s="32" t="s">
        <v>69</v>
      </c>
      <c r="J215" s="32" t="s">
        <v>69</v>
      </c>
      <c r="K215" s="32" t="s">
        <v>69</v>
      </c>
      <c r="L215" s="32" t="s">
        <v>69</v>
      </c>
      <c r="M215" s="51" t="s">
        <v>69</v>
      </c>
      <c r="N215" s="32" t="s">
        <v>69</v>
      </c>
      <c r="O215" s="257" t="s">
        <v>69</v>
      </c>
      <c r="P215" s="32" t="s">
        <v>69</v>
      </c>
      <c r="Q215" s="257" t="s">
        <v>69</v>
      </c>
    </row>
    <row r="216" spans="1:17">
      <c r="A216" s="32" t="s">
        <v>69</v>
      </c>
      <c r="B216" s="32" t="s">
        <v>69</v>
      </c>
      <c r="C216" s="32" t="s">
        <v>69</v>
      </c>
      <c r="E216" s="32" t="s">
        <v>69</v>
      </c>
      <c r="F216" s="54" t="s">
        <v>69</v>
      </c>
      <c r="G216" s="32" t="s">
        <v>69</v>
      </c>
      <c r="H216" s="32" t="s">
        <v>69</v>
      </c>
      <c r="I216" s="32" t="s">
        <v>69</v>
      </c>
      <c r="J216" s="32" t="s">
        <v>69</v>
      </c>
      <c r="K216" s="32" t="s">
        <v>69</v>
      </c>
      <c r="L216" s="32" t="s">
        <v>69</v>
      </c>
      <c r="M216" s="51" t="s">
        <v>69</v>
      </c>
      <c r="N216" s="32" t="s">
        <v>69</v>
      </c>
      <c r="O216" s="257" t="s">
        <v>69</v>
      </c>
      <c r="P216" s="32" t="s">
        <v>69</v>
      </c>
      <c r="Q216" s="257" t="s">
        <v>69</v>
      </c>
    </row>
    <row r="217" spans="1:17">
      <c r="F217" s="54"/>
    </row>
    <row r="218" spans="1:17">
      <c r="F218" s="54"/>
    </row>
    <row r="219" spans="1:17">
      <c r="F219" s="54"/>
    </row>
    <row r="220" spans="1:17">
      <c r="F220" s="54"/>
    </row>
  </sheetData>
  <sheetProtection sheet="1" objects="1" scenarios="1"/>
  <phoneticPr fontId="7" type="noConversion"/>
  <conditionalFormatting sqref="E1">
    <cfRule type="expression" dxfId="21" priority="2" stopIfTrue="1">
      <formula>MOD(ROW(),2)=0</formula>
    </cfRule>
  </conditionalFormatting>
  <conditionalFormatting sqref="L1">
    <cfRule type="expression" dxfId="20" priority="3" stopIfTrue="1">
      <formula>MOD(ROW(),2)=0</formula>
    </cfRule>
  </conditionalFormatting>
  <conditionalFormatting sqref="N60">
    <cfRule type="cellIs" dxfId="19" priority="13"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63" max="11"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theme="3" tint="0.59999389629810485"/>
  </sheetPr>
  <dimension ref="A1:P131"/>
  <sheetViews>
    <sheetView zoomScale="106" zoomScaleNormal="175" workbookViewId="0">
      <selection activeCell="I11" sqref="I11"/>
    </sheetView>
  </sheetViews>
  <sheetFormatPr defaultColWidth="8.6640625" defaultRowHeight="13.2"/>
  <cols>
    <col min="1" max="1" width="5" style="1443" customWidth="1"/>
    <col min="2" max="2" width="32.5546875" style="1443" customWidth="1"/>
    <col min="3" max="3" width="16.6640625" style="1443" customWidth="1"/>
    <col min="4" max="4" width="3.33203125" style="1443" hidden="1" customWidth="1"/>
    <col min="5" max="5" width="8.6640625" style="1443" hidden="1" customWidth="1"/>
    <col min="6" max="6" width="12.44140625" style="1443" customWidth="1"/>
    <col min="7" max="7" width="12" style="1443" customWidth="1"/>
    <col min="8" max="8" width="12.5546875" style="1443" customWidth="1"/>
    <col min="9" max="9" width="12.33203125" style="1443" customWidth="1"/>
    <col min="10" max="10" width="13.6640625" style="1443" customWidth="1"/>
    <col min="11" max="12" width="14.33203125" style="1443" customWidth="1"/>
    <col min="13" max="16384" width="8.6640625" style="1443"/>
  </cols>
  <sheetData>
    <row r="1" spans="1:16" ht="17.399999999999999">
      <c r="A1" s="1701" t="s">
        <v>36</v>
      </c>
      <c r="B1" s="1462"/>
      <c r="C1" s="346"/>
      <c r="D1" s="348"/>
      <c r="F1" s="32"/>
      <c r="G1" s="32"/>
      <c r="H1" s="32"/>
      <c r="I1" s="32"/>
      <c r="J1" s="32"/>
      <c r="K1" s="34"/>
      <c r="L1" s="346"/>
    </row>
    <row r="2" spans="1:16" ht="15.6">
      <c r="A2" s="35"/>
      <c r="B2" s="36"/>
      <c r="C2" s="30"/>
      <c r="D2" s="30"/>
      <c r="E2" s="32"/>
      <c r="F2" s="32"/>
      <c r="G2" s="30"/>
      <c r="H2" s="32"/>
      <c r="I2" s="32"/>
      <c r="J2" s="32"/>
      <c r="K2" s="32"/>
      <c r="L2" s="32"/>
    </row>
    <row r="3" spans="1:16" ht="13.8">
      <c r="A3" s="37"/>
      <c r="B3" s="32"/>
      <c r="C3" s="32"/>
      <c r="D3" s="32"/>
      <c r="E3" s="32"/>
      <c r="F3" s="32"/>
      <c r="G3" s="32"/>
      <c r="H3" s="32"/>
      <c r="I3" s="32"/>
      <c r="J3" s="32"/>
      <c r="K3" s="32"/>
      <c r="L3" s="32"/>
    </row>
    <row r="4" spans="1:16" ht="13.8">
      <c r="A4" s="29"/>
      <c r="B4" s="32"/>
      <c r="C4" s="32"/>
      <c r="D4" s="32"/>
      <c r="E4" s="32"/>
      <c r="F4" s="32"/>
      <c r="G4" s="32"/>
      <c r="H4" s="32"/>
      <c r="I4" s="32"/>
      <c r="J4" s="32"/>
      <c r="K4" s="32"/>
      <c r="L4" s="32"/>
    </row>
    <row r="5" spans="1:16" ht="13.8">
      <c r="A5" s="32"/>
      <c r="B5" s="32"/>
      <c r="C5" s="32"/>
      <c r="D5" s="32"/>
      <c r="E5" s="32"/>
      <c r="F5" s="32"/>
      <c r="G5" s="32"/>
      <c r="H5" s="32"/>
      <c r="I5" s="32"/>
      <c r="J5" s="32"/>
      <c r="K5" s="32"/>
      <c r="L5" s="32"/>
    </row>
    <row r="6" spans="1:16" ht="13.8">
      <c r="A6" s="32"/>
      <c r="B6" s="30"/>
      <c r="C6" s="31"/>
      <c r="D6" s="31"/>
      <c r="E6" s="31"/>
      <c r="F6" s="1761" t="s">
        <v>157</v>
      </c>
      <c r="G6" s="1511">
        <v>1</v>
      </c>
      <c r="H6" s="1511">
        <v>2</v>
      </c>
      <c r="I6" s="1511">
        <v>3</v>
      </c>
      <c r="J6" s="1511">
        <v>4</v>
      </c>
      <c r="K6" s="1511">
        <v>5</v>
      </c>
      <c r="L6" s="1512">
        <v>6</v>
      </c>
      <c r="M6" s="1444"/>
      <c r="N6" s="1444"/>
      <c r="O6" s="1444"/>
      <c r="P6" s="1444"/>
    </row>
    <row r="7" spans="1:16" ht="13.8">
      <c r="A7" s="32"/>
      <c r="B7" s="30"/>
      <c r="C7" s="31" t="s">
        <v>70</v>
      </c>
      <c r="D7" s="31"/>
      <c r="E7" s="31"/>
      <c r="F7" s="1513">
        <f>+Summary!F7</f>
        <v>2025</v>
      </c>
      <c r="G7" s="1514">
        <f>+Summary!G7</f>
        <v>2026</v>
      </c>
      <c r="H7" s="1514">
        <f>+Summary!H7</f>
        <v>2027</v>
      </c>
      <c r="I7" s="1514">
        <f>+Summary!I7</f>
        <v>2028</v>
      </c>
      <c r="J7" s="1514">
        <f>+Summary!J7</f>
        <v>2029</v>
      </c>
      <c r="K7" s="1514">
        <f>+Summary!K7</f>
        <v>2030</v>
      </c>
      <c r="L7" s="1515">
        <f>+Summary!L7</f>
        <v>2031</v>
      </c>
      <c r="M7" s="1444"/>
      <c r="N7" s="1444"/>
      <c r="O7" s="1444"/>
      <c r="P7" s="1444"/>
    </row>
    <row r="8" spans="1:16" ht="13.8">
      <c r="A8" s="32"/>
      <c r="B8" s="1307"/>
      <c r="C8" s="53"/>
      <c r="D8" s="53"/>
      <c r="E8" s="540"/>
      <c r="F8" s="1689">
        <f>+Summary!F8</f>
        <v>2026</v>
      </c>
      <c r="G8" s="1516">
        <f>+Summary!G8</f>
        <v>2027</v>
      </c>
      <c r="H8" s="1516">
        <f>+Summary!H8</f>
        <v>2028</v>
      </c>
      <c r="I8" s="1516">
        <f>+Summary!I8</f>
        <v>2029</v>
      </c>
      <c r="J8" s="1516">
        <f>+Summary!J8</f>
        <v>2030</v>
      </c>
      <c r="K8" s="1516">
        <f>+Summary!K8</f>
        <v>2031</v>
      </c>
      <c r="L8" s="1517">
        <f>+Summary!L8</f>
        <v>2032</v>
      </c>
      <c r="M8" s="1444"/>
      <c r="N8" s="1444"/>
      <c r="O8" s="1444"/>
      <c r="P8" s="1444"/>
    </row>
    <row r="9" spans="1:16" ht="13.8">
      <c r="A9" s="290">
        <f>ROW()</f>
        <v>9</v>
      </c>
      <c r="B9" s="349" t="s">
        <v>158</v>
      </c>
      <c r="C9" s="614">
        <v>400</v>
      </c>
      <c r="D9" s="571"/>
      <c r="E9" s="31"/>
      <c r="F9" s="117">
        <v>0</v>
      </c>
      <c r="G9" s="117">
        <f>+G21</f>
        <v>230</v>
      </c>
      <c r="H9" s="117">
        <f t="shared" ref="H9:L9" si="0">+H21</f>
        <v>310</v>
      </c>
      <c r="I9" s="117">
        <f t="shared" si="0"/>
        <v>390</v>
      </c>
      <c r="J9" s="117">
        <f t="shared" si="0"/>
        <v>470</v>
      </c>
      <c r="K9" s="117">
        <f t="shared" si="0"/>
        <v>550</v>
      </c>
      <c r="L9" s="117">
        <f t="shared" si="0"/>
        <v>560</v>
      </c>
      <c r="M9" s="1444"/>
      <c r="N9" s="1444"/>
      <c r="O9" s="1444"/>
      <c r="P9" s="1444"/>
    </row>
    <row r="10" spans="1:16" ht="13.8">
      <c r="A10" s="290">
        <f>ROW()</f>
        <v>10</v>
      </c>
      <c r="B10" s="350" t="s">
        <v>73</v>
      </c>
      <c r="C10" s="614">
        <v>6</v>
      </c>
      <c r="D10" s="571"/>
      <c r="E10" s="31"/>
      <c r="F10" s="541">
        <f t="shared" ref="F10" si="1">+F22</f>
        <v>0</v>
      </c>
      <c r="G10" s="541">
        <f>+G22</f>
        <v>14.5</v>
      </c>
      <c r="H10" s="541">
        <f t="shared" ref="H10:L10" si="2">+H22</f>
        <v>21.5</v>
      </c>
      <c r="I10" s="541">
        <f t="shared" si="2"/>
        <v>25</v>
      </c>
      <c r="J10" s="541">
        <f t="shared" si="2"/>
        <v>30</v>
      </c>
      <c r="K10" s="541">
        <f t="shared" si="2"/>
        <v>31</v>
      </c>
      <c r="L10" s="541">
        <f t="shared" si="2"/>
        <v>31</v>
      </c>
      <c r="M10" s="1444"/>
      <c r="N10" s="1444"/>
      <c r="O10" s="1444"/>
      <c r="P10" s="1444"/>
    </row>
    <row r="11" spans="1:16" ht="13.8">
      <c r="A11" s="290"/>
      <c r="B11" s="350" t="s">
        <v>1199</v>
      </c>
      <c r="C11" s="614"/>
      <c r="D11" s="571"/>
      <c r="E11" s="31"/>
      <c r="F11" s="117" t="e">
        <f>+F9/F10</f>
        <v>#DIV/0!</v>
      </c>
      <c r="G11" s="117">
        <f t="shared" ref="G11:L11" si="3">+G9/G10</f>
        <v>15.862068965517242</v>
      </c>
      <c r="H11" s="117">
        <f t="shared" si="3"/>
        <v>14.418604651162791</v>
      </c>
      <c r="I11" s="117">
        <f t="shared" si="3"/>
        <v>15.6</v>
      </c>
      <c r="J11" s="117">
        <f t="shared" si="3"/>
        <v>15.666666666666666</v>
      </c>
      <c r="K11" s="117">
        <f t="shared" si="3"/>
        <v>17.741935483870968</v>
      </c>
      <c r="L11" s="117">
        <f t="shared" si="3"/>
        <v>18.06451612903226</v>
      </c>
      <c r="M11" s="1444"/>
      <c r="N11" s="1444"/>
      <c r="O11" s="1444"/>
      <c r="P11" s="1444"/>
    </row>
    <row r="12" spans="1:16" ht="13.8">
      <c r="A12" s="290">
        <f>ROW()</f>
        <v>12</v>
      </c>
      <c r="B12" s="350" t="s">
        <v>74</v>
      </c>
      <c r="C12" s="614"/>
      <c r="D12" s="571"/>
      <c r="E12" s="31"/>
      <c r="F12" s="587">
        <f>Facilities!F93</f>
        <v>0</v>
      </c>
      <c r="G12" s="1273">
        <f>Facilities!G93</f>
        <v>40000</v>
      </c>
      <c r="H12" s="1273">
        <f>Facilities!H93</f>
        <v>40000</v>
      </c>
      <c r="I12" s="1273">
        <f>Facilities!I93</f>
        <v>40000</v>
      </c>
      <c r="J12" s="1273">
        <f>Facilities!J93</f>
        <v>40000</v>
      </c>
      <c r="K12" s="1273">
        <f>Facilities!K93</f>
        <v>40000</v>
      </c>
      <c r="L12" s="1273">
        <f>Facilities!L93</f>
        <v>40000</v>
      </c>
      <c r="M12" s="1444"/>
      <c r="N12" s="1444"/>
      <c r="O12" s="1444"/>
      <c r="P12" s="1444"/>
    </row>
    <row r="13" spans="1:16" ht="13.8">
      <c r="A13" s="290">
        <f>ROW()</f>
        <v>13</v>
      </c>
      <c r="B13" s="350" t="s">
        <v>159</v>
      </c>
      <c r="C13" s="614"/>
      <c r="D13" s="571"/>
      <c r="E13" s="31"/>
      <c r="F13" s="1273">
        <f t="shared" ref="F13:L13" si="4">IFERROR(F12/F9,0)</f>
        <v>0</v>
      </c>
      <c r="G13" s="1274">
        <f>IFERROR(G12/G9,0)</f>
        <v>173.91304347826087</v>
      </c>
      <c r="H13" s="1274">
        <f t="shared" si="4"/>
        <v>129.03225806451613</v>
      </c>
      <c r="I13" s="1274">
        <f t="shared" si="4"/>
        <v>102.56410256410257</v>
      </c>
      <c r="J13" s="1274">
        <f t="shared" si="4"/>
        <v>85.106382978723403</v>
      </c>
      <c r="K13" s="1274">
        <f t="shared" si="4"/>
        <v>72.727272727272734</v>
      </c>
      <c r="L13" s="1274">
        <f t="shared" si="4"/>
        <v>71.428571428571431</v>
      </c>
      <c r="M13" s="1444"/>
      <c r="N13" s="1444"/>
      <c r="O13" s="1444"/>
      <c r="P13" s="1444"/>
    </row>
    <row r="14" spans="1:16" ht="14.4">
      <c r="A14" s="290">
        <f>ROW()</f>
        <v>14</v>
      </c>
      <c r="B14" s="154"/>
      <c r="C14" s="357"/>
      <c r="D14" s="357"/>
      <c r="E14" s="357"/>
      <c r="F14" s="545"/>
      <c r="G14" s="545"/>
      <c r="H14" s="545"/>
      <c r="I14" s="545"/>
      <c r="J14" s="545"/>
      <c r="K14" s="545"/>
      <c r="L14" s="545"/>
      <c r="M14" s="1444"/>
      <c r="N14" s="1444"/>
      <c r="O14" s="1444"/>
      <c r="P14" s="1444"/>
    </row>
    <row r="15" spans="1:16" ht="17.399999999999999">
      <c r="A15" s="290">
        <f>ROW()</f>
        <v>15</v>
      </c>
      <c r="B15" s="1428" t="s">
        <v>160</v>
      </c>
      <c r="C15" s="1445"/>
      <c r="D15" s="1445"/>
      <c r="E15" s="1445"/>
      <c r="F15" s="1446">
        <f>Summary!F6</f>
        <v>0</v>
      </c>
      <c r="G15" s="1446">
        <f>Summary!G6</f>
        <v>1</v>
      </c>
      <c r="H15" s="1446">
        <f>Summary!H6</f>
        <v>2</v>
      </c>
      <c r="I15" s="1446">
        <f>Summary!I6</f>
        <v>3</v>
      </c>
      <c r="J15" s="1446">
        <f>Summary!J6</f>
        <v>4</v>
      </c>
      <c r="K15" s="1446">
        <f>Summary!K6</f>
        <v>5</v>
      </c>
      <c r="L15" s="1446">
        <f>Summary!L6</f>
        <v>6</v>
      </c>
    </row>
    <row r="16" spans="1:16" ht="13.8">
      <c r="A16" s="290">
        <f>ROW()</f>
        <v>16</v>
      </c>
      <c r="B16" s="104" t="s">
        <v>161</v>
      </c>
      <c r="C16" s="104"/>
      <c r="D16" s="104"/>
      <c r="E16" s="104"/>
      <c r="F16" s="546"/>
      <c r="G16" s="547">
        <f>IFERROR(+Summary!G60/G48,0)</f>
        <v>31.316076774401967</v>
      </c>
      <c r="H16" s="547">
        <f>IFERROR(+Summary!H60/H48,0)</f>
        <v>77.592156582892471</v>
      </c>
      <c r="I16" s="547">
        <f>IFERROR(+Summary!I60/I48,0)</f>
        <v>133.12084515935661</v>
      </c>
      <c r="J16" s="547">
        <f>IFERROR(+Summary!J60/J48,0)</f>
        <v>174.77834034511955</v>
      </c>
      <c r="K16" s="547">
        <f>IFERROR(+Summary!K60/K48,0)</f>
        <v>247.75137902091973</v>
      </c>
      <c r="L16" s="547">
        <f>IFERROR(+Summary!L60/L48,0)</f>
        <v>262.14606865927021</v>
      </c>
    </row>
    <row r="17" spans="1:12" ht="13.8">
      <c r="A17" s="290">
        <f>ROW()</f>
        <v>17</v>
      </c>
      <c r="B17" s="32" t="s">
        <v>162</v>
      </c>
      <c r="C17" s="32"/>
      <c r="D17" s="32"/>
      <c r="E17" s="32"/>
      <c r="F17" s="548"/>
      <c r="G17" s="650">
        <f t="shared" ref="G17:L17" si="5">IFERROR(+G16/G21,0)</f>
        <v>0.13615685554087811</v>
      </c>
      <c r="H17" s="650">
        <f t="shared" si="5"/>
        <v>0.25029727929965312</v>
      </c>
      <c r="I17" s="650">
        <f t="shared" si="5"/>
        <v>0.34133550040860666</v>
      </c>
      <c r="J17" s="650">
        <f t="shared" si="5"/>
        <v>0.37186880924493521</v>
      </c>
      <c r="K17" s="650">
        <f t="shared" si="5"/>
        <v>0.45045705276530862</v>
      </c>
      <c r="L17" s="650">
        <f t="shared" si="5"/>
        <v>0.46811797974869679</v>
      </c>
    </row>
    <row r="18" spans="1:12" ht="13.8">
      <c r="A18" s="290">
        <f>ROW()</f>
        <v>18</v>
      </c>
      <c r="B18" s="104" t="s">
        <v>163</v>
      </c>
      <c r="C18" s="363"/>
      <c r="D18" s="363"/>
      <c r="E18" s="363"/>
      <c r="F18" s="294">
        <f>Summary!F60+E18</f>
        <v>0</v>
      </c>
      <c r="G18" s="294">
        <f>Summary!G60+F18</f>
        <v>327593.02</v>
      </c>
      <c r="H18" s="294">
        <f>+G18+Summary!H60</f>
        <v>1176831.8651589998</v>
      </c>
      <c r="I18" s="294">
        <f>H18+Summary!I60</f>
        <v>2641659.9154819995</v>
      </c>
      <c r="J18" s="294">
        <f>I18+Summary!J60</f>
        <v>4571659.6176190004</v>
      </c>
      <c r="K18" s="294">
        <f>J18+Summary!K60</f>
        <v>7314286.2792210504</v>
      </c>
      <c r="L18" s="294">
        <f>K18+Summary!L60</f>
        <v>10253443.322230412</v>
      </c>
    </row>
    <row r="19" spans="1:12" ht="13.8">
      <c r="A19" s="290">
        <f>ROW()</f>
        <v>19</v>
      </c>
      <c r="B19" s="32" t="s">
        <v>164</v>
      </c>
      <c r="C19" s="364"/>
      <c r="D19" s="364"/>
      <c r="E19" s="364"/>
      <c r="F19" s="549"/>
      <c r="G19" s="550">
        <f>IFERROR(+G18/Summary!G54,0)</f>
        <v>0.15761756797425303</v>
      </c>
      <c r="H19" s="550">
        <f>IFERROR(+H18/Summary!H54,0)</f>
        <v>0.46264898127132398</v>
      </c>
      <c r="I19" s="550">
        <f>IFERROR(+I18/Summary!I54,0)</f>
        <v>0.93456058556336186</v>
      </c>
      <c r="J19" s="550">
        <f>IFERROR(+J18/Summary!J54,0)</f>
        <v>1.4023487744025804</v>
      </c>
      <c r="K19" s="550">
        <f>IFERROR(+K18/Summary!K54,0)</f>
        <v>2.1860345085918671</v>
      </c>
      <c r="L19" s="550">
        <f>IFERROR(+L18/Summary!L54,0)</f>
        <v>3.0703434312475268</v>
      </c>
    </row>
    <row r="20" spans="1:12" ht="13.8">
      <c r="A20" s="290">
        <f>ROW()</f>
        <v>20</v>
      </c>
      <c r="B20" s="32"/>
      <c r="C20" s="32"/>
      <c r="D20" s="32"/>
      <c r="E20" s="32"/>
      <c r="F20" s="429"/>
      <c r="G20" s="429"/>
      <c r="H20" s="429"/>
      <c r="I20" s="429"/>
      <c r="J20" s="429"/>
      <c r="K20" s="429"/>
      <c r="L20" s="429"/>
    </row>
    <row r="21" spans="1:12" ht="13.8">
      <c r="A21" s="290">
        <f>ROW()</f>
        <v>21</v>
      </c>
      <c r="B21" s="365" t="s">
        <v>158</v>
      </c>
      <c r="C21" s="611">
        <f t="shared" ref="C21:C28" si="6">MAX(F21:L21)</f>
        <v>560</v>
      </c>
      <c r="D21" s="407"/>
      <c r="E21" s="259"/>
      <c r="F21" s="295">
        <f>' Enrol &amp; Rev'!F36</f>
        <v>0</v>
      </c>
      <c r="G21" s="295">
        <f>' Enrol &amp; Rev'!G36</f>
        <v>230</v>
      </c>
      <c r="H21" s="295">
        <f>' Enrol &amp; Rev'!H36</f>
        <v>310</v>
      </c>
      <c r="I21" s="295">
        <f>' Enrol &amp; Rev'!I36</f>
        <v>390</v>
      </c>
      <c r="J21" s="295">
        <f>' Enrol &amp; Rev'!J36</f>
        <v>470</v>
      </c>
      <c r="K21" s="295">
        <f>' Enrol &amp; Rev'!K36</f>
        <v>550</v>
      </c>
      <c r="L21" s="295">
        <f>' Enrol &amp; Rev'!L36</f>
        <v>560</v>
      </c>
    </row>
    <row r="22" spans="1:12" ht="13.8">
      <c r="A22" s="290">
        <f>ROW()</f>
        <v>22</v>
      </c>
      <c r="B22" s="91" t="s">
        <v>73</v>
      </c>
      <c r="C22" s="612">
        <f t="shared" si="6"/>
        <v>31</v>
      </c>
      <c r="D22" s="408"/>
      <c r="E22" s="49"/>
      <c r="F22" s="1272">
        <f>Staff!G28</f>
        <v>0</v>
      </c>
      <c r="G22" s="1272">
        <f>Staff!H28</f>
        <v>14.5</v>
      </c>
      <c r="H22" s="1272">
        <f>Staff!I28</f>
        <v>21.5</v>
      </c>
      <c r="I22" s="1272">
        <f>Staff!J28</f>
        <v>25</v>
      </c>
      <c r="J22" s="1272">
        <f>Staff!K28</f>
        <v>30</v>
      </c>
      <c r="K22" s="1272">
        <f>Staff!L28</f>
        <v>31</v>
      </c>
      <c r="L22" s="1272">
        <f>Staff!M28</f>
        <v>31</v>
      </c>
    </row>
    <row r="23" spans="1:12" ht="13.8">
      <c r="A23" s="290">
        <f>ROW()</f>
        <v>23</v>
      </c>
      <c r="B23" s="349" t="s">
        <v>165</v>
      </c>
      <c r="C23" s="610">
        <f t="shared" si="6"/>
        <v>591</v>
      </c>
      <c r="D23" s="407"/>
      <c r="E23" s="259"/>
      <c r="F23" s="295">
        <f t="shared" ref="F23:L23" si="7">SUM(F21:F22)</f>
        <v>0</v>
      </c>
      <c r="G23" s="295">
        <f t="shared" si="7"/>
        <v>244.5</v>
      </c>
      <c r="H23" s="295">
        <f t="shared" si="7"/>
        <v>331.5</v>
      </c>
      <c r="I23" s="295">
        <f t="shared" si="7"/>
        <v>415</v>
      </c>
      <c r="J23" s="295">
        <f t="shared" si="7"/>
        <v>500</v>
      </c>
      <c r="K23" s="295">
        <f t="shared" si="7"/>
        <v>581</v>
      </c>
      <c r="L23" s="295">
        <f t="shared" si="7"/>
        <v>591</v>
      </c>
    </row>
    <row r="24" spans="1:12" ht="13.8">
      <c r="A24" s="290">
        <f>ROW()</f>
        <v>24</v>
      </c>
      <c r="B24" s="366" t="s">
        <v>166</v>
      </c>
      <c r="C24" s="610">
        <f t="shared" si="6"/>
        <v>0.34782608695652173</v>
      </c>
      <c r="D24" s="51"/>
      <c r="E24" s="49"/>
      <c r="F24" s="117"/>
      <c r="G24" s="117"/>
      <c r="H24" s="550">
        <f>IFERROR(+H21/G21-1,0)</f>
        <v>0.34782608695652173</v>
      </c>
      <c r="I24" s="550">
        <f>IFERROR(+I21/H21-1,0)</f>
        <v>0.25806451612903225</v>
      </c>
      <c r="J24" s="550">
        <f>IFERROR(+J21/I21-1,0)</f>
        <v>0.20512820512820507</v>
      </c>
      <c r="K24" s="550">
        <f>IFERROR(+K21/J21-1,0)</f>
        <v>0.17021276595744683</v>
      </c>
      <c r="L24" s="550">
        <f>IFERROR(+L21/K21-1,0)</f>
        <v>1.8181818181818077E-2</v>
      </c>
    </row>
    <row r="25" spans="1:12" ht="13.8">
      <c r="A25" s="290">
        <f>ROW()</f>
        <v>25</v>
      </c>
      <c r="B25" s="350" t="s">
        <v>167</v>
      </c>
      <c r="C25" s="610">
        <f t="shared" si="6"/>
        <v>3</v>
      </c>
      <c r="D25" s="408"/>
      <c r="E25" s="49"/>
      <c r="F25" s="117">
        <f>+Staff!G109</f>
        <v>0</v>
      </c>
      <c r="G25" s="117">
        <f>+Staff!H109</f>
        <v>1</v>
      </c>
      <c r="H25" s="117">
        <f>+Staff!I109</f>
        <v>2</v>
      </c>
      <c r="I25" s="117">
        <f>+Staff!J109</f>
        <v>2</v>
      </c>
      <c r="J25" s="117">
        <f>+Staff!K109</f>
        <v>3</v>
      </c>
      <c r="K25" s="117">
        <f>+Staff!L109</f>
        <v>3</v>
      </c>
      <c r="L25" s="117">
        <f>+Staff!M109</f>
        <v>3</v>
      </c>
    </row>
    <row r="26" spans="1:12" ht="13.8">
      <c r="A26" s="290"/>
      <c r="B26" s="350" t="s">
        <v>1202</v>
      </c>
      <c r="C26" s="610">
        <f t="shared" si="6"/>
        <v>67.2</v>
      </c>
      <c r="D26" s="408"/>
      <c r="E26" s="49"/>
      <c r="F26" s="117">
        <f>+Staff!G110</f>
        <v>0</v>
      </c>
      <c r="G26" s="117">
        <f>+Staff!H110</f>
        <v>27.599999999999998</v>
      </c>
      <c r="H26" s="117">
        <f>+Staff!I110</f>
        <v>37.199999999999996</v>
      </c>
      <c r="I26" s="117">
        <f>+Staff!J110</f>
        <v>46.8</v>
      </c>
      <c r="J26" s="117">
        <f>+Staff!K110</f>
        <v>56.4</v>
      </c>
      <c r="K26" s="117">
        <f>+Staff!L110</f>
        <v>66</v>
      </c>
      <c r="L26" s="117">
        <f>+Staff!M110</f>
        <v>67.2</v>
      </c>
    </row>
    <row r="27" spans="1:12" ht="13.8">
      <c r="A27" s="290"/>
      <c r="B27" s="350" t="s">
        <v>1201</v>
      </c>
      <c r="C27" s="610">
        <f t="shared" si="6"/>
        <v>27.599999999999998</v>
      </c>
      <c r="D27" s="408"/>
      <c r="E27" s="49"/>
      <c r="F27" s="117"/>
      <c r="G27" s="117">
        <f>IFERROR(' Enrol &amp; Rev'!G68/G25,0)</f>
        <v>27.599999999999998</v>
      </c>
      <c r="H27" s="117">
        <f>IFERROR(' Enrol &amp; Rev'!H68/H25,0)</f>
        <v>18.599999999999998</v>
      </c>
      <c r="I27" s="117">
        <f>IFERROR(' Enrol &amp; Rev'!I68/I25,0)</f>
        <v>23.4</v>
      </c>
      <c r="J27" s="117">
        <f>IFERROR(' Enrol &amp; Rev'!J68/J25,0)</f>
        <v>18.8</v>
      </c>
      <c r="K27" s="117">
        <f>IFERROR(' Enrol &amp; Rev'!K68/K25,0)</f>
        <v>22</v>
      </c>
      <c r="L27" s="117">
        <f>IFERROR(' Enrol &amp; Rev'!L68/L25,0)</f>
        <v>22.400000000000002</v>
      </c>
    </row>
    <row r="28" spans="1:12" ht="13.8">
      <c r="A28" s="290">
        <f>ROW()</f>
        <v>28</v>
      </c>
      <c r="B28" s="350" t="s">
        <v>168</v>
      </c>
      <c r="C28" s="610">
        <f t="shared" si="6"/>
        <v>1</v>
      </c>
      <c r="D28" s="408"/>
      <c r="E28" s="49"/>
      <c r="F28" s="117">
        <f>+Staff!G123</f>
        <v>0</v>
      </c>
      <c r="G28" s="117">
        <f>+Staff!H123</f>
        <v>0.5</v>
      </c>
      <c r="H28" s="117">
        <f>+Staff!I123</f>
        <v>0.5</v>
      </c>
      <c r="I28" s="117">
        <f>+Staff!J123</f>
        <v>1</v>
      </c>
      <c r="J28" s="117">
        <f>+Staff!K123</f>
        <v>1</v>
      </c>
      <c r="K28" s="117">
        <f>+Staff!L123</f>
        <v>1</v>
      </c>
      <c r="L28" s="117">
        <f>+Staff!M123</f>
        <v>1</v>
      </c>
    </row>
    <row r="29" spans="1:12" ht="13.8">
      <c r="A29" s="290"/>
      <c r="B29" s="350" t="s">
        <v>1203</v>
      </c>
      <c r="C29" s="610">
        <f t="shared" ref="C29:C30" si="8">MAX(F29:L29)</f>
        <v>168.14840000000001</v>
      </c>
      <c r="D29" s="408"/>
      <c r="E29" s="49"/>
      <c r="F29" s="117"/>
      <c r="G29" s="117">
        <f>+' Enrol &amp; Rev'!G69</f>
        <v>69.060950000000005</v>
      </c>
      <c r="H29" s="117">
        <f>+' Enrol &amp; Rev'!H69</f>
        <v>93.082149999999999</v>
      </c>
      <c r="I29" s="117">
        <f>+' Enrol &amp; Rev'!I69</f>
        <v>117.10335000000001</v>
      </c>
      <c r="J29" s="117">
        <f>+' Enrol &amp; Rev'!J69</f>
        <v>141.12455</v>
      </c>
      <c r="K29" s="117">
        <f>+' Enrol &amp; Rev'!K69</f>
        <v>165.14574999999999</v>
      </c>
      <c r="L29" s="117">
        <f>+' Enrol &amp; Rev'!L69</f>
        <v>168.14840000000001</v>
      </c>
    </row>
    <row r="30" spans="1:12" ht="13.8">
      <c r="A30" s="290"/>
      <c r="B30" s="350" t="s">
        <v>1200</v>
      </c>
      <c r="C30" s="610">
        <f t="shared" si="8"/>
        <v>186.1643</v>
      </c>
      <c r="D30" s="408"/>
      <c r="E30" s="49"/>
      <c r="F30" s="117"/>
      <c r="G30" s="117">
        <f>+G29/G28</f>
        <v>138.12190000000001</v>
      </c>
      <c r="H30" s="117">
        <f t="shared" ref="H30:L30" si="9">+H29/H28</f>
        <v>186.1643</v>
      </c>
      <c r="I30" s="117">
        <f t="shared" si="9"/>
        <v>117.10335000000001</v>
      </c>
      <c r="J30" s="117">
        <f t="shared" si="9"/>
        <v>141.12455</v>
      </c>
      <c r="K30" s="117">
        <f t="shared" si="9"/>
        <v>165.14574999999999</v>
      </c>
      <c r="L30" s="117">
        <f t="shared" si="9"/>
        <v>168.14840000000001</v>
      </c>
    </row>
    <row r="31" spans="1:12" ht="13.8">
      <c r="A31" s="290">
        <f>ROW()</f>
        <v>31</v>
      </c>
      <c r="B31" s="350" t="s">
        <v>169</v>
      </c>
      <c r="C31" s="610">
        <f>MAX(F31:L31)</f>
        <v>20</v>
      </c>
      <c r="D31" s="408"/>
      <c r="E31" s="49"/>
      <c r="F31" s="117">
        <f>+Staff!G241</f>
        <v>0</v>
      </c>
      <c r="G31" s="117">
        <f>+Staff!H241</f>
        <v>9</v>
      </c>
      <c r="H31" s="117">
        <f>+Staff!I241</f>
        <v>14</v>
      </c>
      <c r="I31" s="117">
        <f>+Staff!J241</f>
        <v>16</v>
      </c>
      <c r="J31" s="117">
        <f>+Staff!K241</f>
        <v>20</v>
      </c>
      <c r="K31" s="117">
        <f>+Staff!L241</f>
        <v>20</v>
      </c>
      <c r="L31" s="117">
        <f>+Staff!M241</f>
        <v>20</v>
      </c>
    </row>
    <row r="32" spans="1:12" ht="13.8">
      <c r="A32" s="290">
        <f>ROW()</f>
        <v>32</v>
      </c>
      <c r="B32" s="960" t="s">
        <v>170</v>
      </c>
      <c r="C32" s="613">
        <f>MAX(G32:L32)</f>
        <v>24</v>
      </c>
      <c r="D32" s="407"/>
      <c r="E32" s="961"/>
      <c r="F32" s="295">
        <f t="shared" ref="F32" si="10">SUM(F25:F31)</f>
        <v>0</v>
      </c>
      <c r="G32" s="295">
        <f>SUM(G25,G28,G31)</f>
        <v>10.5</v>
      </c>
      <c r="H32" s="295">
        <f t="shared" ref="H32:L32" si="11">SUM(H25,H28,H31)</f>
        <v>16.5</v>
      </c>
      <c r="I32" s="295">
        <f t="shared" si="11"/>
        <v>19</v>
      </c>
      <c r="J32" s="295">
        <f t="shared" si="11"/>
        <v>24</v>
      </c>
      <c r="K32" s="295">
        <f t="shared" si="11"/>
        <v>24</v>
      </c>
      <c r="L32" s="295">
        <f t="shared" si="11"/>
        <v>24</v>
      </c>
    </row>
    <row r="33" spans="1:12" ht="13.8">
      <c r="A33" s="290">
        <f>ROW()</f>
        <v>33</v>
      </c>
      <c r="B33" s="365" t="s">
        <v>171</v>
      </c>
      <c r="C33" s="610">
        <f>MAX(G33:L33)</f>
        <v>23.333333333333332</v>
      </c>
      <c r="D33" s="407"/>
      <c r="E33" s="259"/>
      <c r="F33" s="546"/>
      <c r="G33" s="546">
        <f t="shared" ref="G33:L33" si="12">IFERROR(+G21/G32,0)</f>
        <v>21.904761904761905</v>
      </c>
      <c r="H33" s="546">
        <f t="shared" si="12"/>
        <v>18.787878787878789</v>
      </c>
      <c r="I33" s="546">
        <f t="shared" si="12"/>
        <v>20.526315789473685</v>
      </c>
      <c r="J33" s="546">
        <f t="shared" si="12"/>
        <v>19.583333333333332</v>
      </c>
      <c r="K33" s="546">
        <f t="shared" si="12"/>
        <v>22.916666666666668</v>
      </c>
      <c r="L33" s="546">
        <f t="shared" si="12"/>
        <v>23.333333333333332</v>
      </c>
    </row>
    <row r="34" spans="1:12" ht="13.8">
      <c r="A34" s="290">
        <f>ROW()</f>
        <v>34</v>
      </c>
      <c r="B34" s="91" t="s">
        <v>1204</v>
      </c>
      <c r="C34" s="610">
        <f>MAX(G34:L34)</f>
        <v>21.53846153846154</v>
      </c>
      <c r="D34" s="51"/>
      <c r="E34" s="49"/>
      <c r="F34" s="433"/>
      <c r="G34" s="433">
        <f>' Enrol &amp; Rev'!G21</f>
        <v>8.8461538461538467</v>
      </c>
      <c r="H34" s="433">
        <f>' Enrol &amp; Rev'!H21</f>
        <v>11.923076923076923</v>
      </c>
      <c r="I34" s="433">
        <f>' Enrol &amp; Rev'!I21</f>
        <v>15</v>
      </c>
      <c r="J34" s="433">
        <f>' Enrol &amp; Rev'!J21</f>
        <v>18.076923076923077</v>
      </c>
      <c r="K34" s="433">
        <f>' Enrol &amp; Rev'!K21</f>
        <v>21.153846153846153</v>
      </c>
      <c r="L34" s="433">
        <f>' Enrol &amp; Rev'!L21</f>
        <v>21.53846153846154</v>
      </c>
    </row>
    <row r="35" spans="1:12" ht="13.8">
      <c r="A35" s="290">
        <f>ROW()</f>
        <v>35</v>
      </c>
      <c r="B35" s="350" t="s">
        <v>172</v>
      </c>
      <c r="C35" s="610">
        <f t="shared" ref="C35:C40" si="13">MAX(G35:L35)</f>
        <v>2</v>
      </c>
      <c r="D35" s="408"/>
      <c r="E35" s="49"/>
      <c r="F35" s="117">
        <f>+Staff!G89</f>
        <v>0</v>
      </c>
      <c r="G35" s="117">
        <f>+Staff!H89</f>
        <v>1</v>
      </c>
      <c r="H35" s="117">
        <f>+Staff!I89</f>
        <v>2</v>
      </c>
      <c r="I35" s="117">
        <f>+Staff!J89</f>
        <v>2</v>
      </c>
      <c r="J35" s="117">
        <f>+Staff!K89</f>
        <v>2</v>
      </c>
      <c r="K35" s="117">
        <f>+Staff!L89</f>
        <v>2</v>
      </c>
      <c r="L35" s="117">
        <f>+Staff!M89</f>
        <v>2</v>
      </c>
    </row>
    <row r="36" spans="1:12" ht="13.8">
      <c r="A36" s="290">
        <f>ROW()</f>
        <v>36</v>
      </c>
      <c r="B36" s="349" t="s">
        <v>173</v>
      </c>
      <c r="C36" s="611">
        <f t="shared" si="13"/>
        <v>280</v>
      </c>
      <c r="D36" s="407"/>
      <c r="E36" s="259"/>
      <c r="F36" s="295">
        <f>IFERROR(F21/F35,0)</f>
        <v>0</v>
      </c>
      <c r="G36" s="295">
        <f t="shared" ref="G36:L36" si="14">IFERROR(+G21/G35,0)</f>
        <v>230</v>
      </c>
      <c r="H36" s="295">
        <f t="shared" si="14"/>
        <v>155</v>
      </c>
      <c r="I36" s="295">
        <f t="shared" si="14"/>
        <v>195</v>
      </c>
      <c r="J36" s="295">
        <f t="shared" si="14"/>
        <v>235</v>
      </c>
      <c r="K36" s="295">
        <f t="shared" si="14"/>
        <v>275</v>
      </c>
      <c r="L36" s="295">
        <f t="shared" si="14"/>
        <v>280</v>
      </c>
    </row>
    <row r="37" spans="1:12" ht="13.8">
      <c r="A37" s="290">
        <f>ROW()</f>
        <v>37</v>
      </c>
      <c r="B37" s="350" t="s">
        <v>174</v>
      </c>
      <c r="C37" s="610">
        <f t="shared" si="13"/>
        <v>12</v>
      </c>
      <c r="D37" s="408"/>
      <c r="E37" s="49"/>
      <c r="F37" s="117">
        <f>IFERROR(F32/F35,0)</f>
        <v>0</v>
      </c>
      <c r="G37" s="117">
        <f t="shared" ref="G37:L37" si="15">IFERROR(+G32/G35,0)</f>
        <v>10.5</v>
      </c>
      <c r="H37" s="117">
        <f t="shared" si="15"/>
        <v>8.25</v>
      </c>
      <c r="I37" s="117">
        <f t="shared" si="15"/>
        <v>9.5</v>
      </c>
      <c r="J37" s="117">
        <f t="shared" si="15"/>
        <v>12</v>
      </c>
      <c r="K37" s="117">
        <f t="shared" si="15"/>
        <v>12</v>
      </c>
      <c r="L37" s="117">
        <f t="shared" si="15"/>
        <v>12</v>
      </c>
    </row>
    <row r="38" spans="1:12" ht="13.8">
      <c r="A38" s="290">
        <f>ROW()</f>
        <v>38</v>
      </c>
      <c r="B38" s="350" t="s">
        <v>175</v>
      </c>
      <c r="C38" s="612">
        <f t="shared" si="13"/>
        <v>4</v>
      </c>
      <c r="D38" s="408"/>
      <c r="E38" s="49"/>
      <c r="F38" s="117">
        <f>+Staff!G97</f>
        <v>0</v>
      </c>
      <c r="G38" s="117">
        <f>+Staff!H97</f>
        <v>3</v>
      </c>
      <c r="H38" s="117">
        <f>+Staff!I97</f>
        <v>4</v>
      </c>
      <c r="I38" s="117">
        <f>+Staff!J97</f>
        <v>4</v>
      </c>
      <c r="J38" s="117">
        <f>+Staff!K97</f>
        <v>4</v>
      </c>
      <c r="K38" s="117">
        <f>+Staff!L97</f>
        <v>4</v>
      </c>
      <c r="L38" s="117">
        <f>+Staff!M97</f>
        <v>4</v>
      </c>
    </row>
    <row r="39" spans="1:12" ht="13.8">
      <c r="A39" s="290">
        <f>ROW()</f>
        <v>39</v>
      </c>
      <c r="B39" s="349" t="s">
        <v>176</v>
      </c>
      <c r="C39" s="610">
        <f t="shared" si="13"/>
        <v>140</v>
      </c>
      <c r="D39" s="407"/>
      <c r="E39" s="259"/>
      <c r="F39" s="295"/>
      <c r="G39" s="295">
        <f t="shared" ref="G39:L39" si="16">IFERROR(+G21/G38,0)</f>
        <v>76.666666666666671</v>
      </c>
      <c r="H39" s="295">
        <f t="shared" si="16"/>
        <v>77.5</v>
      </c>
      <c r="I39" s="295">
        <f t="shared" si="16"/>
        <v>97.5</v>
      </c>
      <c r="J39" s="295">
        <f t="shared" si="16"/>
        <v>117.5</v>
      </c>
      <c r="K39" s="295">
        <f t="shared" si="16"/>
        <v>137.5</v>
      </c>
      <c r="L39" s="295">
        <f t="shared" si="16"/>
        <v>140</v>
      </c>
    </row>
    <row r="40" spans="1:12" ht="13.8">
      <c r="A40" s="290">
        <f>ROW()</f>
        <v>40</v>
      </c>
      <c r="B40" s="350" t="s">
        <v>177</v>
      </c>
      <c r="C40" s="610">
        <f t="shared" si="13"/>
        <v>6</v>
      </c>
      <c r="D40" s="408"/>
      <c r="E40" s="49"/>
      <c r="F40" s="433"/>
      <c r="G40" s="117">
        <f t="shared" ref="G40:L40" si="17">IFERROR(+G32/G38,0)</f>
        <v>3.5</v>
      </c>
      <c r="H40" s="117">
        <f t="shared" si="17"/>
        <v>4.125</v>
      </c>
      <c r="I40" s="117">
        <f t="shared" si="17"/>
        <v>4.75</v>
      </c>
      <c r="J40" s="117">
        <f t="shared" si="17"/>
        <v>6</v>
      </c>
      <c r="K40" s="117">
        <f t="shared" si="17"/>
        <v>6</v>
      </c>
      <c r="L40" s="117">
        <f t="shared" si="17"/>
        <v>6</v>
      </c>
    </row>
    <row r="41" spans="1:12" ht="13.8">
      <c r="A41" s="290">
        <f>ROW()</f>
        <v>41</v>
      </c>
      <c r="B41" s="350" t="s">
        <v>178</v>
      </c>
      <c r="C41" s="409">
        <f t="shared" ref="C41:C46" si="18">AVERAGE(G41:L41)</f>
        <v>90000</v>
      </c>
      <c r="D41" s="409"/>
      <c r="E41" s="92"/>
      <c r="F41" s="109"/>
      <c r="G41" s="109">
        <f>IFERROR(+Staff!H252/G35,0)</f>
        <v>90000</v>
      </c>
      <c r="H41" s="109">
        <f>IFERROR(+Staff!I252/H35,0)</f>
        <v>90000</v>
      </c>
      <c r="I41" s="109">
        <f>IFERROR(+Staff!J252/I35,0)</f>
        <v>90000</v>
      </c>
      <c r="J41" s="109">
        <f>IFERROR(+Staff!K252/J35,0)</f>
        <v>90000</v>
      </c>
      <c r="K41" s="109">
        <f>IFERROR(+Staff!L252/K35,0)</f>
        <v>90000</v>
      </c>
      <c r="L41" s="109">
        <f>IFERROR(+Staff!M252/L35,0)</f>
        <v>90000</v>
      </c>
    </row>
    <row r="42" spans="1:12" ht="13.8">
      <c r="A42" s="290">
        <f>ROW()</f>
        <v>42</v>
      </c>
      <c r="B42" s="350" t="s">
        <v>179</v>
      </c>
      <c r="C42" s="409">
        <f t="shared" si="18"/>
        <v>23750</v>
      </c>
      <c r="D42" s="409"/>
      <c r="E42" s="49"/>
      <c r="F42" s="117"/>
      <c r="G42" s="117">
        <f>IFERROR(+Staff!H259/G38,0)</f>
        <v>30000</v>
      </c>
      <c r="H42" s="117">
        <f>IFERROR(+Staff!I259/H38,0)</f>
        <v>22500</v>
      </c>
      <c r="I42" s="117">
        <f>IFERROR(+Staff!J259/I38,0)</f>
        <v>22500</v>
      </c>
      <c r="J42" s="117">
        <f>IFERROR(+Staff!K259/J38,0)</f>
        <v>22500</v>
      </c>
      <c r="K42" s="117">
        <f>IFERROR(+Staff!L259/K38,0)</f>
        <v>22500</v>
      </c>
      <c r="L42" s="117">
        <f>IFERROR(+Staff!M259/L38,0)</f>
        <v>22500</v>
      </c>
    </row>
    <row r="43" spans="1:12" ht="13.8">
      <c r="A43" s="290">
        <f>ROW()</f>
        <v>43</v>
      </c>
      <c r="B43" s="350" t="s">
        <v>180</v>
      </c>
      <c r="C43" s="409">
        <f t="shared" si="18"/>
        <v>60000</v>
      </c>
      <c r="D43" s="409"/>
      <c r="E43" s="49"/>
      <c r="F43" s="117"/>
      <c r="G43" s="117">
        <f>IFERROR(+Staff!H274/G25,0)</f>
        <v>60000</v>
      </c>
      <c r="H43" s="117">
        <f>IFERROR(+Staff!I274/H25,0)</f>
        <v>60000</v>
      </c>
      <c r="I43" s="117">
        <f>IFERROR(+Staff!J274/I25,0)</f>
        <v>60000</v>
      </c>
      <c r="J43" s="117">
        <f>IFERROR(+Staff!K274/J25,0)</f>
        <v>60000</v>
      </c>
      <c r="K43" s="117">
        <f>IFERROR(+Staff!L274/K25,0)</f>
        <v>60000</v>
      </c>
      <c r="L43" s="117">
        <f>IFERROR(+Staff!M274/L25,0)</f>
        <v>60000</v>
      </c>
    </row>
    <row r="44" spans="1:12" ht="13.8">
      <c r="A44" s="290">
        <f>ROW()</f>
        <v>44</v>
      </c>
      <c r="B44" s="350" t="s">
        <v>181</v>
      </c>
      <c r="C44" s="409">
        <f t="shared" si="18"/>
        <v>60000</v>
      </c>
      <c r="D44" s="409"/>
      <c r="E44" s="49"/>
      <c r="F44" s="117"/>
      <c r="G44" s="117">
        <f>IFERROR(Staff!H286/G28,0)</f>
        <v>60000</v>
      </c>
      <c r="H44" s="117">
        <f>IFERROR(Staff!I286/H28,0)</f>
        <v>60000</v>
      </c>
      <c r="I44" s="117">
        <f>IFERROR(Staff!J286/I28,0)</f>
        <v>60000</v>
      </c>
      <c r="J44" s="117">
        <f>IFERROR(Staff!K286/J28,0)</f>
        <v>60000</v>
      </c>
      <c r="K44" s="117">
        <f>IFERROR(Staff!L286/K28,0)</f>
        <v>60000</v>
      </c>
      <c r="L44" s="117">
        <f>IFERROR(Staff!M286/L28,0)</f>
        <v>60000</v>
      </c>
    </row>
    <row r="45" spans="1:12" ht="13.8">
      <c r="A45" s="290">
        <f>ROW()</f>
        <v>45</v>
      </c>
      <c r="B45" s="350" t="s">
        <v>182</v>
      </c>
      <c r="C45" s="409">
        <f t="shared" si="18"/>
        <v>60000</v>
      </c>
      <c r="D45" s="409"/>
      <c r="E45" s="49"/>
      <c r="F45" s="117"/>
      <c r="G45" s="117">
        <f>IFERROR(Staff!H397/G31,0)</f>
        <v>60000</v>
      </c>
      <c r="H45" s="117">
        <f>IFERROR(Staff!I397/H31,0)</f>
        <v>60000</v>
      </c>
      <c r="I45" s="117">
        <f>IFERROR(Staff!J397/I31,0)</f>
        <v>60000</v>
      </c>
      <c r="J45" s="117">
        <f>IFERROR(Staff!K397/J31,0)</f>
        <v>60000</v>
      </c>
      <c r="K45" s="117">
        <f>IFERROR(Staff!L397/K31,0)</f>
        <v>60000</v>
      </c>
      <c r="L45" s="117">
        <f>IFERROR(Staff!M397/L31,0)</f>
        <v>60000</v>
      </c>
    </row>
    <row r="46" spans="1:12" ht="13.8">
      <c r="A46" s="290">
        <f>ROW()</f>
        <v>46</v>
      </c>
      <c r="B46" s="350" t="s">
        <v>183</v>
      </c>
      <c r="C46" s="409">
        <f t="shared" si="18"/>
        <v>787.72419685577586</v>
      </c>
      <c r="D46" s="409"/>
      <c r="E46" s="49"/>
      <c r="F46" s="117"/>
      <c r="G46" s="117">
        <f>IFERROR(+Summary!G18/G32,0)</f>
        <v>814.85714285714289</v>
      </c>
      <c r="H46" s="117">
        <f>IFERROR(+Summary!H18/H32,0)</f>
        <v>698.90909090909088</v>
      </c>
      <c r="I46" s="117">
        <f>IFERROR(+Summary!I18/I32,0)</f>
        <v>763.57894736842104</v>
      </c>
      <c r="J46" s="117">
        <f>IFERROR(+Summary!J18/J32,0)</f>
        <v>728.5</v>
      </c>
      <c r="K46" s="117">
        <f>IFERROR(+Summary!K18/K32,0)</f>
        <v>852.5</v>
      </c>
      <c r="L46" s="117">
        <f>IFERROR(+Summary!L18/L32,0)</f>
        <v>868</v>
      </c>
    </row>
    <row r="47" spans="1:12" ht="13.8">
      <c r="A47" s="290">
        <f>ROW()</f>
        <v>47</v>
      </c>
      <c r="B47" s="350"/>
      <c r="C47" s="367"/>
      <c r="D47" s="367"/>
      <c r="E47" s="49"/>
      <c r="F47" s="117"/>
      <c r="G47" s="117"/>
      <c r="H47" s="117"/>
      <c r="I47" s="117"/>
      <c r="J47" s="117"/>
      <c r="K47" s="117"/>
      <c r="L47" s="117"/>
    </row>
    <row r="48" spans="1:12" ht="13.8">
      <c r="A48" s="290">
        <f>ROW()</f>
        <v>48</v>
      </c>
      <c r="B48" s="350" t="s">
        <v>184</v>
      </c>
      <c r="C48" s="409">
        <f>AVERAGE(G48:L48)</f>
        <v>10955.674781426613</v>
      </c>
      <c r="D48" s="409"/>
      <c r="E48" s="368"/>
      <c r="F48" s="551"/>
      <c r="G48" s="551">
        <f>IFERROR(Summary!G35/G21,0)</f>
        <v>10460.857608695653</v>
      </c>
      <c r="H48" s="551">
        <f>IFERROR(Summary!H35/H21,0)</f>
        <v>10944.905806964516</v>
      </c>
      <c r="I48" s="551">
        <f>IFERROR(Summary!I35/I21,0)</f>
        <v>11003.746622623075</v>
      </c>
      <c r="J48" s="551">
        <f>IFERROR(Summary!J35/J21,0)</f>
        <v>11042.556522312767</v>
      </c>
      <c r="K48" s="551">
        <f>IFERROR(Summary!K35/K21,0)</f>
        <v>11070.076269365454</v>
      </c>
      <c r="L48" s="551">
        <f>IFERROR(Summary!L35/L21,0)</f>
        <v>11211.905858598215</v>
      </c>
    </row>
    <row r="49" spans="1:12" ht="13.8">
      <c r="A49" s="290">
        <f>ROW()</f>
        <v>49</v>
      </c>
      <c r="B49" s="350" t="s">
        <v>185</v>
      </c>
      <c r="C49" s="409">
        <f>AVERAGE(G49:L49)</f>
        <v>7245.4684516674315</v>
      </c>
      <c r="D49" s="409"/>
      <c r="E49" s="368"/>
      <c r="F49" s="87"/>
      <c r="G49" s="87">
        <f>IFERROR(Summary!G54/G21,0)</f>
        <v>9036.5401304347834</v>
      </c>
      <c r="H49" s="87">
        <f>IFERROR(Summary!H54/H21,0)</f>
        <v>8205.4256612903228</v>
      </c>
      <c r="I49" s="87">
        <f>IFERROR(Summary!I54/I21,0)</f>
        <v>7247.7772628205121</v>
      </c>
      <c r="J49" s="87">
        <f>IFERROR(Summary!J54/J21,0)</f>
        <v>6936.1741773404246</v>
      </c>
      <c r="K49" s="87">
        <f>IFERROR(Summary!K54/K21,0)</f>
        <v>6083.4823391799091</v>
      </c>
      <c r="L49" s="87">
        <f>IFERROR(Summary!L54/L21,0)</f>
        <v>5963.4111389386417</v>
      </c>
    </row>
    <row r="50" spans="1:12" ht="13.8">
      <c r="A50" s="290">
        <f>ROW()</f>
        <v>50</v>
      </c>
      <c r="B50" s="962" t="s">
        <v>186</v>
      </c>
      <c r="C50" s="410">
        <f>AVERAGE(G50:L50)</f>
        <v>3710.2063297591812</v>
      </c>
      <c r="D50" s="410"/>
      <c r="E50" s="369"/>
      <c r="F50" s="963"/>
      <c r="G50" s="964">
        <f t="shared" ref="G50:L50" si="19">+G48-G49</f>
        <v>1424.3174782608694</v>
      </c>
      <c r="H50" s="964">
        <f t="shared" si="19"/>
        <v>2739.4801456741934</v>
      </c>
      <c r="I50" s="964">
        <f t="shared" si="19"/>
        <v>3755.9693598025633</v>
      </c>
      <c r="J50" s="964">
        <f t="shared" si="19"/>
        <v>4106.3823449723423</v>
      </c>
      <c r="K50" s="964">
        <f t="shared" si="19"/>
        <v>4986.5939301855451</v>
      </c>
      <c r="L50" s="963">
        <f t="shared" si="19"/>
        <v>5248.4947196595731</v>
      </c>
    </row>
    <row r="51" spans="1:12" ht="13.8">
      <c r="A51" s="290">
        <f>ROW()</f>
        <v>51</v>
      </c>
      <c r="B51" s="350" t="s">
        <v>187</v>
      </c>
      <c r="C51" s="610">
        <f>MAX(G51:L51)</f>
        <v>40000</v>
      </c>
      <c r="D51" s="408"/>
      <c r="E51" s="49"/>
      <c r="F51" s="87"/>
      <c r="G51" s="87">
        <f>Facilities!G93</f>
        <v>40000</v>
      </c>
      <c r="H51" s="87">
        <f>Facilities!H93</f>
        <v>40000</v>
      </c>
      <c r="I51" s="87">
        <f>Facilities!I93</f>
        <v>40000</v>
      </c>
      <c r="J51" s="87">
        <f>Facilities!J93</f>
        <v>40000</v>
      </c>
      <c r="K51" s="87">
        <f>Facilities!K93</f>
        <v>40000</v>
      </c>
      <c r="L51" s="87">
        <f>Facilities!L93</f>
        <v>40000</v>
      </c>
    </row>
    <row r="52" spans="1:12" ht="13.8">
      <c r="A52" s="290">
        <f>ROW()</f>
        <v>52</v>
      </c>
      <c r="B52" s="350" t="s">
        <v>188</v>
      </c>
      <c r="C52" s="411">
        <f>MIN(G52:L52)</f>
        <v>71.428571428571431</v>
      </c>
      <c r="D52" s="411"/>
      <c r="E52" s="49"/>
      <c r="F52" s="87"/>
      <c r="G52" s="87">
        <f t="shared" ref="G52:L52" si="20">IFERROR(G51/G21,0)</f>
        <v>173.91304347826087</v>
      </c>
      <c r="H52" s="87">
        <f t="shared" si="20"/>
        <v>129.03225806451613</v>
      </c>
      <c r="I52" s="87">
        <f t="shared" si="20"/>
        <v>102.56410256410257</v>
      </c>
      <c r="J52" s="87">
        <f t="shared" si="20"/>
        <v>85.106382978723403</v>
      </c>
      <c r="K52" s="87">
        <f t="shared" si="20"/>
        <v>72.727272727272734</v>
      </c>
      <c r="L52" s="87">
        <f t="shared" si="20"/>
        <v>71.428571428571431</v>
      </c>
    </row>
    <row r="53" spans="1:12" ht="13.8">
      <c r="A53" s="290">
        <f>ROW()</f>
        <v>53</v>
      </c>
      <c r="B53" s="350" t="s">
        <v>189</v>
      </c>
      <c r="C53" s="411">
        <f>MIN(G53:L53)</f>
        <v>67.681895093062607</v>
      </c>
      <c r="D53" s="411"/>
      <c r="E53" s="49"/>
      <c r="F53" s="87"/>
      <c r="G53" s="87">
        <f t="shared" ref="G53:L53" si="21">IFERROR(+G51/G23,0)</f>
        <v>163.59918200408998</v>
      </c>
      <c r="H53" s="87">
        <f t="shared" si="21"/>
        <v>120.66365007541478</v>
      </c>
      <c r="I53" s="87">
        <f t="shared" si="21"/>
        <v>96.385542168674704</v>
      </c>
      <c r="J53" s="87">
        <f t="shared" si="21"/>
        <v>80</v>
      </c>
      <c r="K53" s="87">
        <f t="shared" si="21"/>
        <v>68.846815834767639</v>
      </c>
      <c r="L53" s="87">
        <f t="shared" si="21"/>
        <v>67.681895093062607</v>
      </c>
    </row>
    <row r="54" spans="1:12" ht="13.8">
      <c r="A54" s="290">
        <f>ROW()</f>
        <v>54</v>
      </c>
      <c r="B54" s="350" t="s">
        <v>190</v>
      </c>
      <c r="C54" s="409">
        <f>AVERAGE(G54:L54)</f>
        <v>0</v>
      </c>
      <c r="D54" s="411"/>
      <c r="E54" s="49"/>
      <c r="F54" s="87"/>
      <c r="G54" s="87">
        <f>+Summary!G28/Summary!G9</f>
        <v>0</v>
      </c>
      <c r="H54" s="87">
        <f>+Summary!H28/Summary!H9</f>
        <v>0</v>
      </c>
      <c r="I54" s="87">
        <f>+Summary!I28/Summary!I9</f>
        <v>0</v>
      </c>
      <c r="J54" s="87">
        <f>+Summary!J28/Summary!J9</f>
        <v>0</v>
      </c>
      <c r="K54" s="87">
        <f>+Summary!K28/Summary!K9</f>
        <v>0</v>
      </c>
      <c r="L54" s="87">
        <f>+Summary!L28/Summary!L9</f>
        <v>0</v>
      </c>
    </row>
    <row r="55" spans="1:12" ht="13.8">
      <c r="A55" s="290">
        <f>ROW()</f>
        <v>55</v>
      </c>
      <c r="B55" s="32"/>
      <c r="C55" s="32"/>
      <c r="D55" s="32"/>
      <c r="E55" s="32"/>
      <c r="F55" s="429"/>
      <c r="G55" s="429"/>
      <c r="H55" s="429"/>
      <c r="I55" s="429"/>
      <c r="J55" s="429"/>
      <c r="K55" s="429"/>
      <c r="L55" s="429"/>
    </row>
    <row r="56" spans="1:12" ht="17.399999999999999">
      <c r="A56" s="290">
        <f>ROW()</f>
        <v>56</v>
      </c>
      <c r="B56" s="1447" t="s">
        <v>191</v>
      </c>
      <c r="C56" s="1448"/>
      <c r="D56" s="1448"/>
      <c r="E56" s="1448"/>
      <c r="F56" s="1449">
        <f>Summary!F$6</f>
        <v>0</v>
      </c>
      <c r="G56" s="1449">
        <f>Summary!G$6</f>
        <v>1</v>
      </c>
      <c r="H56" s="1449">
        <f>Summary!H$6</f>
        <v>2</v>
      </c>
      <c r="I56" s="1449">
        <f>Summary!I$6</f>
        <v>3</v>
      </c>
      <c r="J56" s="1449">
        <f>Summary!J$6</f>
        <v>4</v>
      </c>
      <c r="K56" s="1449">
        <f>Summary!K$6</f>
        <v>5</v>
      </c>
      <c r="L56" s="1449">
        <f>Summary!L$6</f>
        <v>6</v>
      </c>
    </row>
    <row r="57" spans="1:12" ht="13.8">
      <c r="A57" s="290">
        <f>ROW()</f>
        <v>57</v>
      </c>
      <c r="B57" s="1450" t="s">
        <v>192</v>
      </c>
      <c r="C57" s="1451"/>
      <c r="D57" s="1451"/>
      <c r="E57" s="1451"/>
      <c r="F57" s="1452"/>
      <c r="G57" s="1452"/>
      <c r="H57" s="1452"/>
      <c r="I57" s="1452"/>
      <c r="J57" s="1452"/>
      <c r="K57" s="1452"/>
      <c r="L57" s="1452"/>
    </row>
    <row r="58" spans="1:12" ht="13.8">
      <c r="A58" s="290">
        <f>ROW()</f>
        <v>58</v>
      </c>
      <c r="B58" s="32" t="str">
        <f>+Summary!B15</f>
        <v>State &amp; Local Revenue w/o St SpEd</v>
      </c>
      <c r="C58" s="352">
        <f>IFERROR(Summary!C15/Summary!C$35,)</f>
        <v>0.90827271934069254</v>
      </c>
      <c r="D58" s="352"/>
      <c r="E58" s="352"/>
      <c r="F58" s="552">
        <f>IF(Summary!F15&gt;0,Summary!F15/Summary!F$35,0)</f>
        <v>0</v>
      </c>
      <c r="G58" s="552">
        <f>IF(Summary!G15&gt;0,Summary!G15/Summary!G$35,0)</f>
        <v>0.89992621562638941</v>
      </c>
      <c r="H58" s="552">
        <f>IF(Summary!H15&gt;0,Summary!H15/Summary!H$35,0)</f>
        <v>0.91279924660011658</v>
      </c>
      <c r="I58" s="552">
        <f>IF(Summary!I15&gt;0,Summary!I15/Summary!I$35,0)</f>
        <v>0.91104585740447452</v>
      </c>
      <c r="J58" s="552">
        <f>IF(Summary!J15&gt;0,Summary!J15/Summary!J$35,0)</f>
        <v>0.9098995936514479</v>
      </c>
      <c r="K58" s="552">
        <f>IF(Summary!K15&gt;0,Summary!K15/Summary!K$35,0)</f>
        <v>0.90909165860833241</v>
      </c>
      <c r="L58" s="552">
        <f>IF(Summary!L15&gt;0,Summary!L15/Summary!L$35,0)</f>
        <v>0.90499066548362039</v>
      </c>
    </row>
    <row r="59" spans="1:12" ht="13.8">
      <c r="A59" s="290">
        <f>ROW()</f>
        <v>59</v>
      </c>
      <c r="B59" s="32" t="str">
        <f>+Summary!B16</f>
        <v>CS Sponsorship Fee (Infl' Adj'd)</v>
      </c>
      <c r="C59" s="768">
        <f>IFERROR(Summary!C16/Summary!C$35,0)</f>
        <v>-1.0683182501871117E-2</v>
      </c>
      <c r="D59" s="352"/>
      <c r="E59" s="352"/>
      <c r="F59" s="552">
        <f>IF(Summary!F16&gt;0,Summary!F16/Summary!F$35,0)</f>
        <v>0</v>
      </c>
      <c r="G59" s="552">
        <f>IF(Summary!G16&gt;0,Summary!G16/Summary!G$35,0)</f>
        <v>0</v>
      </c>
      <c r="H59" s="552">
        <f>IF(Summary!H16&gt;0,Summary!H16/Summary!H$35,0)</f>
        <v>0</v>
      </c>
      <c r="I59" s="552">
        <f>IF(Summary!I16&gt;0,Summary!I16/Summary!I$35,0)</f>
        <v>0</v>
      </c>
      <c r="J59" s="552">
        <f>IF(Summary!J16&gt;0,Summary!J16/Summary!J$35,0)</f>
        <v>0</v>
      </c>
      <c r="K59" s="552">
        <f>IF(Summary!K16&gt;0,Summary!K16/Summary!K$35,0)</f>
        <v>0</v>
      </c>
      <c r="L59" s="552">
        <f>IF(Summary!L16&gt;0,Summary!L16/Summary!L$35,0)</f>
        <v>0</v>
      </c>
    </row>
    <row r="60" spans="1:12" ht="13.8">
      <c r="A60" s="290">
        <f>ROW()</f>
        <v>60</v>
      </c>
      <c r="B60" s="32" t="str">
        <f>+Summary!B17</f>
        <v>Title I</v>
      </c>
      <c r="C60" s="352">
        <f>IFERROR(Summary!C17/Summary!C$35,)</f>
        <v>1.6341388148177618E-2</v>
      </c>
      <c r="D60" s="352"/>
      <c r="E60" s="352"/>
      <c r="F60" s="552">
        <f>IF(Summary!F17&gt;0,Summary!F17/Summary!F$35,0)</f>
        <v>0</v>
      </c>
      <c r="G60" s="552">
        <f>IF(Summary!G17&gt;0,Summary!G17/Summary!G$35,0)</f>
        <v>1.7207002210829627E-2</v>
      </c>
      <c r="H60" s="552">
        <f>IF(Summary!H17&gt;0,Summary!H17/Summary!H$35,0)</f>
        <v>1.6446007226984222E-2</v>
      </c>
      <c r="I60" s="552">
        <f>IF(Summary!I17&gt;0,Summary!I17/Summary!I$35,0)</f>
        <v>1.6358064773131932E-2</v>
      </c>
      <c r="J60" s="552">
        <f>IF(Summary!J17&gt;0,Summary!J17/Summary!J$35,0)</f>
        <v>1.6300573117854468E-2</v>
      </c>
      <c r="K60" s="552">
        <f>IF(Summary!K17&gt;0,Summary!K17/Summary!K$35,0)</f>
        <v>1.6260050574187935E-2</v>
      </c>
      <c r="L60" s="552">
        <f>IF(Summary!L17&gt;0,Summary!L17/Summary!L$35,0)</f>
        <v>1.6054362413501815E-2</v>
      </c>
    </row>
    <row r="61" spans="1:12" ht="13.8">
      <c r="A61" s="290">
        <f>ROW()</f>
        <v>61</v>
      </c>
      <c r="B61" s="32" t="str">
        <f>+Summary!B18</f>
        <v>Title IIA</v>
      </c>
      <c r="C61" s="352">
        <f>IFERROR(Summary!C18/Summary!C$35,)</f>
        <v>3.3772202172900408E-3</v>
      </c>
      <c r="D61" s="352"/>
      <c r="E61" s="352"/>
      <c r="F61" s="552">
        <f>IF(Summary!F18&gt;0,Summary!F18/Summary!F$35,0)</f>
        <v>0</v>
      </c>
      <c r="G61" s="552">
        <f>IF(Summary!G18&gt;0,Summary!G18/Summary!G$35,0)</f>
        <v>3.5561137902381228E-3</v>
      </c>
      <c r="H61" s="552">
        <f>IF(Summary!H18&gt;0,Summary!H18/Summary!H$35,0)</f>
        <v>3.398841493576739E-3</v>
      </c>
      <c r="I61" s="552">
        <f>IF(Summary!I18&gt;0,Summary!I18/Summary!I$35,0)</f>
        <v>3.3806667197805993E-3</v>
      </c>
      <c r="J61" s="552">
        <f>IF(Summary!J18&gt;0,Summary!J18/Summary!J$35,0)</f>
        <v>3.3687851110232566E-3</v>
      </c>
      <c r="K61" s="552">
        <f>IF(Summary!K18&gt;0,Summary!K18/Summary!K$35,0)</f>
        <v>3.3604104519988401E-3</v>
      </c>
      <c r="L61" s="552">
        <f>IF(Summary!L18&gt;0,Summary!L18/Summary!L$35,0)</f>
        <v>3.3179015654570421E-3</v>
      </c>
    </row>
    <row r="62" spans="1:12" ht="13.8">
      <c r="A62" s="290">
        <f>ROW()</f>
        <v>62</v>
      </c>
      <c r="B62" s="32" t="str">
        <f>+Summary!B19</f>
        <v>Title III</v>
      </c>
      <c r="C62" s="352">
        <f>IFERROR(Summary!C19/Summary!C$35,)</f>
        <v>3.9627866259330721E-3</v>
      </c>
      <c r="D62" s="352"/>
      <c r="E62" s="352"/>
      <c r="F62" s="552">
        <f>IF(Summary!F19&gt;0,Summary!F19/Summary!F$35,0)</f>
        <v>0</v>
      </c>
      <c r="G62" s="552">
        <f>IF(Summary!G19&gt;0,Summary!G19/Summary!G$35,0)</f>
        <v>4.1726980361261844E-3</v>
      </c>
      <c r="H62" s="552">
        <f>IF(Summary!H19&gt;0,Summary!H19/Summary!H$35,0)</f>
        <v>3.9881567525436737E-3</v>
      </c>
      <c r="I62" s="552">
        <f>IF(Summary!I19&gt;0,Summary!I19/Summary!I$35,0)</f>
        <v>3.966830707484493E-3</v>
      </c>
      <c r="J62" s="552">
        <f>IF(Summary!J19&gt;0,Summary!J19/Summary!J$35,0)</f>
        <v>3.9528889810797087E-3</v>
      </c>
      <c r="K62" s="552">
        <f>IF(Summary!K19&gt;0,Summary!K19/Summary!K$35,0)</f>
        <v>3.9430622642405745E-3</v>
      </c>
      <c r="L62" s="552">
        <f>IF(Summary!L19&gt;0,Summary!L19/Summary!L$35,0)</f>
        <v>3.8931828852741906E-3</v>
      </c>
    </row>
    <row r="63" spans="1:12" ht="13.8">
      <c r="A63" s="290">
        <f>ROW()</f>
        <v>63</v>
      </c>
      <c r="B63" s="32" t="str">
        <f>+Summary!B20</f>
        <v>Title IV</v>
      </c>
      <c r="C63" s="352">
        <f>IFERROR(Summary!C20/Summary!C$35,)</f>
        <v>0</v>
      </c>
      <c r="D63" s="352"/>
      <c r="E63" s="352"/>
      <c r="F63" s="552">
        <f>IF(Summary!F20&gt;0,Summary!F20/Summary!F$35,0)</f>
        <v>0</v>
      </c>
      <c r="G63" s="552">
        <f>IF(Summary!G20&gt;0,Summary!G20/Summary!G$35,0)</f>
        <v>0</v>
      </c>
      <c r="H63" s="552">
        <f>IF(Summary!H20&gt;0,Summary!H20/Summary!H$35,0)</f>
        <v>0</v>
      </c>
      <c r="I63" s="552">
        <f>IF(Summary!I20&gt;0,Summary!I20/Summary!I$35,0)</f>
        <v>0</v>
      </c>
      <c r="J63" s="552">
        <f>IF(Summary!J20&gt;0,Summary!J20/Summary!J$35,0)</f>
        <v>0</v>
      </c>
      <c r="K63" s="552">
        <f>IF(Summary!K20&gt;0,Summary!K20/Summary!K$35,0)</f>
        <v>0</v>
      </c>
      <c r="L63" s="552">
        <f>IF(Summary!L20&gt;0,Summary!L20/Summary!L$35,0)</f>
        <v>0</v>
      </c>
    </row>
    <row r="64" spans="1:12" ht="13.8">
      <c r="A64" s="290">
        <f>ROW()</f>
        <v>64</v>
      </c>
      <c r="B64" s="32" t="str">
        <f>+Summary!B21</f>
        <v>Federal Breakfast Program</v>
      </c>
      <c r="C64" s="352">
        <f>IFERROR(Summary!C21/Summary!C$35,)</f>
        <v>1.3236524400023869E-2</v>
      </c>
      <c r="D64" s="352"/>
      <c r="E64" s="352"/>
      <c r="F64" s="552">
        <f>IF(Summary!F21&gt;0,Summary!F21/Summary!F$35,0)</f>
        <v>0</v>
      </c>
      <c r="G64" s="552">
        <f>IF(Summary!G21&gt;0,Summary!G21/Summary!G$35,0)</f>
        <v>1.3937671790771997E-2</v>
      </c>
      <c r="H64" s="552">
        <f>IF(Summary!H21&gt;0,Summary!H21/Summary!H$35,0)</f>
        <v>1.332126585385722E-2</v>
      </c>
      <c r="I64" s="552">
        <f>IF(Summary!I21&gt;0,Summary!I21/Summary!I$35,0)</f>
        <v>1.3250032466236865E-2</v>
      </c>
      <c r="J64" s="552">
        <f>IF(Summary!J21&gt;0,Summary!J21/Summary!J$35,0)</f>
        <v>1.3203464225462119E-2</v>
      </c>
      <c r="K64" s="552">
        <f>IF(Summary!K21&gt;0,Summary!K21/Summary!K$35,0)</f>
        <v>1.3170640965092227E-2</v>
      </c>
      <c r="L64" s="552">
        <f>IF(Summary!L21&gt;0,Summary!L21/Summary!L$35,0)</f>
        <v>1.3004033554936472E-2</v>
      </c>
    </row>
    <row r="65" spans="1:12" ht="13.8">
      <c r="A65" s="290">
        <f>ROW()</f>
        <v>65</v>
      </c>
      <c r="B65" s="32" t="str">
        <f>+Summary!B22</f>
        <v>Federal Lunch Program</v>
      </c>
      <c r="C65" s="352">
        <f>IFERROR(Summary!C22/Summary!C$35,)</f>
        <v>1.8384061666699821E-2</v>
      </c>
      <c r="D65" s="352"/>
      <c r="E65" s="352"/>
      <c r="F65" s="552">
        <f>IF(Summary!F22&gt;0,Summary!F22/Summary!F$35,0)</f>
        <v>0</v>
      </c>
      <c r="G65" s="552">
        <f>IF(Summary!G22&gt;0,Summary!G22/Summary!G$35,0)</f>
        <v>1.9357877487183327E-2</v>
      </c>
      <c r="H65" s="552">
        <f>IF(Summary!H22&gt;0,Summary!H22/Summary!H$35,0)</f>
        <v>1.8501758130357249E-2</v>
      </c>
      <c r="I65" s="552">
        <f>IF(Summary!I22&gt;0,Summary!I22/Summary!I$35,0)</f>
        <v>1.8402822869773423E-2</v>
      </c>
      <c r="J65" s="552">
        <f>IF(Summary!J22&gt;0,Summary!J22/Summary!J$35,0)</f>
        <v>1.8338144757586276E-2</v>
      </c>
      <c r="K65" s="552">
        <f>IF(Summary!K22&gt;0,Summary!K22/Summary!K$35,0)</f>
        <v>1.8292556895961428E-2</v>
      </c>
      <c r="L65" s="552">
        <f>IF(Summary!L22&gt;0,Summary!L22/Summary!L$35,0)</f>
        <v>1.8061157715189544E-2</v>
      </c>
    </row>
    <row r="66" spans="1:12" ht="13.8">
      <c r="A66" s="290">
        <f>ROW()</f>
        <v>66</v>
      </c>
      <c r="B66" s="32" t="str">
        <f>+Summary!B23</f>
        <v>IDEA</v>
      </c>
      <c r="C66" s="352">
        <f>IFERROR(Summary!C23/Summary!C$35,)</f>
        <v>1.0948730059279004E-2</v>
      </c>
      <c r="D66" s="352"/>
      <c r="E66" s="352"/>
      <c r="F66" s="552">
        <f>IF(Summary!F23&gt;0,Summary!F23/Summary!F$35,0)</f>
        <v>0</v>
      </c>
      <c r="G66" s="552">
        <f>IF(Summary!G23&gt;0,Summary!G23/Summary!G$35,0)</f>
        <v>1.1528691481255848E-2</v>
      </c>
      <c r="H66" s="552">
        <f>IF(Summary!H23&gt;0,Summary!H23/Summary!H$35,0)</f>
        <v>1.1018824842079427E-2</v>
      </c>
      <c r="I66" s="552">
        <f>IF(Summary!I23&gt;0,Summary!I23/Summary!I$35,0)</f>
        <v>1.0959903397998395E-2</v>
      </c>
      <c r="J66" s="552">
        <f>IF(Summary!J23&gt;0,Summary!J23/Summary!J$35,0)</f>
        <v>1.0921383988962493E-2</v>
      </c>
      <c r="K66" s="552">
        <f>IF(Summary!K23&gt;0,Summary!K23/Summary!K$35,0)</f>
        <v>1.0894233884705918E-2</v>
      </c>
      <c r="L66" s="552">
        <f>IF(Summary!L23&gt;0,Summary!L23/Summary!L$35,0)</f>
        <v>1.0756422817046217E-2</v>
      </c>
    </row>
    <row r="67" spans="1:12" ht="13.8">
      <c r="A67" s="290">
        <f>ROW()</f>
        <v>67</v>
      </c>
      <c r="B67" s="32" t="str">
        <f>+Summary!B24</f>
        <v>State Special Education Funding</v>
      </c>
      <c r="C67" s="352">
        <f>IFERROR(Summary!C24/Summary!C$35,)</f>
        <v>3.2542800262416662E-2</v>
      </c>
      <c r="D67" s="352"/>
      <c r="E67" s="352"/>
      <c r="F67" s="552">
        <f>IF(Summary!F24&gt;0,Summary!F24/Summary!F$35,0)</f>
        <v>0</v>
      </c>
      <c r="G67" s="552">
        <f>IF(Summary!G24&gt;0,Summary!G24/Summary!G$35,0)</f>
        <v>0</v>
      </c>
      <c r="H67" s="552">
        <f>IF(Summary!H24&gt;0,Summary!H24/Summary!H$35,0)</f>
        <v>3.1277476325125793E-2</v>
      </c>
      <c r="I67" s="552">
        <f>IF(Summary!I24&gt;0,Summary!I24/Summary!I$35,0)</f>
        <v>3.3329906506554874E-2</v>
      </c>
      <c r="J67" s="552">
        <f>IF(Summary!J24&gt;0,Summary!J24/Summary!J$35,0)</f>
        <v>3.4671665842381086E-2</v>
      </c>
      <c r="K67" s="552">
        <f>IF(Summary!K24&gt;0,Summary!K24/Summary!K$35,0)</f>
        <v>3.5617394418356034E-2</v>
      </c>
      <c r="L67" s="552">
        <f>IF(Summary!L24&gt;0,Summary!L24/Summary!L$35,0)</f>
        <v>4.0417812992801151E-2</v>
      </c>
    </row>
    <row r="68" spans="1:12" ht="13.8">
      <c r="A68" s="290">
        <f>ROW()</f>
        <v>68</v>
      </c>
      <c r="B68" s="32" t="str">
        <f>+Summary!B25</f>
        <v>"Replication &amp; Expansion" start-up funds</v>
      </c>
      <c r="C68" s="352">
        <f>IFERROR(Summary!C25/Summary!C$35,)</f>
        <v>0</v>
      </c>
      <c r="D68" s="352"/>
      <c r="E68" s="352"/>
      <c r="F68" s="552">
        <f>IF(Summary!F25&gt;0,Summary!F25/Summary!F$35,0)</f>
        <v>0</v>
      </c>
      <c r="G68" s="552">
        <f>IF(Summary!G25&gt;0,Summary!G25/Summary!G$35,0)</f>
        <v>0</v>
      </c>
      <c r="H68" s="552">
        <f>IF(Summary!H25&gt;0,Summary!H25/Summary!H$35,0)</f>
        <v>0</v>
      </c>
      <c r="I68" s="552">
        <f>IF(Summary!I25&gt;0,Summary!I25/Summary!I$35,0)</f>
        <v>0</v>
      </c>
      <c r="J68" s="552">
        <f>IF(Summary!J25&gt;0,Summary!J25/Summary!J$35,0)</f>
        <v>0</v>
      </c>
      <c r="K68" s="552">
        <f>IF(Summary!K25&gt;0,Summary!K25/Summary!K$35,0)</f>
        <v>0</v>
      </c>
      <c r="L68" s="552">
        <f>IF(Summary!L25&gt;0,Summary!L25/Summary!L$35,0)</f>
        <v>0</v>
      </c>
    </row>
    <row r="69" spans="1:12" ht="13.8">
      <c r="A69" s="290">
        <f>ROW()</f>
        <v>69</v>
      </c>
      <c r="B69" s="32" t="str">
        <f>+Summary!B26</f>
        <v>Charter School Program (CSP) Grant (w/ltr)</v>
      </c>
      <c r="C69" s="352">
        <f>IFERROR(Summary!C26/Summary!C$35,)</f>
        <v>3.6169517813584811E-3</v>
      </c>
      <c r="D69" s="352"/>
      <c r="E69" s="352"/>
      <c r="F69" s="552">
        <f>IF(Summary!F26&gt;0,Summary!F26/Summary!F$35,0)</f>
        <v>0</v>
      </c>
      <c r="G69" s="552">
        <f>IF(Summary!G26&gt;0,Summary!G26/Summary!G$35,0)</f>
        <v>4.1562807272535328E-2</v>
      </c>
      <c r="H69" s="552">
        <f>IF(Summary!H26&gt;0,Summary!H26/Summary!H$35,0)</f>
        <v>0</v>
      </c>
      <c r="I69" s="552">
        <f>IF(Summary!I26&gt;0,Summary!I26/Summary!I$35,0)</f>
        <v>0</v>
      </c>
      <c r="J69" s="552">
        <f>IF(Summary!J26&gt;0,Summary!J26/Summary!J$35,0)</f>
        <v>0</v>
      </c>
      <c r="K69" s="552">
        <f>IF(Summary!K26&gt;0,Summary!K26/Summary!K$35,0)</f>
        <v>0</v>
      </c>
      <c r="L69" s="552">
        <f>IF(Summary!L26&gt;0,Summary!L26/Summary!L$35,0)</f>
        <v>0</v>
      </c>
    </row>
    <row r="70" spans="1:12" ht="13.8">
      <c r="A70" s="290">
        <f>ROW()</f>
        <v>70</v>
      </c>
      <c r="B70" s="32" t="str">
        <f>+Summary!B27</f>
        <v>Other start-up funds (incl' SEA grants)</v>
      </c>
      <c r="C70" s="352">
        <f>IFERROR(Summary!C27/Summary!C$35,)</f>
        <v>0</v>
      </c>
      <c r="D70" s="352"/>
      <c r="E70" s="352"/>
      <c r="F70" s="552">
        <f>IF(Summary!F27&gt;0,Summary!F27/Summary!F$35,0)</f>
        <v>0</v>
      </c>
      <c r="G70" s="552">
        <f>IF(Summary!G27&gt;0,Summary!G27/Summary!G$35,0)</f>
        <v>0</v>
      </c>
      <c r="H70" s="552">
        <f>IF(Summary!H27&gt;0,Summary!H27/Summary!H$35,0)</f>
        <v>0</v>
      </c>
      <c r="I70" s="552">
        <f>IF(Summary!I27&gt;0,Summary!I27/Summary!I$35,0)</f>
        <v>0</v>
      </c>
      <c r="J70" s="552">
        <f>IF(Summary!J27&gt;0,Summary!J27/Summary!J$35,0)</f>
        <v>0</v>
      </c>
      <c r="K70" s="552">
        <f>IF(Summary!K27&gt;0,Summary!K27/Summary!K$35,0)</f>
        <v>0</v>
      </c>
      <c r="L70" s="552">
        <f>IF(Summary!L27&gt;0,Summary!L27/Summary!L$35,0)</f>
        <v>0</v>
      </c>
    </row>
    <row r="71" spans="1:12" ht="13.8">
      <c r="A71" s="290">
        <f>ROW()</f>
        <v>71</v>
      </c>
      <c r="B71" s="32" t="str">
        <f>+Summary!B28</f>
        <v>Student fees (Net)</v>
      </c>
      <c r="C71" s="352">
        <f>IFERROR(Summary!C28/Summary!C$35,)</f>
        <v>0</v>
      </c>
      <c r="D71" s="352"/>
      <c r="E71" s="352"/>
      <c r="F71" s="552">
        <f>IF(Summary!F28&gt;0,Summary!F28/Summary!F$35,0)</f>
        <v>0</v>
      </c>
      <c r="G71" s="552">
        <f>IF(Summary!G28&gt;0,Summary!G28/Summary!G$35,0)</f>
        <v>0</v>
      </c>
      <c r="H71" s="552">
        <f>IF(Summary!H28&gt;0,Summary!H28/Summary!H$35,0)</f>
        <v>0</v>
      </c>
      <c r="I71" s="552">
        <f>IF(Summary!I28&gt;0,Summary!I28/Summary!I$35,0)</f>
        <v>0</v>
      </c>
      <c r="J71" s="552">
        <f>IF(Summary!J28&gt;0,Summary!J28/Summary!J$35,0)</f>
        <v>0</v>
      </c>
      <c r="K71" s="552">
        <f>IF(Summary!K28&gt;0,Summary!K28/Summary!K$35,0)</f>
        <v>0</v>
      </c>
      <c r="L71" s="552">
        <f>IF(Summary!L28&gt;0,Summary!L28/Summary!L$35,0)</f>
        <v>0</v>
      </c>
    </row>
    <row r="72" spans="1:12" ht="13.8">
      <c r="A72" s="290">
        <f>ROW()</f>
        <v>72</v>
      </c>
      <c r="B72" s="32" t="str">
        <f>+Summary!B29</f>
        <v>Food Services</v>
      </c>
      <c r="C72" s="352">
        <f>IFERROR(Summary!C29/Summary!C$35,)</f>
        <v>0</v>
      </c>
      <c r="D72" s="352"/>
      <c r="E72" s="352"/>
      <c r="F72" s="552">
        <f>IF(Summary!F29&gt;0,Summary!F29/Summary!F$35,0)</f>
        <v>0</v>
      </c>
      <c r="G72" s="552">
        <f>IF(Summary!G29&gt;0,Summary!G29/Summary!G$35,0)</f>
        <v>0</v>
      </c>
      <c r="H72" s="552">
        <f>IF(Summary!H29&gt;0,Summary!H29/Summary!H$35,0)</f>
        <v>0</v>
      </c>
      <c r="I72" s="552">
        <f>IF(Summary!I29&gt;0,Summary!I29/Summary!I$35,0)</f>
        <v>0</v>
      </c>
      <c r="J72" s="552">
        <f>IF(Summary!J29&gt;0,Summary!J29/Summary!J$35,0)</f>
        <v>0</v>
      </c>
      <c r="K72" s="552">
        <f>IF(Summary!K29&gt;0,Summary!K29/Summary!K$35,0)</f>
        <v>0</v>
      </c>
      <c r="L72" s="552">
        <f>IF(Summary!L29&gt;0,Summary!L29/Summary!L$35,0)</f>
        <v>0</v>
      </c>
    </row>
    <row r="73" spans="1:12" ht="13.8">
      <c r="A73" s="290">
        <f>ROW()</f>
        <v>73</v>
      </c>
      <c r="B73" s="32" t="str">
        <f>+Summary!B30</f>
        <v>Transportation</v>
      </c>
      <c r="C73" s="352">
        <f>IFERROR(Summary!C30/Summary!C$35,)</f>
        <v>0</v>
      </c>
      <c r="D73" s="352"/>
      <c r="E73" s="352"/>
      <c r="F73" s="552">
        <f>IF(Summary!F30&gt;0,Summary!F30/Summary!F$35,0)</f>
        <v>0</v>
      </c>
      <c r="G73" s="552">
        <f>IF(Summary!G30&gt;0,Summary!G30/Summary!G$35,0)</f>
        <v>0</v>
      </c>
      <c r="H73" s="552">
        <f>IF(Summary!H30&gt;0,Summary!H30/Summary!H$35,0)</f>
        <v>0</v>
      </c>
      <c r="I73" s="552">
        <f>IF(Summary!I30&gt;0,Summary!I30/Summary!I$35,0)</f>
        <v>0</v>
      </c>
      <c r="J73" s="552">
        <f>IF(Summary!J30&gt;0,Summary!J30/Summary!J$35,0)</f>
        <v>0</v>
      </c>
      <c r="K73" s="552">
        <f>IF(Summary!K30&gt;0,Summary!K30/Summary!K$35,0)</f>
        <v>0</v>
      </c>
      <c r="L73" s="552">
        <f>IF(Summary!L30&gt;0,Summary!L30/Summary!L$35,0)</f>
        <v>0</v>
      </c>
    </row>
    <row r="74" spans="1:12" ht="13.8">
      <c r="A74" s="290">
        <f>ROW()</f>
        <v>74</v>
      </c>
      <c r="B74" s="32" t="str">
        <f>+Summary!B31</f>
        <v>Investment Income</v>
      </c>
      <c r="C74" s="352">
        <f>IFERROR(Summary!C31/Summary!C$35,)</f>
        <v>0</v>
      </c>
      <c r="D74" s="352"/>
      <c r="E74" s="352"/>
      <c r="F74" s="552">
        <f>IF(Summary!F31&gt;0,Summary!F31/Summary!F$35,0)</f>
        <v>0</v>
      </c>
      <c r="G74" s="552">
        <f>IF(Summary!G31&gt;0,Summary!G31/Summary!G$35,0)</f>
        <v>0</v>
      </c>
      <c r="H74" s="552">
        <f>IF(Summary!H31&gt;0,Summary!H31/Summary!H$35,0)</f>
        <v>0</v>
      </c>
      <c r="I74" s="552">
        <f>IF(Summary!I31&gt;0,Summary!I31/Summary!I$35,0)</f>
        <v>0</v>
      </c>
      <c r="J74" s="552">
        <f>IF(Summary!J31&gt;0,Summary!J31/Summary!J$35,0)</f>
        <v>0</v>
      </c>
      <c r="K74" s="552">
        <f>IF(Summary!K31&gt;0,Summary!K31/Summary!K$35,0)</f>
        <v>0</v>
      </c>
      <c r="L74" s="552">
        <f>IF(Summary!L31&gt;0,Summary!L31/Summary!L$35,0)</f>
        <v>0</v>
      </c>
    </row>
    <row r="75" spans="1:12" ht="13.8">
      <c r="A75" s="290">
        <f>ROW()</f>
        <v>75</v>
      </c>
      <c r="B75" s="32" t="str">
        <f>+Summary!B32</f>
        <v>School level fundraising</v>
      </c>
      <c r="C75" s="352">
        <f>IFERROR(Summary!C32/Summary!C$35,)</f>
        <v>0</v>
      </c>
      <c r="D75" s="352"/>
      <c r="E75" s="352"/>
      <c r="F75" s="552">
        <f>IF(Summary!F32&gt;0,Summary!F32/Summary!F$35,0)</f>
        <v>0</v>
      </c>
      <c r="G75" s="552">
        <f>IF(Summary!G32&gt;0,Summary!G32/Summary!G$35,0)</f>
        <v>0</v>
      </c>
      <c r="H75" s="552">
        <f>IF(Summary!H32&gt;0,Summary!H32/Summary!H$35,0)</f>
        <v>0</v>
      </c>
      <c r="I75" s="552">
        <f>IF(Summary!I32&gt;0,Summary!I32/Summary!I$35,0)</f>
        <v>0</v>
      </c>
      <c r="J75" s="552">
        <f>IF(Summary!J32&gt;0,Summary!J32/Summary!J$35,0)</f>
        <v>0</v>
      </c>
      <c r="K75" s="552">
        <f>IF(Summary!K32&gt;0,Summary!K32/Summary!K$35,0)</f>
        <v>0</v>
      </c>
      <c r="L75" s="552">
        <f>IF(Summary!L32&gt;0,Summary!L32/Summary!L$35,0)</f>
        <v>0</v>
      </c>
    </row>
    <row r="76" spans="1:12" ht="13.8">
      <c r="A76" s="290">
        <f>ROW()</f>
        <v>76</v>
      </c>
      <c r="B76" s="32" t="str">
        <f>+Summary!B33</f>
        <v>Private fundraising (foundations, corporate)</v>
      </c>
      <c r="C76" s="352">
        <f>IFERROR(Summary!C33/Summary!C$35,)</f>
        <v>0</v>
      </c>
      <c r="D76" s="352"/>
      <c r="E76" s="352"/>
      <c r="F76" s="552">
        <f>IF(Summary!F33&gt;0,Summary!F33/Summary!F$35,0)</f>
        <v>0</v>
      </c>
      <c r="G76" s="552">
        <f>IF(Summary!G33&gt;0,Summary!G33/Summary!G$35,0)</f>
        <v>0</v>
      </c>
      <c r="H76" s="552">
        <f>IF(Summary!H33&gt;0,Summary!H33/Summary!H$35,0)</f>
        <v>0</v>
      </c>
      <c r="I76" s="552">
        <f>IF(Summary!I33&gt;0,Summary!I33/Summary!I$35,0)</f>
        <v>0</v>
      </c>
      <c r="J76" s="552">
        <f>IF(Summary!J33&gt;0,Summary!J33/Summary!J$35,0)</f>
        <v>0</v>
      </c>
      <c r="K76" s="552">
        <f>IF(Summary!K33&gt;0,Summary!K33/Summary!K$35,0)</f>
        <v>0</v>
      </c>
      <c r="L76" s="552">
        <f>IF(Summary!L33&gt;0,Summary!L33/Summary!L$35,0)</f>
        <v>0</v>
      </c>
    </row>
    <row r="77" spans="1:12" ht="13.8">
      <c r="A77" s="290">
        <f>ROW()</f>
        <v>77</v>
      </c>
      <c r="B77" s="32" t="str">
        <f>+Summary!B34</f>
        <v>Private fundraising (individuals)</v>
      </c>
      <c r="C77" s="352">
        <f>IFERROR(Summary!C34/Summary!C$35,)</f>
        <v>0</v>
      </c>
      <c r="D77" s="352"/>
      <c r="E77" s="352"/>
      <c r="F77" s="552">
        <f>IF(Summary!F34&gt;0,Summary!F34/Summary!F$35,0)</f>
        <v>0</v>
      </c>
      <c r="G77" s="552">
        <f>IF(Summary!G34&gt;0,Summary!G34/Summary!G$35,0)</f>
        <v>0</v>
      </c>
      <c r="H77" s="552">
        <f>IF(Summary!H34&gt;0,Summary!H34/Summary!H$35,0)</f>
        <v>0</v>
      </c>
      <c r="I77" s="552">
        <f>IF(Summary!I34&gt;0,Summary!I34/Summary!I$35,0)</f>
        <v>0</v>
      </c>
      <c r="J77" s="552">
        <f>IF(Summary!J34&gt;0,Summary!J34/Summary!J$35,0)</f>
        <v>0</v>
      </c>
      <c r="K77" s="552">
        <f>IF(Summary!K34&gt;0,Summary!K34/Summary!K$35,0)</f>
        <v>0</v>
      </c>
      <c r="L77" s="552">
        <f>IF(Summary!L34&gt;0,Summary!L34/Summary!L$35,0)</f>
        <v>0</v>
      </c>
    </row>
    <row r="78" spans="1:12" ht="13.8">
      <c r="A78" s="290">
        <f>ROW()</f>
        <v>78</v>
      </c>
      <c r="B78" s="696" t="s">
        <v>102</v>
      </c>
      <c r="C78" s="584">
        <f>IFERROR(Summary!C35/Summary!C$35,0)</f>
        <v>1</v>
      </c>
      <c r="D78" s="584"/>
      <c r="E78" s="584"/>
      <c r="F78" s="965">
        <f>IF(Summary!F35&gt;0,Summary!F35/Summary!F$35,0)</f>
        <v>0</v>
      </c>
      <c r="G78" s="965">
        <f>IF(Summary!G35&gt;0,Summary!G35/Summary!G$35,0)</f>
        <v>1</v>
      </c>
      <c r="H78" s="965">
        <f>IF(Summary!H35&gt;0,Summary!H35/Summary!H$35,0)</f>
        <v>1</v>
      </c>
      <c r="I78" s="965">
        <f>IF(Summary!I35&gt;0,Summary!I35/Summary!I$35,0)</f>
        <v>1</v>
      </c>
      <c r="J78" s="965">
        <f>IF(Summary!J35&gt;0,Summary!J35/Summary!J$35,0)</f>
        <v>1</v>
      </c>
      <c r="K78" s="965">
        <f>IF(Summary!K35&gt;0,Summary!K35/Summary!K$35,0)</f>
        <v>1</v>
      </c>
      <c r="L78" s="965">
        <f>IF(Summary!L35&gt;0,Summary!L35/Summary!L$35,0)</f>
        <v>1</v>
      </c>
    </row>
    <row r="79" spans="1:12" ht="13.8">
      <c r="A79" s="290">
        <f>ROW()</f>
        <v>79</v>
      </c>
      <c r="B79" s="32"/>
      <c r="C79" s="54"/>
      <c r="D79" s="54"/>
      <c r="E79" s="54"/>
      <c r="F79" s="434"/>
      <c r="G79" s="434"/>
      <c r="H79" s="434"/>
      <c r="I79" s="434"/>
      <c r="J79" s="434"/>
      <c r="K79" s="434"/>
      <c r="L79" s="434"/>
    </row>
    <row r="80" spans="1:12" ht="15.6">
      <c r="A80" s="290">
        <f>ROW()</f>
        <v>80</v>
      </c>
      <c r="B80" s="1453" t="s">
        <v>109</v>
      </c>
      <c r="C80" s="1454"/>
      <c r="D80" s="1454"/>
      <c r="E80" s="1454"/>
      <c r="F80" s="1455">
        <f>Summary!F$6</f>
        <v>0</v>
      </c>
      <c r="G80" s="1455">
        <f>Summary!G$6</f>
        <v>1</v>
      </c>
      <c r="H80" s="1455">
        <f>Summary!H$6</f>
        <v>2</v>
      </c>
      <c r="I80" s="1455">
        <f>Summary!I$6</f>
        <v>3</v>
      </c>
      <c r="J80" s="1455">
        <f>Summary!J$6</f>
        <v>4</v>
      </c>
      <c r="K80" s="1455">
        <f>Summary!K$6</f>
        <v>5</v>
      </c>
      <c r="L80" s="1455">
        <f>Summary!L$6</f>
        <v>6</v>
      </c>
    </row>
    <row r="81" spans="1:12" ht="13.8">
      <c r="A81" s="290">
        <f>ROW()</f>
        <v>81</v>
      </c>
      <c r="B81" s="30" t="s">
        <v>110</v>
      </c>
      <c r="C81" s="353">
        <f>IFERROR(Summary!C44/Summary!C$35,0)</f>
        <v>0.4478071542424566</v>
      </c>
      <c r="D81" s="353"/>
      <c r="E81" s="353"/>
      <c r="F81" s="570">
        <f>IFERROR(Summary!F44/Summary!F$35,0)</f>
        <v>0</v>
      </c>
      <c r="G81" s="570">
        <f>IFERROR(Summary!G44/Summary!G$35,0)</f>
        <v>0.47948734355369693</v>
      </c>
      <c r="H81" s="570">
        <f>IFERROR(Summary!H44/Summary!H$35,0)</f>
        <v>0.51550362004265915</v>
      </c>
      <c r="I81" s="570">
        <f>IFERROR(Summary!I44/Summary!I$35,0)</f>
        <v>0.47276105877891123</v>
      </c>
      <c r="J81" s="570">
        <f>IFERROR(Summary!J44/Summary!J$35,0)</f>
        <v>0.46791741403301945</v>
      </c>
      <c r="K81" s="570">
        <f>IFERROR(Summary!K44/Summary!K$35,0)</f>
        <v>0.41219116717280591</v>
      </c>
      <c r="L81" s="570">
        <f>IFERROR(Summary!L44/Summary!L$35,0)</f>
        <v>0.39994305458448909</v>
      </c>
    </row>
    <row r="82" spans="1:12" ht="13.8">
      <c r="A82" s="290">
        <f>ROW()</f>
        <v>82</v>
      </c>
      <c r="B82" s="30" t="s">
        <v>45</v>
      </c>
      <c r="C82" s="353">
        <f>IFERROR(Summary!C45/Summary!C$35,0)</f>
        <v>0.13476097155880973</v>
      </c>
      <c r="D82" s="353"/>
      <c r="E82" s="353"/>
      <c r="F82" s="570">
        <f>IFERROR(Summary!F45/Summary!F$35,0)</f>
        <v>0</v>
      </c>
      <c r="G82" s="570">
        <f>IFERROR(Summary!G45/Summary!G$35,0)</f>
        <v>0.23940260114594894</v>
      </c>
      <c r="H82" s="570">
        <f>IFERROR(Summary!H45/Summary!H$35,0)</f>
        <v>0.17485878243081815</v>
      </c>
      <c r="I82" s="570">
        <f>IFERROR(Summary!I45/Summary!I$35,0)</f>
        <v>0.14239448382893688</v>
      </c>
      <c r="J82" s="570">
        <f>IFERROR(Summary!J45/Summary!J$35,0)</f>
        <v>0.12127409675278961</v>
      </c>
      <c r="K82" s="570">
        <f>IFERROR(Summary!K45/Summary!K$35,0)</f>
        <v>0.10647788585194483</v>
      </c>
      <c r="L82" s="570">
        <f>IFERROR(Summary!L45/Summary!L$35,0)</f>
        <v>0.10635121068401697</v>
      </c>
    </row>
    <row r="83" spans="1:12" ht="13.8">
      <c r="A83" s="290">
        <f>ROW()</f>
        <v>83</v>
      </c>
      <c r="B83" s="30" t="s">
        <v>111</v>
      </c>
      <c r="C83" s="353">
        <f>IFERROR(Summary!C46/Summary!C$35,0)</f>
        <v>1.7046693745542522E-2</v>
      </c>
      <c r="D83" s="353"/>
      <c r="E83" s="353"/>
      <c r="F83" s="570">
        <f>IFERROR(Summary!F46/Summary!F$35,0)</f>
        <v>0</v>
      </c>
      <c r="G83" s="570">
        <f>IFERROR(Summary!G46/Summary!G$35,0)</f>
        <v>3.836247111255011E-2</v>
      </c>
      <c r="H83" s="570">
        <f>IFERROR(Summary!H46/Summary!H$35,0)</f>
        <v>2.1161708223968945E-2</v>
      </c>
      <c r="I83" s="570">
        <f>IFERROR(Summary!I46/Summary!I$35,0)</f>
        <v>1.673089815827454E-2</v>
      </c>
      <c r="J83" s="570">
        <f>IFERROR(Summary!J46/Summary!J$35,0)</f>
        <v>1.5761074243977487E-2</v>
      </c>
      <c r="K83" s="570">
        <f>IFERROR(Summary!K46/Summary!K$35,0)</f>
        <v>1.2203250077395592E-2</v>
      </c>
      <c r="L83" s="570">
        <f>IFERROR(Summary!L46/Summary!L$35,0)</f>
        <v>1.2630068843161648E-2</v>
      </c>
    </row>
    <row r="84" spans="1:12" ht="13.8">
      <c r="A84" s="290">
        <f>ROW()</f>
        <v>84</v>
      </c>
      <c r="B84" s="30" t="s">
        <v>193</v>
      </c>
      <c r="C84" s="353">
        <f>IFERROR(Summary!C47/Summary!C$35,0)</f>
        <v>0</v>
      </c>
      <c r="D84" s="353"/>
      <c r="E84" s="353"/>
      <c r="F84" s="570">
        <f>IFERROR(Summary!F47/Summary!F$35,0)</f>
        <v>0</v>
      </c>
      <c r="G84" s="570">
        <f>IFERROR(Summary!G47/Summary!G$35,0)</f>
        <v>0</v>
      </c>
      <c r="H84" s="570">
        <f>IFERROR(Summary!H47/Summary!H$35,0)</f>
        <v>0</v>
      </c>
      <c r="I84" s="570">
        <f>IFERROR(Summary!I47/Summary!I$35,0)</f>
        <v>0</v>
      </c>
      <c r="J84" s="570">
        <f>IFERROR(Summary!J47/Summary!J$35,0)</f>
        <v>0</v>
      </c>
      <c r="K84" s="570">
        <f>IFERROR(Summary!K47/Summary!K$35,0)</f>
        <v>0</v>
      </c>
      <c r="L84" s="570">
        <f>IFERROR(Summary!L47/Summary!L$35,0)</f>
        <v>0</v>
      </c>
    </row>
    <row r="85" spans="1:12" ht="13.8">
      <c r="A85" s="290">
        <f>ROW()</f>
        <v>85</v>
      </c>
      <c r="B85" s="32" t="s">
        <v>53</v>
      </c>
      <c r="C85" s="353">
        <f>IFERROR(Summary!C48/Summary!C$35,0)</f>
        <v>0</v>
      </c>
      <c r="D85" s="352"/>
      <c r="E85" s="352"/>
      <c r="F85" s="552">
        <f>IFERROR(Summary!F48/Summary!F$35,0)</f>
        <v>0</v>
      </c>
      <c r="G85" s="552">
        <f>IFERROR(Summary!G48/Summary!G$35,0)</f>
        <v>0</v>
      </c>
      <c r="H85" s="552">
        <f>IFERROR(Summary!H48/Summary!H$35,0)</f>
        <v>0</v>
      </c>
      <c r="I85" s="552">
        <f>IFERROR(Summary!I48/Summary!I$35,0)</f>
        <v>0</v>
      </c>
      <c r="J85" s="552">
        <f>IFERROR(Summary!J48/Summary!J$35,0)</f>
        <v>0</v>
      </c>
      <c r="K85" s="552">
        <f>IFERROR(Summary!K48/Summary!K$35,0)</f>
        <v>0</v>
      </c>
      <c r="L85" s="552">
        <f>IFERROR(Summary!L48/Summary!L$35,0)</f>
        <v>0</v>
      </c>
    </row>
    <row r="86" spans="1:12" ht="13.8">
      <c r="A86" s="290">
        <f>ROW()</f>
        <v>86</v>
      </c>
      <c r="B86" s="32" t="s">
        <v>113</v>
      </c>
      <c r="C86" s="353">
        <f>IFERROR(Summary!C49/Summary!C$35,0)</f>
        <v>2.5376533698011104E-2</v>
      </c>
      <c r="D86" s="352"/>
      <c r="E86" s="352"/>
      <c r="F86" s="552">
        <f>IFERROR(Summary!F49/Summary!F$35,0)</f>
        <v>0</v>
      </c>
      <c r="G86" s="552">
        <f>IFERROR(Summary!G49/Summary!G$35,0)</f>
        <v>9.8649323061362607E-2</v>
      </c>
      <c r="H86" s="552">
        <f>IFERROR(Summary!H49/Summary!H$35,0)</f>
        <v>3.2547178818563935E-2</v>
      </c>
      <c r="I86" s="552">
        <f>IFERROR(Summary!I49/Summary!I$35,0)</f>
        <v>2.2325729144070803E-2</v>
      </c>
      <c r="J86" s="552">
        <f>IFERROR(Summary!J49/Summary!J$35,0)</f>
        <v>1.9497103945575574E-2</v>
      </c>
      <c r="K86" s="552">
        <f>IFERROR(Summary!K49/Summary!K$35,0)</f>
        <v>1.55324543717268E-2</v>
      </c>
      <c r="L86" s="552">
        <f>IFERROR(Summary!L49/Summary!L$35,0)</f>
        <v>9.9145244071476984E-3</v>
      </c>
    </row>
    <row r="87" spans="1:12" ht="13.8">
      <c r="A87" s="290">
        <f>ROW()</f>
        <v>87</v>
      </c>
      <c r="B87" s="32" t="s">
        <v>96</v>
      </c>
      <c r="C87" s="353">
        <f>IFERROR(Summary!C50/Summary!C$35,0)</f>
        <v>0</v>
      </c>
      <c r="D87" s="352"/>
      <c r="E87" s="352"/>
      <c r="F87" s="552">
        <f>IFERROR(Summary!F50/Summary!F$35,0)</f>
        <v>0</v>
      </c>
      <c r="G87" s="552">
        <f>IFERROR(Summary!G50/Summary!G$35,0)</f>
        <v>0</v>
      </c>
      <c r="H87" s="552">
        <f>IFERROR(Summary!H50/Summary!H$35,0)</f>
        <v>0</v>
      </c>
      <c r="I87" s="552">
        <f>IFERROR(Summary!I50/Summary!I$35,0)</f>
        <v>0</v>
      </c>
      <c r="J87" s="552">
        <f>IFERROR(Summary!J50/Summary!J$35,0)</f>
        <v>0</v>
      </c>
      <c r="K87" s="552">
        <f>IFERROR(Summary!K50/Summary!K$35,0)</f>
        <v>0</v>
      </c>
      <c r="L87" s="552">
        <f>IFERROR(Summary!L50/Summary!L$35,0)</f>
        <v>0</v>
      </c>
    </row>
    <row r="88" spans="1:12" ht="13.8">
      <c r="A88" s="290">
        <f>ROW()</f>
        <v>88</v>
      </c>
      <c r="B88" s="32" t="s">
        <v>51</v>
      </c>
      <c r="C88" s="353">
        <f>IFERROR(Summary!C52/Summary!C$35,0)</f>
        <v>4.1465458611849894E-3</v>
      </c>
      <c r="D88" s="352"/>
      <c r="E88" s="352"/>
      <c r="F88" s="552">
        <f>IFERROR(Summary!F52/Summary!F$35,0)</f>
        <v>0</v>
      </c>
      <c r="G88" s="552">
        <f>IFERROR(Summary!G52/Summary!G$35,0)</f>
        <v>7.9414055855633256E-3</v>
      </c>
      <c r="H88" s="552">
        <f>IFERROR(Summary!H52/Summary!H$35,0)</f>
        <v>5.6314311843366936E-3</v>
      </c>
      <c r="I88" s="552">
        <f>IFERROR(Summary!I52/Summary!I$35,0)</f>
        <v>4.4523296811998835E-3</v>
      </c>
      <c r="J88" s="552">
        <f>IFERROR(Summary!J52/Summary!J$35,0)</f>
        <v>3.6815017797026633E-3</v>
      </c>
      <c r="K88" s="552">
        <f>IFERROR(Summary!K52/Summary!K$35,0)</f>
        <v>3.1381897608182717E-3</v>
      </c>
      <c r="L88" s="552">
        <f>IFERROR(Summary!L52/Summary!L$35,0)</f>
        <v>3.0431617324878889E-3</v>
      </c>
    </row>
    <row r="89" spans="1:12" ht="13.8">
      <c r="A89" s="290">
        <f>ROW()</f>
        <v>89</v>
      </c>
      <c r="B89" s="32" t="s">
        <v>194</v>
      </c>
      <c r="C89" s="353">
        <f>IFERROR(Summary!#REF!/Summary!C$35,0)</f>
        <v>0</v>
      </c>
      <c r="D89" s="352"/>
      <c r="E89" s="352"/>
      <c r="F89" s="552">
        <f>IFERROR(Summary!#REF!/Summary!F$35,0)</f>
        <v>0</v>
      </c>
      <c r="G89" s="552">
        <f>IFERROR(Summary!#REF!/Summary!G$35,0)</f>
        <v>0</v>
      </c>
      <c r="H89" s="552">
        <f>IFERROR(Summary!#REF!/Summary!H$35,0)</f>
        <v>0</v>
      </c>
      <c r="I89" s="552">
        <f>IFERROR(Summary!#REF!/Summary!I$35,0)</f>
        <v>0</v>
      </c>
      <c r="J89" s="552">
        <f>IFERROR(Summary!#REF!/Summary!J$35,0)</f>
        <v>0</v>
      </c>
      <c r="K89" s="552">
        <f>IFERROR(Summary!#REF!/Summary!K$35,0)</f>
        <v>0</v>
      </c>
      <c r="L89" s="552">
        <f>IFERROR(Summary!#REF!/Summary!L$35,0)</f>
        <v>0</v>
      </c>
    </row>
    <row r="90" spans="1:12" ht="14.4" thickBot="1">
      <c r="A90" s="290">
        <f>ROW()</f>
        <v>90</v>
      </c>
      <c r="B90" s="1103" t="s">
        <v>114</v>
      </c>
      <c r="C90" s="584">
        <f>IFERROR(Summary!C54/Summary!C$35,0)</f>
        <v>0.62913789910600493</v>
      </c>
      <c r="D90" s="584"/>
      <c r="E90" s="584"/>
      <c r="F90" s="965">
        <f>IFERROR(Summary!F54/Summary!F$35,0)</f>
        <v>0</v>
      </c>
      <c r="G90" s="965">
        <f>IFERROR(Summary!G54/Summary!G$35,0)</f>
        <v>0.86384314445912191</v>
      </c>
      <c r="H90" s="965">
        <f>IFERROR(Summary!H54/Summary!H$35,0)</f>
        <v>0.74970272070034683</v>
      </c>
      <c r="I90" s="965">
        <f>IFERROR(Summary!I54/Summary!I$35,0)</f>
        <v>0.65866449959139328</v>
      </c>
      <c r="J90" s="965">
        <f>IFERROR(Summary!J54/Summary!J$35,0)</f>
        <v>0.62813119075506474</v>
      </c>
      <c r="K90" s="965">
        <f>IFERROR(Summary!K54/Summary!K$35,0)</f>
        <v>0.54954294723469144</v>
      </c>
      <c r="L90" s="965">
        <f>IFERROR(Summary!L54/Summary!L$35,0)</f>
        <v>0.53188202025130327</v>
      </c>
    </row>
    <row r="91" spans="1:12" ht="14.4" thickBot="1">
      <c r="A91" s="290">
        <f>ROW()</f>
        <v>91</v>
      </c>
      <c r="B91" s="355" t="s">
        <v>195</v>
      </c>
      <c r="C91" s="356">
        <f>IFERROR(Summary!C60/Summary!C$35,0)</f>
        <v>0.37086210089399502</v>
      </c>
      <c r="D91" s="356"/>
      <c r="E91" s="356"/>
      <c r="F91" s="553">
        <f>IFERROR(Summary!F60/Summary!F$35,0)</f>
        <v>0</v>
      </c>
      <c r="G91" s="553">
        <f>IFERROR(Summary!G60/Summary!G$35,0)</f>
        <v>0.13615685554087811</v>
      </c>
      <c r="H91" s="553">
        <f>IFERROR(Summary!H60/Summary!H$35,0)</f>
        <v>0.25029727929965312</v>
      </c>
      <c r="I91" s="553">
        <f>IFERROR(Summary!I60/Summary!I$35,0)</f>
        <v>0.34133550040860672</v>
      </c>
      <c r="J91" s="553">
        <f>IFERROR(Summary!J60/Summary!J$35,0)</f>
        <v>0.37186880924493521</v>
      </c>
      <c r="K91" s="553">
        <f>IFERROR(Summary!K60/Summary!K$35,0)</f>
        <v>0.45045705276530856</v>
      </c>
      <c r="L91" s="553">
        <f>IFERROR(Summary!L60/Summary!L$35,0)</f>
        <v>0.46811797974869673</v>
      </c>
    </row>
    <row r="92" spans="1:12" ht="14.4">
      <c r="A92" s="290">
        <f>ROW()</f>
        <v>92</v>
      </c>
      <c r="B92" s="154" t="s">
        <v>118</v>
      </c>
      <c r="C92" s="607"/>
      <c r="D92" s="607"/>
      <c r="E92" s="607"/>
      <c r="F92" s="113">
        <f>+Summary!F61</f>
        <v>0</v>
      </c>
      <c r="G92" s="113">
        <f>+Summary!G61</f>
        <v>1424.3174782608696</v>
      </c>
      <c r="H92" s="113">
        <f>+Summary!H61</f>
        <v>2739.480145674193</v>
      </c>
      <c r="I92" s="113">
        <f>+Summary!I61</f>
        <v>3755.9693598025633</v>
      </c>
      <c r="J92" s="113">
        <f>+Summary!J61</f>
        <v>4106.3823449723413</v>
      </c>
      <c r="K92" s="113">
        <f>+Summary!K61</f>
        <v>4986.5939301855451</v>
      </c>
      <c r="L92" s="113">
        <f>+Summary!L61</f>
        <v>5248.494719659574</v>
      </c>
    </row>
    <row r="93" spans="1:12" ht="13.8">
      <c r="A93" s="290">
        <f>ROW()</f>
        <v>93</v>
      </c>
      <c r="B93" s="30" t="s">
        <v>1193</v>
      </c>
      <c r="C93" s="52"/>
      <c r="D93" s="52"/>
      <c r="E93" s="52"/>
      <c r="F93" s="1456">
        <f>IFERROR(Summary!F$45/Summary!F$15,0)</f>
        <v>0</v>
      </c>
      <c r="G93" s="1456">
        <f>IFERROR(Summary!G$45/Summary!G$15,0)</f>
        <v>0.26602469956863506</v>
      </c>
      <c r="H93" s="1456">
        <f>IFERROR(Summary!H$45/Summary!H$15,0)</f>
        <v>0.19156324140506342</v>
      </c>
      <c r="I93" s="1456">
        <f>IFERROR(Summary!I$45/Summary!I$15,0)</f>
        <v>0.15629782263058839</v>
      </c>
      <c r="J93" s="1456">
        <f>IFERROR(Summary!J$45/Summary!J$15,0)</f>
        <v>0.1332829441830102</v>
      </c>
      <c r="K93" s="1456">
        <f>IFERROR(Summary!K$45/Summary!K$15,0)</f>
        <v>0.11712557787071186</v>
      </c>
      <c r="L93" s="1456">
        <f>IFERROR(Summary!L$45/Summary!L$15,0)</f>
        <v>0.11751636203582681</v>
      </c>
    </row>
    <row r="94" spans="1:12" ht="13.8">
      <c r="A94" s="290">
        <f>ROW()</f>
        <v>94</v>
      </c>
      <c r="B94" s="32" t="s">
        <v>196</v>
      </c>
      <c r="C94" s="92">
        <f>+C18</f>
        <v>0</v>
      </c>
      <c r="D94" s="92"/>
      <c r="E94" s="92"/>
      <c r="F94" s="109">
        <f t="shared" ref="F94:L94" si="22">+F18</f>
        <v>0</v>
      </c>
      <c r="G94" s="109">
        <f t="shared" si="22"/>
        <v>327593.02</v>
      </c>
      <c r="H94" s="109">
        <f t="shared" si="22"/>
        <v>1176831.8651589998</v>
      </c>
      <c r="I94" s="109">
        <f t="shared" si="22"/>
        <v>2641659.9154819995</v>
      </c>
      <c r="J94" s="109">
        <f t="shared" si="22"/>
        <v>4571659.6176190004</v>
      </c>
      <c r="K94" s="109">
        <f t="shared" si="22"/>
        <v>7314286.2792210504</v>
      </c>
      <c r="L94" s="109">
        <f t="shared" si="22"/>
        <v>10253443.322230412</v>
      </c>
    </row>
    <row r="95" spans="1:12" ht="13.8">
      <c r="A95" s="290">
        <f>ROW()</f>
        <v>95</v>
      </c>
      <c r="B95" s="32"/>
      <c r="C95" s="32"/>
      <c r="D95" s="32"/>
      <c r="E95" s="32"/>
      <c r="F95" s="429"/>
      <c r="G95" s="429"/>
      <c r="H95" s="429"/>
      <c r="I95" s="429"/>
      <c r="J95" s="429"/>
      <c r="K95" s="429"/>
      <c r="L95" s="429"/>
    </row>
    <row r="96" spans="1:12" ht="17.399999999999999">
      <c r="A96" s="290">
        <f>ROW()</f>
        <v>96</v>
      </c>
      <c r="B96" s="1447" t="s">
        <v>197</v>
      </c>
      <c r="C96" s="1448"/>
      <c r="D96" s="1448"/>
      <c r="E96" s="1448"/>
      <c r="F96" s="1449">
        <f>Summary!F6</f>
        <v>0</v>
      </c>
      <c r="G96" s="1457">
        <f>Summary!G6</f>
        <v>1</v>
      </c>
      <c r="H96" s="1457">
        <f>Summary!H6</f>
        <v>2</v>
      </c>
      <c r="I96" s="1457">
        <f>Summary!I6</f>
        <v>3</v>
      </c>
      <c r="J96" s="1457">
        <f>Summary!J6</f>
        <v>4</v>
      </c>
      <c r="K96" s="1457">
        <f>Summary!K6</f>
        <v>5</v>
      </c>
      <c r="L96" s="1457">
        <f>Summary!L6</f>
        <v>6</v>
      </c>
    </row>
    <row r="97" spans="1:12" ht="13.8">
      <c r="A97" s="290">
        <f>ROW()</f>
        <v>97</v>
      </c>
      <c r="B97" s="1453" t="s">
        <v>198</v>
      </c>
      <c r="C97" s="1458" t="s">
        <v>199</v>
      </c>
      <c r="D97" s="1459"/>
      <c r="E97" s="1459"/>
      <c r="F97" s="1460"/>
      <c r="G97" s="1460"/>
      <c r="H97" s="1460"/>
      <c r="I97" s="1460"/>
      <c r="J97" s="1460"/>
      <c r="K97" s="1460"/>
      <c r="L97" s="1460"/>
    </row>
    <row r="98" spans="1:12" ht="13.8">
      <c r="A98" s="290">
        <f>ROW()</f>
        <v>98</v>
      </c>
      <c r="B98" s="32" t="str">
        <f>+B58</f>
        <v>State &amp; Local Revenue w/o St SpEd</v>
      </c>
      <c r="C98" s="55">
        <f t="shared" ref="C98:C115" si="23">AVERAGE(G98:L98)</f>
        <v>9947.9035641086484</v>
      </c>
      <c r="D98" s="351"/>
      <c r="E98" s="352"/>
      <c r="F98" s="551"/>
      <c r="G98" s="551">
        <f>IFERROR(Summary!G15/G$21,0)</f>
        <v>9414</v>
      </c>
      <c r="H98" s="551">
        <f>IFERROR(Summary!H15/H$21,0)</f>
        <v>9990.5017747064503</v>
      </c>
      <c r="I98" s="551">
        <f>IFERROR(Summary!I15/I$21,0)</f>
        <v>10024.91777646923</v>
      </c>
      <c r="J98" s="551">
        <f>IFERROR(Summary!J15/J$21,0)</f>
        <v>10047.617692525533</v>
      </c>
      <c r="K98" s="551">
        <f>IFERROR(Summary!K15/K$21,0)</f>
        <v>10063.713996638182</v>
      </c>
      <c r="L98" s="551">
        <f>IFERROR(Summary!L15/L$21,0)</f>
        <v>10146.6701443125</v>
      </c>
    </row>
    <row r="99" spans="1:12" ht="13.8">
      <c r="A99" s="290">
        <f>ROW()</f>
        <v>99</v>
      </c>
      <c r="B99" s="32" t="str">
        <f>+B59</f>
        <v>CS Sponsorship Fee (Infl' Adj'd)</v>
      </c>
      <c r="C99" s="51">
        <f t="shared" si="23"/>
        <v>-117.675</v>
      </c>
      <c r="D99" s="51"/>
      <c r="E99" s="352"/>
      <c r="F99" s="87"/>
      <c r="G99" s="87">
        <f>IFERROR(Summary!G16/G$21,0)</f>
        <v>-117.675</v>
      </c>
      <c r="H99" s="87">
        <f>IFERROR(Summary!H16/H$21,0)</f>
        <v>-117.675</v>
      </c>
      <c r="I99" s="87">
        <f>IFERROR(Summary!I16/I$21,0)</f>
        <v>-117.675</v>
      </c>
      <c r="J99" s="87">
        <f>IFERROR(Summary!J16/J$21,0)</f>
        <v>-117.675</v>
      </c>
      <c r="K99" s="87">
        <f>IFERROR(Summary!K16/K$21,0)</f>
        <v>-117.675</v>
      </c>
      <c r="L99" s="87">
        <f>IFERROR(Summary!L16/L$21,0)</f>
        <v>-117.675</v>
      </c>
    </row>
    <row r="100" spans="1:12" ht="13.8">
      <c r="A100" s="290">
        <f>ROW()</f>
        <v>100</v>
      </c>
      <c r="B100" s="32" t="s">
        <v>90</v>
      </c>
      <c r="C100" s="51">
        <f t="shared" si="23"/>
        <v>323.23244920202194</v>
      </c>
      <c r="D100" s="51"/>
      <c r="E100" s="352"/>
      <c r="F100" s="87"/>
      <c r="G100" s="87">
        <f>IFERROR(Summary!G24/G$21,0)</f>
        <v>0</v>
      </c>
      <c r="H100" s="87">
        <f>IFERROR(Summary!H24/H$21,0)</f>
        <v>342.32903225806444</v>
      </c>
      <c r="I100" s="87">
        <f>IFERROR(Summary!I24/I$21,0)</f>
        <v>366.7538461538461</v>
      </c>
      <c r="J100" s="87">
        <f>IFERROR(Summary!J24/J$21,0)</f>
        <v>382.86382978723407</v>
      </c>
      <c r="K100" s="87">
        <f>IFERROR(Summary!K24/K$21,0)</f>
        <v>394.28727272727275</v>
      </c>
      <c r="L100" s="87">
        <f>IFERROR(Summary!L24/L$21,0)</f>
        <v>453.16071428571428</v>
      </c>
    </row>
    <row r="101" spans="1:12" ht="13.8">
      <c r="A101" s="290">
        <f>ROW()</f>
        <v>101</v>
      </c>
      <c r="B101" s="32" t="s">
        <v>83</v>
      </c>
      <c r="C101" s="51">
        <f t="shared" si="23"/>
        <v>180</v>
      </c>
      <c r="D101" s="51"/>
      <c r="E101" s="352"/>
      <c r="F101" s="87"/>
      <c r="G101" s="87">
        <f>IFERROR(Summary!G17/G$21,0)</f>
        <v>180</v>
      </c>
      <c r="H101" s="87">
        <f>IFERROR(Summary!H17/H$21,0)</f>
        <v>180</v>
      </c>
      <c r="I101" s="87">
        <f>IFERROR(Summary!I17/I$21,0)</f>
        <v>180</v>
      </c>
      <c r="J101" s="87">
        <f>IFERROR(Summary!J17/J$21,0)</f>
        <v>180</v>
      </c>
      <c r="K101" s="87">
        <f>IFERROR(Summary!K17/K$21,0)</f>
        <v>180</v>
      </c>
      <c r="L101" s="87">
        <f>IFERROR(Summary!L17/L$21,0)</f>
        <v>180</v>
      </c>
    </row>
    <row r="102" spans="1:12" ht="13.8">
      <c r="A102" s="290">
        <f>ROW()</f>
        <v>102</v>
      </c>
      <c r="B102" s="32" t="s">
        <v>84</v>
      </c>
      <c r="C102" s="51">
        <f t="shared" si="23"/>
        <v>37.199999999999996</v>
      </c>
      <c r="D102" s="51"/>
      <c r="E102" s="352"/>
      <c r="F102" s="87"/>
      <c r="G102" s="87">
        <f>IFERROR(Summary!G18/G$21,0)</f>
        <v>37.200000000000003</v>
      </c>
      <c r="H102" s="87">
        <f>IFERROR(Summary!H18/H$21,0)</f>
        <v>37.200000000000003</v>
      </c>
      <c r="I102" s="87">
        <f>IFERROR(Summary!I18/I$21,0)</f>
        <v>37.200000000000003</v>
      </c>
      <c r="J102" s="87">
        <f>IFERROR(Summary!J18/J$21,0)</f>
        <v>37.200000000000003</v>
      </c>
      <c r="K102" s="87">
        <f>IFERROR(Summary!K18/K$21,0)</f>
        <v>37.200000000000003</v>
      </c>
      <c r="L102" s="87">
        <f>IFERROR(Summary!L18/L$21,0)</f>
        <v>37.200000000000003</v>
      </c>
    </row>
    <row r="103" spans="1:12" ht="13.8">
      <c r="A103" s="290">
        <f>ROW()</f>
        <v>103</v>
      </c>
      <c r="B103" s="32" t="s">
        <v>85</v>
      </c>
      <c r="C103" s="51">
        <f t="shared" si="23"/>
        <v>43.65</v>
      </c>
      <c r="D103" s="51"/>
      <c r="E103" s="352"/>
      <c r="F103" s="87"/>
      <c r="G103" s="87">
        <f>IFERROR(Summary!G19/G$21,0)</f>
        <v>43.65</v>
      </c>
      <c r="H103" s="87">
        <f>IFERROR(Summary!H19/H$21,0)</f>
        <v>43.65</v>
      </c>
      <c r="I103" s="87">
        <f>IFERROR(Summary!I19/I$21,0)</f>
        <v>43.65</v>
      </c>
      <c r="J103" s="87">
        <f>IFERROR(Summary!J19/J$21,0)</f>
        <v>43.65</v>
      </c>
      <c r="K103" s="87">
        <f>IFERROR(Summary!K19/K$21,0)</f>
        <v>43.65</v>
      </c>
      <c r="L103" s="87">
        <f>IFERROR(Summary!L19/L$21,0)</f>
        <v>43.65</v>
      </c>
    </row>
    <row r="104" spans="1:12" ht="13.8">
      <c r="A104" s="290">
        <f>ROW()</f>
        <v>104</v>
      </c>
      <c r="B104" s="32" t="s">
        <v>87</v>
      </c>
      <c r="C104" s="51">
        <f t="shared" si="23"/>
        <v>145.79999999999998</v>
      </c>
      <c r="D104" s="51"/>
      <c r="E104" s="352"/>
      <c r="F104" s="87"/>
      <c r="G104" s="87">
        <f>IFERROR(Summary!G21/G$21,0)</f>
        <v>145.80000000000001</v>
      </c>
      <c r="H104" s="87">
        <f>IFERROR(Summary!H21/H$21,0)</f>
        <v>145.80000000000001</v>
      </c>
      <c r="I104" s="87">
        <f>IFERROR(Summary!I21/I$21,0)</f>
        <v>145.80000000000001</v>
      </c>
      <c r="J104" s="87">
        <f>IFERROR(Summary!J21/J$21,0)</f>
        <v>145.80000000000001</v>
      </c>
      <c r="K104" s="87">
        <f>IFERROR(Summary!K21/K$21,0)</f>
        <v>145.80000000000001</v>
      </c>
      <c r="L104" s="87">
        <f>IFERROR(Summary!L21/L$21,0)</f>
        <v>145.80000000000001</v>
      </c>
    </row>
    <row r="105" spans="1:12" ht="13.8">
      <c r="A105" s="290">
        <f>ROW()</f>
        <v>105</v>
      </c>
      <c r="B105" s="32" t="s">
        <v>88</v>
      </c>
      <c r="C105" s="51">
        <f t="shared" si="23"/>
        <v>202.5</v>
      </c>
      <c r="D105" s="51"/>
      <c r="E105" s="352"/>
      <c r="F105" s="87"/>
      <c r="G105" s="87">
        <f>IFERROR(Summary!G22/G$21,0)</f>
        <v>202.5</v>
      </c>
      <c r="H105" s="87">
        <f>IFERROR(Summary!H22/H$21,0)</f>
        <v>202.5</v>
      </c>
      <c r="I105" s="87">
        <f>IFERROR(Summary!I22/I$21,0)</f>
        <v>202.5</v>
      </c>
      <c r="J105" s="87">
        <f>IFERROR(Summary!J22/J$21,0)</f>
        <v>202.5</v>
      </c>
      <c r="K105" s="87">
        <f>IFERROR(Summary!K22/K$21,0)</f>
        <v>202.5</v>
      </c>
      <c r="L105" s="87">
        <f>IFERROR(Summary!L22/L$21,0)</f>
        <v>202.5</v>
      </c>
    </row>
    <row r="106" spans="1:12" ht="13.8">
      <c r="A106" s="290">
        <f>ROW()</f>
        <v>106</v>
      </c>
      <c r="B106" s="32" t="s">
        <v>89</v>
      </c>
      <c r="C106" s="51">
        <f t="shared" si="23"/>
        <v>120.60000000000001</v>
      </c>
      <c r="D106" s="51"/>
      <c r="E106" s="352"/>
      <c r="F106" s="87"/>
      <c r="G106" s="87">
        <f>IFERROR(Summary!G23/G$21,0)</f>
        <v>120.59999999999998</v>
      </c>
      <c r="H106" s="87">
        <f>IFERROR(Summary!H23/H$21,0)</f>
        <v>120.59999999999998</v>
      </c>
      <c r="I106" s="87">
        <f>IFERROR(Summary!I23/I$21,0)</f>
        <v>120.6</v>
      </c>
      <c r="J106" s="87">
        <f>IFERROR(Summary!J23/J$21,0)</f>
        <v>120.6</v>
      </c>
      <c r="K106" s="87">
        <f>IFERROR(Summary!K23/K$21,0)</f>
        <v>120.6</v>
      </c>
      <c r="L106" s="87">
        <f>IFERROR(Summary!L23/L$21,0)</f>
        <v>120.6</v>
      </c>
    </row>
    <row r="107" spans="1:12" ht="13.8">
      <c r="A107" s="290">
        <f>ROW()</f>
        <v>107</v>
      </c>
      <c r="B107" s="32" t="s">
        <v>96</v>
      </c>
      <c r="C107" s="51">
        <f t="shared" si="23"/>
        <v>0</v>
      </c>
      <c r="D107" s="51"/>
      <c r="E107" s="352"/>
      <c r="F107" s="87"/>
      <c r="G107" s="87">
        <f>IFERROR(Summary!G30/G$21,0)</f>
        <v>0</v>
      </c>
      <c r="H107" s="87">
        <f>IFERROR(Summary!H30/H$21,0)</f>
        <v>0</v>
      </c>
      <c r="I107" s="87">
        <f>IFERROR(Summary!I30/I$21,0)</f>
        <v>0</v>
      </c>
      <c r="J107" s="87">
        <f>IFERROR(Summary!J30/J$21,0)</f>
        <v>0</v>
      </c>
      <c r="K107" s="87">
        <f>IFERROR(Summary!K30/K$21,0)</f>
        <v>0</v>
      </c>
      <c r="L107" s="87">
        <f>IFERROR(Summary!L30/L$21,0)</f>
        <v>0</v>
      </c>
    </row>
    <row r="108" spans="1:12" ht="13.8">
      <c r="A108" s="290">
        <f>ROW()</f>
        <v>108</v>
      </c>
      <c r="B108" s="32" t="s">
        <v>200</v>
      </c>
      <c r="C108" s="51">
        <f t="shared" si="23"/>
        <v>0</v>
      </c>
      <c r="D108" s="51"/>
      <c r="E108" s="352"/>
      <c r="F108" s="87"/>
      <c r="G108" s="87">
        <f>IFERROR(Summary!G25/G$21,0)</f>
        <v>0</v>
      </c>
      <c r="H108" s="87">
        <f>IFERROR(Summary!H25/H$21,0)</f>
        <v>0</v>
      </c>
      <c r="I108" s="87">
        <f>IFERROR(Summary!I25/I$21,0)</f>
        <v>0</v>
      </c>
      <c r="J108" s="87">
        <f>IFERROR(Summary!J25/J$21,0)</f>
        <v>0</v>
      </c>
      <c r="K108" s="87">
        <f>IFERROR(Summary!K25/K$21,0)</f>
        <v>0</v>
      </c>
      <c r="L108" s="87">
        <f>IFERROR(Summary!L25/L$21,0)</f>
        <v>0</v>
      </c>
    </row>
    <row r="109" spans="1:12" ht="13.8">
      <c r="A109" s="290">
        <f>ROW()</f>
        <v>109</v>
      </c>
      <c r="B109" s="32" t="s">
        <v>201</v>
      </c>
      <c r="C109" s="51">
        <f t="shared" si="23"/>
        <v>0</v>
      </c>
      <c r="D109" s="51"/>
      <c r="E109" s="352"/>
      <c r="F109" s="87"/>
      <c r="G109" s="87">
        <f>IFERROR(Summary!G27/G$21,0)</f>
        <v>0</v>
      </c>
      <c r="H109" s="87">
        <f>IFERROR(Summary!H27/H$21,0)</f>
        <v>0</v>
      </c>
      <c r="I109" s="87">
        <f>IFERROR(Summary!I27/I$21,0)</f>
        <v>0</v>
      </c>
      <c r="J109" s="87">
        <f>IFERROR(Summary!J27/J$21,0)</f>
        <v>0</v>
      </c>
      <c r="K109" s="87">
        <f>IFERROR(Summary!K27/K$21,0)</f>
        <v>0</v>
      </c>
      <c r="L109" s="87">
        <f>IFERROR(Summary!L27/L$21,0)</f>
        <v>0</v>
      </c>
    </row>
    <row r="110" spans="1:12" ht="13.8">
      <c r="A110" s="290">
        <f>ROW()</f>
        <v>110</v>
      </c>
      <c r="B110" s="32" t="s">
        <v>202</v>
      </c>
      <c r="C110" s="51">
        <f t="shared" si="23"/>
        <v>0</v>
      </c>
      <c r="D110" s="51"/>
      <c r="E110" s="352"/>
      <c r="F110" s="87"/>
      <c r="G110" s="87">
        <f>IFERROR(Summary!G28/G$21,0)</f>
        <v>0</v>
      </c>
      <c r="H110" s="87">
        <f>IFERROR(Summary!H28/H$21,0)</f>
        <v>0</v>
      </c>
      <c r="I110" s="87">
        <f>IFERROR(Summary!I28/I$21,0)</f>
        <v>0</v>
      </c>
      <c r="J110" s="87">
        <f>IFERROR(Summary!J28/J$21,0)</f>
        <v>0</v>
      </c>
      <c r="K110" s="87">
        <f>IFERROR(Summary!K28/K$21,0)</f>
        <v>0</v>
      </c>
      <c r="L110" s="87">
        <f>IFERROR(Summary!L28/L$21,0)</f>
        <v>0</v>
      </c>
    </row>
    <row r="111" spans="1:12" ht="13.8">
      <c r="A111" s="290">
        <f>ROW()</f>
        <v>111</v>
      </c>
      <c r="B111" s="32" t="s">
        <v>97</v>
      </c>
      <c r="C111" s="51">
        <f t="shared" si="23"/>
        <v>0</v>
      </c>
      <c r="D111" s="51"/>
      <c r="E111" s="352"/>
      <c r="F111" s="87"/>
      <c r="G111" s="87">
        <f>IFERROR(Summary!G31/G$21,0)</f>
        <v>0</v>
      </c>
      <c r="H111" s="87">
        <f>IFERROR(Summary!H31/H$21,0)</f>
        <v>0</v>
      </c>
      <c r="I111" s="87">
        <f>IFERROR(Summary!I31/I$21,0)</f>
        <v>0</v>
      </c>
      <c r="J111" s="87">
        <f>IFERROR(Summary!J31/J$21,0)</f>
        <v>0</v>
      </c>
      <c r="K111" s="87">
        <f>IFERROR(Summary!K31/K$21,0)</f>
        <v>0</v>
      </c>
      <c r="L111" s="87">
        <f>IFERROR(Summary!L31/L$21,0)</f>
        <v>0</v>
      </c>
    </row>
    <row r="112" spans="1:12" ht="13.8">
      <c r="A112" s="290">
        <f>ROW()</f>
        <v>112</v>
      </c>
      <c r="B112" s="32" t="s">
        <v>98</v>
      </c>
      <c r="C112" s="51">
        <f t="shared" si="23"/>
        <v>0</v>
      </c>
      <c r="D112" s="51"/>
      <c r="E112" s="352"/>
      <c r="F112" s="87"/>
      <c r="G112" s="87">
        <f>IFERROR(Summary!G32/G$21,0)</f>
        <v>0</v>
      </c>
      <c r="H112" s="87">
        <f>IFERROR(Summary!H32/H$21,0)</f>
        <v>0</v>
      </c>
      <c r="I112" s="87">
        <f>IFERROR(Summary!I32/I$21,0)</f>
        <v>0</v>
      </c>
      <c r="J112" s="87">
        <f>IFERROR(Summary!J32/J$21,0)</f>
        <v>0</v>
      </c>
      <c r="K112" s="87">
        <f>IFERROR(Summary!K32/K$21,0)</f>
        <v>0</v>
      </c>
      <c r="L112" s="87">
        <f>IFERROR(Summary!L32/L$21,0)</f>
        <v>0</v>
      </c>
    </row>
    <row r="113" spans="1:12" ht="13.8">
      <c r="A113" s="290">
        <f>ROW()</f>
        <v>113</v>
      </c>
      <c r="B113" s="32" t="s">
        <v>99</v>
      </c>
      <c r="C113" s="51">
        <f t="shared" si="23"/>
        <v>0</v>
      </c>
      <c r="D113" s="51"/>
      <c r="E113" s="352"/>
      <c r="F113" s="87"/>
      <c r="G113" s="87">
        <f>IFERROR(Summary!G33/G$21,0)</f>
        <v>0</v>
      </c>
      <c r="H113" s="87">
        <f>IFERROR(Summary!H33/H$21,0)</f>
        <v>0</v>
      </c>
      <c r="I113" s="87">
        <f>IFERROR(Summary!I33/I$21,0)</f>
        <v>0</v>
      </c>
      <c r="J113" s="87">
        <f>IFERROR(Summary!J33/J$21,0)</f>
        <v>0</v>
      </c>
      <c r="K113" s="87">
        <f>IFERROR(Summary!K33/K$21,0)</f>
        <v>0</v>
      </c>
      <c r="L113" s="87">
        <f>IFERROR(Summary!L33/L$21,0)</f>
        <v>0</v>
      </c>
    </row>
    <row r="114" spans="1:12" ht="13.8">
      <c r="A114" s="290">
        <f>ROW()</f>
        <v>114</v>
      </c>
      <c r="B114" s="32" t="s">
        <v>101</v>
      </c>
      <c r="C114" s="51">
        <f t="shared" si="23"/>
        <v>0</v>
      </c>
      <c r="D114" s="51"/>
      <c r="E114" s="352"/>
      <c r="F114" s="87"/>
      <c r="G114" s="87">
        <f>IFERROR(Summary!#REF!/G$21,0)</f>
        <v>0</v>
      </c>
      <c r="H114" s="87">
        <f>IFERROR(Summary!#REF!/H$21,0)</f>
        <v>0</v>
      </c>
      <c r="I114" s="87">
        <f>IFERROR(Summary!#REF!/I$21,0)</f>
        <v>0</v>
      </c>
      <c r="J114" s="87">
        <f>IFERROR(Summary!#REF!/J$21,0)</f>
        <v>0</v>
      </c>
      <c r="K114" s="87">
        <f>IFERROR(Summary!#REF!/K$21,0)</f>
        <v>0</v>
      </c>
      <c r="L114" s="87">
        <f>IFERROR(Summary!#REF!/L$21,0)</f>
        <v>0</v>
      </c>
    </row>
    <row r="115" spans="1:12" ht="13.8">
      <c r="A115" s="290">
        <f>ROW()</f>
        <v>115</v>
      </c>
      <c r="B115" s="30" t="s">
        <v>203</v>
      </c>
      <c r="C115" s="606">
        <f t="shared" si="23"/>
        <v>10883.211013310671</v>
      </c>
      <c r="D115" s="606"/>
      <c r="E115" s="606"/>
      <c r="F115" s="958"/>
      <c r="G115" s="958">
        <f t="shared" ref="G115:L115" si="24">SUM(G98:G114)</f>
        <v>10026.075000000001</v>
      </c>
      <c r="H115" s="958">
        <f t="shared" si="24"/>
        <v>10944.905806964516</v>
      </c>
      <c r="I115" s="958">
        <f t="shared" si="24"/>
        <v>11003.746622623077</v>
      </c>
      <c r="J115" s="958">
        <f t="shared" si="24"/>
        <v>11042.556522312769</v>
      </c>
      <c r="K115" s="958">
        <f t="shared" si="24"/>
        <v>11070.076269365456</v>
      </c>
      <c r="L115" s="958">
        <f t="shared" si="24"/>
        <v>11211.905858598215</v>
      </c>
    </row>
    <row r="116" spans="1:12" ht="13.8">
      <c r="A116" s="290">
        <f>ROW()</f>
        <v>116</v>
      </c>
      <c r="B116" s="32"/>
      <c r="C116" s="54"/>
      <c r="D116" s="54"/>
      <c r="E116" s="54"/>
      <c r="F116" s="429"/>
      <c r="G116" s="429"/>
      <c r="H116" s="429"/>
      <c r="I116" s="429"/>
      <c r="J116" s="429"/>
      <c r="K116" s="429"/>
      <c r="L116" s="429"/>
    </row>
    <row r="117" spans="1:12" ht="15.6">
      <c r="A117" s="290">
        <f>ROW()</f>
        <v>117</v>
      </c>
      <c r="B117" s="1453" t="s">
        <v>204</v>
      </c>
      <c r="C117" s="1454"/>
      <c r="D117" s="1454"/>
      <c r="E117" s="1454"/>
      <c r="F117" s="1455">
        <f>Summary!F$6</f>
        <v>0</v>
      </c>
      <c r="G117" s="1455">
        <f>Summary!G$6</f>
        <v>1</v>
      </c>
      <c r="H117" s="1455">
        <f>Summary!H$6</f>
        <v>2</v>
      </c>
      <c r="I117" s="1455">
        <f>Summary!I$6</f>
        <v>3</v>
      </c>
      <c r="J117" s="1455">
        <f>Summary!J$6</f>
        <v>4</v>
      </c>
      <c r="K117" s="1455">
        <f>Summary!K$6</f>
        <v>5</v>
      </c>
      <c r="L117" s="1455">
        <f>Summary!L$6</f>
        <v>6</v>
      </c>
    </row>
    <row r="118" spans="1:12" ht="13.8">
      <c r="A118" s="290">
        <f>ROW()</f>
        <v>118</v>
      </c>
      <c r="B118" s="32" t="s">
        <v>110</v>
      </c>
      <c r="C118" s="209">
        <f t="shared" ref="C118:C127" si="25">AVERAGE(G118:L118)</f>
        <v>5012.3743869410846</v>
      </c>
      <c r="D118" s="55"/>
      <c r="E118" s="352"/>
      <c r="F118" s="87"/>
      <c r="G118" s="87">
        <f>IFERROR(Summary!G44/G$21,0)</f>
        <v>5015.8488260869563</v>
      </c>
      <c r="H118" s="87">
        <f>IFERROR(Summary!H44/H$21,0)</f>
        <v>5642.138564516129</v>
      </c>
      <c r="I118" s="87">
        <f>IFERROR(Summary!I44/I$21,0)</f>
        <v>5202.1429038461538</v>
      </c>
      <c r="J118" s="87">
        <f>IFERROR(Summary!J44/J$21,0)</f>
        <v>5167.0044922340421</v>
      </c>
      <c r="K118" s="87">
        <f>IFERROR(Summary!K44/K$21,0)</f>
        <v>4562.9876581617273</v>
      </c>
      <c r="L118" s="87">
        <f>IFERROR(Summary!L44/L$21,0)</f>
        <v>4484.1238768014991</v>
      </c>
    </row>
    <row r="119" spans="1:12" ht="13.8">
      <c r="A119" s="290">
        <f>ROW()</f>
        <v>119</v>
      </c>
      <c r="B119" s="32" t="s">
        <v>45</v>
      </c>
      <c r="C119" s="51">
        <f t="shared" si="25"/>
        <v>1615.8893988469708</v>
      </c>
      <c r="D119" s="51"/>
      <c r="E119" s="352"/>
      <c r="F119" s="87"/>
      <c r="G119" s="87">
        <f>IFERROR(Summary!G45/G$21,0)</f>
        <v>2504.3565217391306</v>
      </c>
      <c r="H119" s="87">
        <f>IFERROR(Summary!H45/H$21,0)</f>
        <v>1913.8129032258064</v>
      </c>
      <c r="I119" s="87">
        <f>IFERROR(Summary!I45/I$21,0)</f>
        <v>1566.8728205128202</v>
      </c>
      <c r="J119" s="87">
        <f>IFERROR(Summary!J45/J$21,0)</f>
        <v>1339.1760680851064</v>
      </c>
      <c r="K119" s="87">
        <f>IFERROR(Summary!K45/K$21,0)</f>
        <v>1178.7183173818182</v>
      </c>
      <c r="L119" s="87">
        <f>IFERROR(Summary!L45/L$21,0)</f>
        <v>1192.3997621371429</v>
      </c>
    </row>
    <row r="120" spans="1:12" ht="13.8">
      <c r="A120" s="290">
        <f>ROW()</f>
        <v>120</v>
      </c>
      <c r="B120" s="32" t="s">
        <v>111</v>
      </c>
      <c r="C120" s="51">
        <f t="shared" si="25"/>
        <v>211.29340338233314</v>
      </c>
      <c r="D120" s="51"/>
      <c r="E120" s="352"/>
      <c r="F120" s="87"/>
      <c r="G120" s="87">
        <f>IFERROR(Summary!G46/G$21,0)</f>
        <v>401.30434782608694</v>
      </c>
      <c r="H120" s="87">
        <f>IFERROR(Summary!H46/H$21,0)</f>
        <v>231.61290322580646</v>
      </c>
      <c r="I120" s="87">
        <f>IFERROR(Summary!I46/I$21,0)</f>
        <v>184.10256410256412</v>
      </c>
      <c r="J120" s="87">
        <f>IFERROR(Summary!J46/J$21,0)</f>
        <v>174.04255319148936</v>
      </c>
      <c r="K120" s="87">
        <f>IFERROR(Summary!K46/K$21,0)</f>
        <v>135.09090909090909</v>
      </c>
      <c r="L120" s="87">
        <f>IFERROR(Summary!L46/L$21,0)</f>
        <v>141.60714285714286</v>
      </c>
    </row>
    <row r="121" spans="1:12" ht="13.8">
      <c r="A121" s="290">
        <f>ROW()</f>
        <v>121</v>
      </c>
      <c r="B121" s="32" t="s">
        <v>193</v>
      </c>
      <c r="C121" s="51">
        <f t="shared" si="25"/>
        <v>0</v>
      </c>
      <c r="D121" s="51"/>
      <c r="E121" s="352"/>
      <c r="F121" s="87"/>
      <c r="G121" s="87">
        <f>IFERROR(Summary!G47/G$21,0)</f>
        <v>0</v>
      </c>
      <c r="H121" s="87">
        <f>IFERROR(Summary!H47/H$21,0)</f>
        <v>0</v>
      </c>
      <c r="I121" s="87">
        <f>IFERROR(Summary!I47/I$21,0)</f>
        <v>0</v>
      </c>
      <c r="J121" s="87">
        <f>IFERROR(Summary!J47/J$21,0)</f>
        <v>0</v>
      </c>
      <c r="K121" s="87">
        <f>IFERROR(Summary!K47/K$21,0)</f>
        <v>0</v>
      </c>
      <c r="L121" s="87">
        <f>IFERROR(Summary!L47/L$21,0)</f>
        <v>0</v>
      </c>
    </row>
    <row r="122" spans="1:12" ht="13.8">
      <c r="A122" s="290">
        <f>ROW()</f>
        <v>122</v>
      </c>
      <c r="B122" s="32" t="s">
        <v>53</v>
      </c>
      <c r="C122" s="51">
        <f t="shared" si="25"/>
        <v>0</v>
      </c>
      <c r="D122" s="51"/>
      <c r="E122" s="352"/>
      <c r="F122" s="87"/>
      <c r="G122" s="87">
        <f>IFERROR(Summary!G48/G$21,0)</f>
        <v>0</v>
      </c>
      <c r="H122" s="87">
        <f>IFERROR(Summary!H48/H$21,0)</f>
        <v>0</v>
      </c>
      <c r="I122" s="87">
        <f>IFERROR(Summary!I48/I$21,0)</f>
        <v>0</v>
      </c>
      <c r="J122" s="87">
        <f>IFERROR(Summary!J48/J$21,0)</f>
        <v>0</v>
      </c>
      <c r="K122" s="87">
        <f>IFERROR(Summary!K48/K$21,0)</f>
        <v>0</v>
      </c>
      <c r="L122" s="87">
        <f>IFERROR(Summary!L48/L$21,0)</f>
        <v>0</v>
      </c>
    </row>
    <row r="123" spans="1:12" ht="13.8">
      <c r="A123" s="290">
        <f>ROW()</f>
        <v>123</v>
      </c>
      <c r="B123" s="32" t="s">
        <v>113</v>
      </c>
      <c r="C123" s="51">
        <f t="shared" si="25"/>
        <v>355.37550600483411</v>
      </c>
      <c r="D123" s="51"/>
      <c r="E123" s="352"/>
      <c r="F123" s="87"/>
      <c r="G123" s="87">
        <f>IFERROR(Summary!G49/G$21,0)</f>
        <v>1031.9565217391305</v>
      </c>
      <c r="H123" s="87">
        <f>IFERROR(Summary!H49/H$21,0)</f>
        <v>356.22580645161293</v>
      </c>
      <c r="I123" s="87">
        <f>IFERROR(Summary!I49/I$21,0)</f>
        <v>245.66666666666666</v>
      </c>
      <c r="J123" s="87">
        <f>IFERROR(Summary!J49/J$21,0)</f>
        <v>215.29787234042553</v>
      </c>
      <c r="K123" s="87">
        <f>IFERROR(Summary!K49/K$21,0)</f>
        <v>171.94545454545454</v>
      </c>
      <c r="L123" s="87">
        <f>IFERROR(Summary!L49/L$21,0)</f>
        <v>111.16071428571429</v>
      </c>
    </row>
    <row r="124" spans="1:12" ht="13.8">
      <c r="A124" s="290">
        <f>ROW()</f>
        <v>124</v>
      </c>
      <c r="B124" s="32" t="s">
        <v>96</v>
      </c>
      <c r="C124" s="51">
        <f t="shared" si="25"/>
        <v>0</v>
      </c>
      <c r="D124" s="51"/>
      <c r="E124" s="352"/>
      <c r="F124" s="87"/>
      <c r="G124" s="87">
        <f>IFERROR(Summary!G50/G$21,0)</f>
        <v>0</v>
      </c>
      <c r="H124" s="87">
        <f>IFERROR(Summary!H50/H$21,0)</f>
        <v>0</v>
      </c>
      <c r="I124" s="87">
        <f>IFERROR(Summary!I50/I$21,0)</f>
        <v>0</v>
      </c>
      <c r="J124" s="87">
        <f>IFERROR(Summary!J50/J$21,0)</f>
        <v>0</v>
      </c>
      <c r="K124" s="87">
        <f>IFERROR(Summary!K50/K$21,0)</f>
        <v>0</v>
      </c>
      <c r="L124" s="87">
        <f>IFERROR(Summary!L50/L$21,0)</f>
        <v>0</v>
      </c>
    </row>
    <row r="125" spans="1:12" ht="13.8">
      <c r="A125" s="290">
        <f>ROW()</f>
        <v>125</v>
      </c>
      <c r="B125" s="32" t="s">
        <v>51</v>
      </c>
      <c r="C125" s="51">
        <f t="shared" si="25"/>
        <v>50.535756492209714</v>
      </c>
      <c r="D125" s="51"/>
      <c r="E125" s="352"/>
      <c r="F125" s="87"/>
      <c r="G125" s="87">
        <f>IFERROR(Summary!G52/G$21,0)</f>
        <v>83.073913043478257</v>
      </c>
      <c r="H125" s="87">
        <f>IFERROR(Summary!H52/H$21,0)</f>
        <v>61.63548387096774</v>
      </c>
      <c r="I125" s="87">
        <f>IFERROR(Summary!I52/I$21,0)</f>
        <v>48.992307692307691</v>
      </c>
      <c r="J125" s="87">
        <f>IFERROR(Summary!J52/J$21,0)</f>
        <v>40.653191489361703</v>
      </c>
      <c r="K125" s="87">
        <f>IFERROR(Summary!K52/K$21,0)</f>
        <v>34.74</v>
      </c>
      <c r="L125" s="87">
        <f>IFERROR(Summary!L52/L$21,0)</f>
        <v>34.119642857142857</v>
      </c>
    </row>
    <row r="126" spans="1:12" ht="13.8">
      <c r="A126" s="290">
        <f>ROW()</f>
        <v>126</v>
      </c>
      <c r="B126" s="32" t="s">
        <v>194</v>
      </c>
      <c r="C126" s="51">
        <f t="shared" si="25"/>
        <v>0</v>
      </c>
      <c r="D126" s="51"/>
      <c r="E126" s="352"/>
      <c r="F126" s="87"/>
      <c r="G126" s="87">
        <f>IFERROR(Summary!#REF!/G$21,0)</f>
        <v>0</v>
      </c>
      <c r="H126" s="87">
        <f>IFERROR(Summary!#REF!/H$21,0)</f>
        <v>0</v>
      </c>
      <c r="I126" s="87">
        <f>IFERROR(Summary!#REF!/I$21,0)</f>
        <v>0</v>
      </c>
      <c r="J126" s="87">
        <f>IFERROR(Summary!#REF!/J$21,0)</f>
        <v>0</v>
      </c>
      <c r="K126" s="87">
        <f>IFERROR(Summary!#REF!/K$21,0)</f>
        <v>0</v>
      </c>
      <c r="L126" s="87">
        <f>IFERROR(Summary!#REF!/L$21,0)</f>
        <v>0</v>
      </c>
    </row>
    <row r="127" spans="1:12" ht="13.8">
      <c r="A127" s="290">
        <f>ROW()</f>
        <v>127</v>
      </c>
      <c r="B127" s="30" t="s">
        <v>205</v>
      </c>
      <c r="C127" s="606">
        <f t="shared" si="25"/>
        <v>7245.4684516674324</v>
      </c>
      <c r="D127" s="606"/>
      <c r="E127" s="606"/>
      <c r="F127" s="958"/>
      <c r="G127" s="958">
        <f t="shared" ref="G127:L127" si="26">SUM(G118:G126)</f>
        <v>9036.5401304347815</v>
      </c>
      <c r="H127" s="958">
        <f t="shared" si="26"/>
        <v>8205.4256612903228</v>
      </c>
      <c r="I127" s="958">
        <f t="shared" si="26"/>
        <v>7247.777262820513</v>
      </c>
      <c r="J127" s="958">
        <f t="shared" si="26"/>
        <v>6936.1741773404265</v>
      </c>
      <c r="K127" s="958">
        <f t="shared" si="26"/>
        <v>6083.4823391799091</v>
      </c>
      <c r="L127" s="958">
        <f t="shared" si="26"/>
        <v>5963.4111389386426</v>
      </c>
    </row>
    <row r="128" spans="1:12" ht="14.4" thickBot="1">
      <c r="A128" s="290">
        <f>ROW()</f>
        <v>128</v>
      </c>
      <c r="B128" s="30"/>
      <c r="C128" s="354"/>
      <c r="D128" s="354"/>
      <c r="E128" s="353"/>
      <c r="F128" s="542"/>
      <c r="G128" s="542"/>
      <c r="H128" s="542"/>
      <c r="I128" s="542"/>
      <c r="J128" s="542"/>
      <c r="K128" s="542"/>
      <c r="L128" s="542"/>
    </row>
    <row r="129" spans="1:12" ht="14.4" thickBot="1">
      <c r="A129" s="290">
        <f>ROW()</f>
        <v>129</v>
      </c>
      <c r="B129" s="355" t="s">
        <v>206</v>
      </c>
      <c r="C129" s="609">
        <f>C115-C127</f>
        <v>3637.7425616432383</v>
      </c>
      <c r="D129" s="370"/>
      <c r="E129" s="370"/>
      <c r="F129" s="555"/>
      <c r="G129" s="1039">
        <f t="shared" ref="G129:L129" si="27">G115-G127</f>
        <v>989.5348695652192</v>
      </c>
      <c r="H129" s="1039">
        <f t="shared" si="27"/>
        <v>2739.4801456741934</v>
      </c>
      <c r="I129" s="1039">
        <f t="shared" si="27"/>
        <v>3755.9693598025642</v>
      </c>
      <c r="J129" s="1039">
        <f t="shared" si="27"/>
        <v>4106.3823449723423</v>
      </c>
      <c r="K129" s="1039">
        <f t="shared" si="27"/>
        <v>4986.5939301855469</v>
      </c>
      <c r="L129" s="1039">
        <f t="shared" si="27"/>
        <v>5248.4947196595722</v>
      </c>
    </row>
    <row r="130" spans="1:12" ht="14.4">
      <c r="A130" s="290">
        <f>ROW()</f>
        <v>130</v>
      </c>
      <c r="B130" s="154" t="s">
        <v>207</v>
      </c>
      <c r="C130" s="357"/>
      <c r="D130" s="357"/>
      <c r="E130" s="357"/>
      <c r="F130" s="554"/>
      <c r="G130" s="113">
        <f t="shared" ref="G130:L130" si="28">G129/G21</f>
        <v>4.3023255198487789</v>
      </c>
      <c r="H130" s="113">
        <f t="shared" si="28"/>
        <v>8.8370327279812688</v>
      </c>
      <c r="I130" s="113">
        <f t="shared" si="28"/>
        <v>9.6306906661604206</v>
      </c>
      <c r="J130" s="113">
        <f t="shared" si="28"/>
        <v>8.7369837127071115</v>
      </c>
      <c r="K130" s="113">
        <f t="shared" si="28"/>
        <v>9.0665344185191756</v>
      </c>
      <c r="L130" s="113">
        <f t="shared" si="28"/>
        <v>9.3723119993920925</v>
      </c>
    </row>
    <row r="131" spans="1:12" ht="14.4">
      <c r="A131" s="290">
        <f>ROW()</f>
        <v>131</v>
      </c>
      <c r="B131" s="371" t="s">
        <v>208</v>
      </c>
      <c r="C131" s="372"/>
      <c r="D131" s="372"/>
      <c r="E131" s="372"/>
      <c r="F131" s="556"/>
      <c r="G131" s="608">
        <f t="shared" ref="G131:L131" si="29">IFERROR(+G129/G115,0)</f>
        <v>9.869613677986841E-2</v>
      </c>
      <c r="H131" s="608">
        <f t="shared" si="29"/>
        <v>0.25029727929965317</v>
      </c>
      <c r="I131" s="608">
        <f t="shared" si="29"/>
        <v>0.34133550040860672</v>
      </c>
      <c r="J131" s="608">
        <f t="shared" si="29"/>
        <v>0.37186880924493521</v>
      </c>
      <c r="K131" s="608">
        <f t="shared" si="29"/>
        <v>0.45045705276530867</v>
      </c>
      <c r="L131" s="608">
        <f t="shared" si="29"/>
        <v>0.46811797974869662</v>
      </c>
    </row>
  </sheetData>
  <sheetProtection sheet="1" objects="1" scenarios="1"/>
  <conditionalFormatting sqref="C1">
    <cfRule type="expression" dxfId="18" priority="18" stopIfTrue="1">
      <formula>MOD(ROW(),2)=0</formula>
    </cfRule>
  </conditionalFormatting>
  <conditionalFormatting sqref="C58:C77">
    <cfRule type="cellIs" dxfId="17" priority="2" stopIfTrue="1" operator="equal">
      <formula>0</formula>
    </cfRule>
  </conditionalFormatting>
  <conditionalFormatting sqref="C81:C89">
    <cfRule type="cellIs" dxfId="16" priority="12" stopIfTrue="1" operator="equal">
      <formula>0</formula>
    </cfRule>
  </conditionalFormatting>
  <conditionalFormatting sqref="C98:C115">
    <cfRule type="cellIs" dxfId="15" priority="14" stopIfTrue="1" operator="equal">
      <formula>0</formula>
    </cfRule>
  </conditionalFormatting>
  <conditionalFormatting sqref="C118:C126">
    <cfRule type="cellIs" dxfId="14" priority="15" stopIfTrue="1" operator="equal">
      <formula>0</formula>
    </cfRule>
  </conditionalFormatting>
  <conditionalFormatting sqref="F58:L77">
    <cfRule type="cellIs" dxfId="13" priority="1" stopIfTrue="1" operator="equal">
      <formula>0</formula>
    </cfRule>
  </conditionalFormatting>
  <conditionalFormatting sqref="F81:L89">
    <cfRule type="cellIs" dxfId="12" priority="11" stopIfTrue="1" operator="equal">
      <formula>0</formula>
    </cfRule>
  </conditionalFormatting>
  <conditionalFormatting sqref="G98:L114">
    <cfRule type="cellIs" dxfId="11" priority="13" stopIfTrue="1" operator="equal">
      <formula>0</formula>
    </cfRule>
  </conditionalFormatting>
  <conditionalFormatting sqref="G118:L126">
    <cfRule type="cellIs" dxfId="10" priority="16" stopIfTrue="1" operator="equal">
      <formula>0</formula>
    </cfRule>
  </conditionalFormatting>
  <conditionalFormatting sqref="L1">
    <cfRule type="expression" dxfId="9" priority="19" stopIfTrue="1">
      <formula>MOD(ROW(),2)=0</formula>
    </cfRule>
  </conditionalFormatting>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54" max="11" man="1"/>
    <brk id="95"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theme="0" tint="-0.34998626667073579"/>
  </sheetPr>
  <dimension ref="B3:R4"/>
  <sheetViews>
    <sheetView workbookViewId="0"/>
  </sheetViews>
  <sheetFormatPr defaultRowHeight="14.4"/>
  <sheetData>
    <row r="3" spans="2:18" ht="36.6">
      <c r="B3" s="1390" t="s">
        <v>1171</v>
      </c>
      <c r="C3" s="804"/>
      <c r="D3" s="804"/>
      <c r="E3" s="804"/>
      <c r="F3" s="804"/>
      <c r="G3" s="804"/>
      <c r="H3" s="804"/>
      <c r="I3" s="804"/>
      <c r="J3" s="804"/>
      <c r="K3" s="804"/>
      <c r="L3" s="804"/>
      <c r="M3" s="804"/>
      <c r="N3" s="804"/>
      <c r="O3" s="804"/>
      <c r="P3" s="804"/>
      <c r="Q3" s="804"/>
      <c r="R3" s="804"/>
    </row>
    <row r="4" spans="2:18" ht="36.6">
      <c r="B4" s="1389" t="s">
        <v>1170</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0" tint="-0.499984740745262"/>
  </sheetPr>
  <dimension ref="A1:AB455"/>
  <sheetViews>
    <sheetView topLeftCell="A3" zoomScale="65" zoomScaleNormal="160" workbookViewId="0">
      <selection activeCell="E18" sqref="E18"/>
    </sheetView>
  </sheetViews>
  <sheetFormatPr defaultColWidth="8.6640625" defaultRowHeight="14.4" outlineLevelRow="3" outlineLevelCol="1"/>
  <cols>
    <col min="1" max="1" width="5.5546875" customWidth="1"/>
    <col min="2" max="2" width="12.6640625" customWidth="1" outlineLevel="1"/>
    <col min="3" max="3" width="23" customWidth="1" outlineLevel="1"/>
    <col min="4" max="4" width="12.6640625" customWidth="1" outlineLevel="1"/>
    <col min="5" max="5" width="14.44140625" customWidth="1" outlineLevel="1"/>
    <col min="6" max="8" width="10.6640625" customWidth="1" outlineLevel="1"/>
    <col min="9" max="9" width="10" customWidth="1" outlineLevel="1"/>
    <col min="10" max="10" width="13.5546875" customWidth="1" outlineLevel="1"/>
    <col min="11" max="12" width="8.6640625" customWidth="1" outlineLevel="1"/>
    <col min="13" max="13" width="11.33203125" customWidth="1"/>
    <col min="14" max="14" width="8.6640625" customWidth="1"/>
    <col min="15" max="15" width="13.6640625" customWidth="1"/>
    <col min="16" max="16" width="10.5546875" style="3" customWidth="1"/>
    <col min="17" max="17" width="13.33203125" customWidth="1"/>
    <col min="18" max="18" width="13" customWidth="1"/>
    <col min="19" max="19" width="10.33203125" customWidth="1"/>
    <col min="20" max="20" width="12.33203125" customWidth="1"/>
    <col min="21" max="21" width="11" customWidth="1"/>
    <col min="22" max="22" width="11.6640625" customWidth="1"/>
    <col min="23" max="27" width="8.6640625" customWidth="1"/>
  </cols>
  <sheetData>
    <row r="1" spans="1:22" ht="15.6">
      <c r="A1" s="20" t="s">
        <v>838</v>
      </c>
      <c r="B1" s="20"/>
      <c r="J1" s="347" t="s">
        <v>1</v>
      </c>
      <c r="P1"/>
      <c r="Q1" s="22"/>
      <c r="V1" s="313"/>
    </row>
    <row r="2" spans="1:22" ht="15.6">
      <c r="A2" s="1310" t="str">
        <f>SchoolName</f>
        <v>Game Changers Sports Academy</v>
      </c>
      <c r="B2" s="1310"/>
      <c r="P2"/>
    </row>
    <row r="3" spans="1:22">
      <c r="A3" s="18"/>
      <c r="O3" s="3"/>
      <c r="P3"/>
    </row>
    <row r="4" spans="1:22">
      <c r="A4" s="19"/>
      <c r="O4" s="3"/>
      <c r="P4"/>
    </row>
    <row r="5" spans="1:22">
      <c r="A5" s="920"/>
      <c r="O5" s="3"/>
      <c r="P5"/>
    </row>
    <row r="6" spans="1:22">
      <c r="O6" s="648"/>
      <c r="P6" s="32"/>
      <c r="Q6" s="32"/>
      <c r="R6" s="32"/>
      <c r="S6" s="32"/>
      <c r="T6" s="32"/>
      <c r="U6" s="32"/>
      <c r="V6" s="32"/>
    </row>
    <row r="7" spans="1:22" ht="15.6">
      <c r="B7" s="1314" t="s">
        <v>1158</v>
      </c>
      <c r="C7" s="1314"/>
      <c r="D7" s="1315"/>
      <c r="E7" s="1315"/>
      <c r="F7" s="318"/>
      <c r="O7" s="648"/>
      <c r="P7" s="32"/>
      <c r="Q7" s="32"/>
      <c r="R7" s="32"/>
      <c r="S7" s="32"/>
      <c r="T7" s="32"/>
      <c r="U7" s="32"/>
      <c r="V7" s="32"/>
    </row>
    <row r="8" spans="1:22" ht="15.6">
      <c r="B8" s="318" t="s">
        <v>1161</v>
      </c>
      <c r="C8" s="330"/>
      <c r="D8" s="318"/>
      <c r="E8" s="318"/>
      <c r="F8" s="318"/>
      <c r="O8" s="648"/>
      <c r="P8" s="32"/>
      <c r="Q8" s="32"/>
      <c r="R8" s="32"/>
      <c r="S8" s="32"/>
      <c r="T8" s="32"/>
      <c r="U8" s="32"/>
      <c r="V8" s="32"/>
    </row>
    <row r="9" spans="1:22" ht="15.6">
      <c r="B9" s="330" t="s">
        <v>839</v>
      </c>
      <c r="C9" s="330"/>
      <c r="O9" s="648"/>
      <c r="P9" s="32"/>
      <c r="Q9" s="32"/>
      <c r="R9" s="32"/>
      <c r="S9" s="32"/>
      <c r="T9" s="32"/>
      <c r="U9" s="32"/>
      <c r="V9" s="32"/>
    </row>
    <row r="10" spans="1:22" ht="15.6">
      <c r="B10" s="1303" t="s">
        <v>1191</v>
      </c>
      <c r="C10" s="783"/>
      <c r="D10" s="770"/>
      <c r="E10" s="770"/>
      <c r="G10" s="1" t="s">
        <v>842</v>
      </c>
      <c r="O10" s="648"/>
      <c r="P10" s="32"/>
      <c r="Q10" s="32"/>
      <c r="R10" s="32"/>
      <c r="S10" s="32"/>
      <c r="T10" s="32"/>
      <c r="U10" s="32"/>
      <c r="V10" s="32"/>
    </row>
    <row r="11" spans="1:22" ht="15.6">
      <c r="B11" s="779" t="s">
        <v>840</v>
      </c>
      <c r="C11" s="779"/>
      <c r="D11" s="781" t="s">
        <v>841</v>
      </c>
      <c r="E11" s="781" t="s">
        <v>842</v>
      </c>
      <c r="F11" s="905" t="s">
        <v>918</v>
      </c>
      <c r="G11" s="905" t="s">
        <v>907</v>
      </c>
      <c r="H11" s="905" t="s">
        <v>919</v>
      </c>
      <c r="O11" s="648"/>
      <c r="P11" s="32"/>
      <c r="Q11" s="32"/>
      <c r="R11" s="32"/>
      <c r="S11" s="32"/>
      <c r="T11" s="32"/>
      <c r="U11" s="32"/>
      <c r="V11" s="32"/>
    </row>
    <row r="12" spans="1:22" ht="15.6">
      <c r="A12" s="318">
        <v>1</v>
      </c>
      <c r="B12" s="318" t="s">
        <v>278</v>
      </c>
      <c r="C12" s="318"/>
      <c r="D12" s="918">
        <v>9632</v>
      </c>
      <c r="E12" s="798">
        <v>10114</v>
      </c>
      <c r="F12" s="1402"/>
      <c r="G12" s="1403"/>
      <c r="H12" s="1403"/>
      <c r="I12" t="s">
        <v>843</v>
      </c>
      <c r="O12" s="648"/>
      <c r="P12" s="32"/>
      <c r="Q12" s="32"/>
      <c r="R12" s="32"/>
      <c r="S12" s="32"/>
      <c r="T12" s="32"/>
      <c r="U12" s="32"/>
      <c r="V12" s="32"/>
    </row>
    <row r="13" spans="1:22" ht="15.6">
      <c r="A13" s="318">
        <f>1+A12</f>
        <v>2</v>
      </c>
      <c r="B13" s="1007" t="s">
        <v>844</v>
      </c>
      <c r="C13" s="1007"/>
      <c r="D13" s="919">
        <v>10157</v>
      </c>
      <c r="E13" s="806">
        <v>10662</v>
      </c>
      <c r="F13" s="1403"/>
      <c r="G13" s="1403"/>
      <c r="H13" s="1403"/>
      <c r="O13" s="648"/>
      <c r="P13" s="32"/>
      <c r="Q13" s="32"/>
      <c r="R13" s="32"/>
      <c r="S13" s="32"/>
      <c r="T13" s="32"/>
      <c r="U13" s="32"/>
      <c r="V13" s="32"/>
    </row>
    <row r="14" spans="1:22" ht="15.6">
      <c r="A14" s="318">
        <f t="shared" ref="A14:A15" si="0">1+A13</f>
        <v>3</v>
      </c>
      <c r="B14" s="1007" t="s">
        <v>845</v>
      </c>
      <c r="C14" s="1007"/>
      <c r="D14" s="919">
        <v>8966</v>
      </c>
      <c r="E14" s="806">
        <v>9497</v>
      </c>
      <c r="F14" s="1404">
        <f>+$E14*E27</f>
        <v>4273.6500000000005</v>
      </c>
      <c r="G14" s="1404">
        <f>+E14*E28</f>
        <v>3323.95</v>
      </c>
      <c r="H14" s="1404">
        <f>+E14*E29</f>
        <v>1139.6399999999999</v>
      </c>
      <c r="O14" s="648"/>
      <c r="P14" s="32"/>
      <c r="Q14" s="32"/>
      <c r="R14" s="32"/>
      <c r="S14" s="32"/>
      <c r="T14" s="32"/>
      <c r="U14" s="32"/>
      <c r="V14" s="32"/>
    </row>
    <row r="15" spans="1:22" ht="15.6">
      <c r="A15" s="318">
        <f t="shared" si="0"/>
        <v>4</v>
      </c>
      <c r="B15" s="1007" t="s">
        <v>846</v>
      </c>
      <c r="C15" s="1007"/>
      <c r="D15" s="919">
        <v>9670</v>
      </c>
      <c r="E15" s="806">
        <v>11567</v>
      </c>
      <c r="F15" s="1403"/>
      <c r="G15" s="1403"/>
      <c r="H15" s="1403"/>
      <c r="O15" s="648"/>
      <c r="P15" s="32"/>
      <c r="Q15" s="32"/>
      <c r="R15" s="32"/>
      <c r="S15" s="32"/>
      <c r="T15" s="32"/>
      <c r="U15" s="32"/>
      <c r="V15" s="32"/>
    </row>
    <row r="16" spans="1:22" ht="15.6">
      <c r="A16" s="318">
        <f>1+A15</f>
        <v>5</v>
      </c>
      <c r="B16" s="1007" t="s">
        <v>847</v>
      </c>
      <c r="C16" s="1007"/>
      <c r="D16" s="919">
        <v>8966</v>
      </c>
      <c r="E16" s="806">
        <v>11505</v>
      </c>
      <c r="F16" s="1403"/>
      <c r="G16" s="1403"/>
      <c r="H16" s="1403"/>
      <c r="O16" s="648"/>
      <c r="P16" s="32"/>
      <c r="Q16" s="32"/>
      <c r="R16" s="32"/>
      <c r="S16" s="32"/>
      <c r="T16" s="32"/>
      <c r="U16" s="32"/>
      <c r="V16" s="32"/>
    </row>
    <row r="17" spans="1:22" ht="15.6">
      <c r="A17" s="318">
        <f>1+A16</f>
        <v>6</v>
      </c>
      <c r="B17" s="1007" t="s">
        <v>848</v>
      </c>
      <c r="C17" s="1007"/>
      <c r="D17" s="919">
        <v>8966</v>
      </c>
      <c r="E17" s="806">
        <v>9705</v>
      </c>
      <c r="F17" s="1403"/>
      <c r="G17" s="1403"/>
      <c r="H17" s="1403"/>
      <c r="O17" s="648"/>
      <c r="P17" s="32"/>
      <c r="Q17" s="32"/>
      <c r="R17" s="32"/>
      <c r="S17" s="32"/>
      <c r="T17" s="32"/>
      <c r="U17" s="32"/>
      <c r="V17" s="32"/>
    </row>
    <row r="18" spans="1:22" ht="15.6">
      <c r="A18" s="318">
        <f>1+A17</f>
        <v>7</v>
      </c>
      <c r="B18" s="1007" t="s">
        <v>849</v>
      </c>
      <c r="C18" s="1007"/>
      <c r="D18" s="919">
        <v>9674</v>
      </c>
      <c r="E18" s="806">
        <v>9705</v>
      </c>
      <c r="F18" s="1403"/>
      <c r="G18" s="1403"/>
      <c r="H18" s="1403"/>
      <c r="O18" s="648"/>
      <c r="P18" s="32"/>
      <c r="Q18" s="32"/>
      <c r="R18" s="32"/>
      <c r="S18" s="32"/>
      <c r="T18" s="32"/>
      <c r="U18" s="32"/>
      <c r="V18" s="32"/>
    </row>
    <row r="19" spans="1:22" ht="15.6">
      <c r="A19" s="318">
        <f>1+A18</f>
        <v>8</v>
      </c>
      <c r="B19" s="1007" t="s">
        <v>850</v>
      </c>
      <c r="C19" s="1007"/>
      <c r="D19" s="919">
        <v>12982</v>
      </c>
      <c r="E19" s="806">
        <v>14861</v>
      </c>
      <c r="F19" s="1403"/>
      <c r="G19" s="1403"/>
      <c r="H19" s="1403"/>
      <c r="O19" s="648"/>
      <c r="P19" s="32"/>
      <c r="Q19" s="32"/>
      <c r="R19" s="32"/>
      <c r="S19" s="32"/>
      <c r="T19" s="32"/>
      <c r="U19" s="32"/>
      <c r="V19" s="32"/>
    </row>
    <row r="20" spans="1:22" ht="15.6">
      <c r="A20" s="318">
        <f>1+A19</f>
        <v>9</v>
      </c>
      <c r="B20" s="1007" t="s">
        <v>1163</v>
      </c>
      <c r="C20" s="315"/>
      <c r="D20" s="1318">
        <v>8966</v>
      </c>
      <c r="E20" s="1319">
        <v>9414</v>
      </c>
      <c r="F20" s="1403"/>
      <c r="G20" s="1403"/>
      <c r="H20" s="1403"/>
      <c r="I20" t="s">
        <v>1162</v>
      </c>
      <c r="O20" s="648"/>
      <c r="P20" s="32"/>
      <c r="Q20" s="32"/>
      <c r="R20" s="32"/>
      <c r="S20" s="32"/>
      <c r="T20" s="32"/>
      <c r="U20" s="32"/>
      <c r="V20" s="32"/>
    </row>
    <row r="21" spans="1:22">
      <c r="I21" t="s">
        <v>862</v>
      </c>
      <c r="O21" s="648"/>
      <c r="P21" s="32"/>
      <c r="Q21" s="32"/>
      <c r="R21" s="32"/>
      <c r="S21" s="32"/>
      <c r="T21" s="32"/>
      <c r="U21" s="32"/>
      <c r="V21" s="32"/>
    </row>
    <row r="22" spans="1:22">
      <c r="I22" t="s">
        <v>863</v>
      </c>
      <c r="O22" s="648"/>
      <c r="P22" s="32"/>
      <c r="Q22" s="32"/>
      <c r="R22" s="32"/>
      <c r="S22" s="32"/>
      <c r="T22" s="32"/>
      <c r="U22" s="32"/>
      <c r="V22" s="32"/>
    </row>
    <row r="23" spans="1:22">
      <c r="O23" s="648"/>
      <c r="P23" s="32"/>
      <c r="Q23" s="32"/>
      <c r="R23" s="32"/>
      <c r="S23" s="32"/>
      <c r="T23" s="32"/>
      <c r="U23" s="32"/>
      <c r="V23" s="32"/>
    </row>
    <row r="24" spans="1:22" ht="15.6">
      <c r="B24" s="809" t="s">
        <v>852</v>
      </c>
      <c r="C24" s="809"/>
      <c r="D24" s="810"/>
      <c r="E24" s="810"/>
      <c r="O24" s="648"/>
      <c r="P24" s="32"/>
      <c r="Q24" s="32"/>
      <c r="R24" s="32"/>
      <c r="S24" s="32"/>
      <c r="T24" s="32"/>
      <c r="U24" s="32"/>
      <c r="V24" s="32"/>
    </row>
    <row r="25" spans="1:22" ht="15.6">
      <c r="B25" s="1304" t="s">
        <v>1192</v>
      </c>
      <c r="C25" s="776"/>
      <c r="D25" s="781" t="s">
        <v>841</v>
      </c>
      <c r="E25" s="781" t="s">
        <v>842</v>
      </c>
      <c r="O25" s="648"/>
      <c r="P25" s="32"/>
      <c r="Q25" s="32"/>
      <c r="R25" s="32"/>
      <c r="S25" s="32"/>
      <c r="T25" s="32"/>
      <c r="U25" s="32"/>
      <c r="V25" s="32"/>
    </row>
    <row r="26" spans="1:22" ht="15.6">
      <c r="B26" s="784" t="s">
        <v>853</v>
      </c>
      <c r="C26" s="784"/>
      <c r="D26" s="1306">
        <v>3845</v>
      </c>
      <c r="E26" s="1306">
        <v>3845</v>
      </c>
      <c r="I26" t="s">
        <v>854</v>
      </c>
      <c r="O26" s="648"/>
      <c r="P26" s="32"/>
      <c r="Q26" s="32"/>
      <c r="R26" s="32"/>
      <c r="S26" s="32"/>
      <c r="T26" s="32"/>
      <c r="U26" s="32"/>
      <c r="V26" s="32"/>
    </row>
    <row r="27" spans="1:22" ht="15.6">
      <c r="B27" s="805" t="s">
        <v>855</v>
      </c>
      <c r="C27" s="805"/>
      <c r="D27" s="855">
        <v>0.45</v>
      </c>
      <c r="E27" s="855">
        <v>0.45</v>
      </c>
      <c r="O27" s="648"/>
      <c r="P27" s="32"/>
      <c r="Q27" s="32"/>
      <c r="R27" s="32"/>
      <c r="S27" s="32"/>
      <c r="T27" s="32"/>
      <c r="U27" s="32"/>
      <c r="V27" s="32"/>
    </row>
    <row r="28" spans="1:22" ht="15.6">
      <c r="B28" s="805" t="s">
        <v>1159</v>
      </c>
      <c r="C28" s="805"/>
      <c r="D28" s="855">
        <v>0.35</v>
      </c>
      <c r="E28" s="855">
        <v>0.35</v>
      </c>
      <c r="I28" s="1320" t="s">
        <v>1164</v>
      </c>
      <c r="O28" s="648"/>
      <c r="P28" s="32"/>
      <c r="Q28" s="32"/>
      <c r="R28" s="32"/>
      <c r="S28" s="32"/>
      <c r="T28" s="32"/>
      <c r="U28" s="32"/>
      <c r="V28" s="32"/>
    </row>
    <row r="29" spans="1:22" ht="15.6">
      <c r="B29" s="805" t="s">
        <v>856</v>
      </c>
      <c r="C29" s="805"/>
      <c r="D29" s="855">
        <v>0.12</v>
      </c>
      <c r="E29" s="855">
        <v>0.12</v>
      </c>
      <c r="O29" s="648"/>
      <c r="P29" s="32"/>
      <c r="Q29" s="32"/>
      <c r="R29" s="32"/>
      <c r="S29" s="32"/>
      <c r="T29" s="32"/>
      <c r="U29" s="32"/>
      <c r="V29" s="32"/>
    </row>
    <row r="30" spans="1:22">
      <c r="O30" s="648"/>
      <c r="P30" s="32"/>
      <c r="Q30" s="32"/>
      <c r="R30" s="32"/>
      <c r="S30" s="32"/>
      <c r="T30" s="32"/>
      <c r="U30" s="32"/>
      <c r="V30" s="32"/>
    </row>
    <row r="31" spans="1:22" ht="15.6">
      <c r="B31" s="318"/>
      <c r="O31" s="648"/>
      <c r="P31" s="32"/>
      <c r="Q31" s="32"/>
      <c r="R31" s="32"/>
      <c r="S31" s="32"/>
      <c r="T31" s="32"/>
      <c r="U31" s="32"/>
      <c r="V31" s="32"/>
    </row>
    <row r="32" spans="1:22">
      <c r="O32" s="648"/>
      <c r="P32" s="32"/>
      <c r="Q32" s="32"/>
      <c r="R32" s="32"/>
      <c r="S32" s="32"/>
      <c r="T32" s="32"/>
      <c r="U32" s="32"/>
      <c r="V32" s="32"/>
    </row>
    <row r="33" spans="1:22" hidden="1" outlineLevel="1">
      <c r="O33" s="648"/>
      <c r="P33" s="32"/>
      <c r="Q33" s="32"/>
      <c r="R33" s="32"/>
      <c r="S33" s="32"/>
      <c r="T33" s="32"/>
      <c r="U33" s="32"/>
      <c r="V33" s="32"/>
    </row>
    <row r="34" spans="1:22" hidden="1" outlineLevel="1">
      <c r="O34" s="648"/>
      <c r="P34" s="32"/>
      <c r="Q34" s="32"/>
      <c r="R34" s="32"/>
      <c r="S34" s="32"/>
      <c r="T34" s="32"/>
      <c r="U34" s="32"/>
      <c r="V34" s="32"/>
    </row>
    <row r="35" spans="1:22" hidden="1" outlineLevel="1">
      <c r="O35" s="648"/>
      <c r="P35" s="32"/>
      <c r="Q35" s="32"/>
      <c r="R35" s="32"/>
      <c r="S35" s="32"/>
      <c r="T35" s="32"/>
      <c r="U35" s="32"/>
      <c r="V35" s="32"/>
    </row>
    <row r="36" spans="1:22" hidden="1" outlineLevel="1">
      <c r="O36" s="648"/>
      <c r="P36" s="32"/>
      <c r="Q36" s="32"/>
      <c r="R36" s="32"/>
      <c r="S36" s="32"/>
      <c r="T36" s="32"/>
      <c r="U36" s="32"/>
      <c r="V36" s="32"/>
    </row>
    <row r="37" spans="1:22" hidden="1" outlineLevel="1">
      <c r="O37" s="648"/>
      <c r="P37" s="32"/>
      <c r="Q37" s="32"/>
      <c r="R37" s="32"/>
      <c r="S37" s="32"/>
      <c r="T37" s="32"/>
      <c r="U37" s="32"/>
      <c r="V37" s="32"/>
    </row>
    <row r="38" spans="1:22" hidden="1" outlineLevel="1">
      <c r="O38" s="648"/>
      <c r="P38" s="32"/>
      <c r="Q38" s="32"/>
      <c r="R38" s="32"/>
      <c r="S38" s="32"/>
      <c r="T38" s="32"/>
      <c r="U38" s="32"/>
      <c r="V38" s="32"/>
    </row>
    <row r="39" spans="1:22" hidden="1" outlineLevel="1">
      <c r="O39" s="648"/>
      <c r="P39" s="32"/>
      <c r="Q39" s="32"/>
      <c r="R39" s="32"/>
      <c r="S39" s="32"/>
      <c r="T39" s="32"/>
      <c r="U39" s="32"/>
      <c r="V39" s="32"/>
    </row>
    <row r="40" spans="1:22" hidden="1" outlineLevel="1">
      <c r="O40" s="648"/>
      <c r="P40" s="32"/>
      <c r="Q40" s="32"/>
      <c r="R40" s="32"/>
      <c r="S40" s="32"/>
      <c r="T40" s="32"/>
      <c r="U40" s="32"/>
      <c r="V40" s="32"/>
    </row>
    <row r="41" spans="1:22" ht="15.6" hidden="1" outlineLevel="1">
      <c r="B41" s="1262" t="s">
        <v>857</v>
      </c>
      <c r="O41" s="32"/>
      <c r="P41" s="270"/>
      <c r="Q41" s="270"/>
      <c r="R41" s="270"/>
      <c r="S41" s="270"/>
      <c r="T41" s="270"/>
      <c r="U41" s="270"/>
      <c r="V41" s="270"/>
    </row>
    <row r="42" spans="1:22" ht="15.6" hidden="1" outlineLevel="1">
      <c r="B42" s="785" t="s">
        <v>1157</v>
      </c>
      <c r="C42" s="785"/>
      <c r="D42" s="786"/>
      <c r="E42" s="786"/>
      <c r="F42" s="786"/>
      <c r="G42" s="786"/>
      <c r="H42" s="786"/>
      <c r="I42" s="786"/>
      <c r="J42" s="787"/>
      <c r="O42" s="32"/>
      <c r="P42" s="25"/>
      <c r="Q42" s="25"/>
      <c r="R42" s="25"/>
      <c r="S42" s="25"/>
      <c r="T42" s="25"/>
      <c r="U42" s="25"/>
      <c r="V42" s="25"/>
    </row>
    <row r="43" spans="1:22" ht="15.6" hidden="1" outlineLevel="1">
      <c r="A43" s="318"/>
      <c r="B43" s="318"/>
      <c r="C43" s="318"/>
      <c r="D43" s="318"/>
      <c r="E43" s="318"/>
      <c r="F43" s="318"/>
      <c r="G43" s="318"/>
      <c r="H43" s="318"/>
      <c r="I43" s="318"/>
      <c r="O43" s="318"/>
      <c r="P43" s="319"/>
      <c r="Q43" s="647"/>
      <c r="R43" s="319"/>
      <c r="S43" s="319"/>
      <c r="T43" s="319"/>
      <c r="U43" s="319"/>
      <c r="V43" s="319"/>
    </row>
    <row r="44" spans="1:22" ht="15.6" hidden="1" outlineLevel="1">
      <c r="A44" s="318"/>
      <c r="B44" s="788" t="s">
        <v>1158</v>
      </c>
      <c r="C44" s="788"/>
      <c r="D44" s="789"/>
      <c r="E44" s="789"/>
      <c r="F44" s="789"/>
      <c r="G44" s="789"/>
      <c r="H44" s="789"/>
      <c r="I44" s="789"/>
      <c r="J44" s="790"/>
      <c r="O44" s="318"/>
      <c r="P44" s="321"/>
      <c r="Q44" s="319"/>
      <c r="R44" s="319"/>
      <c r="S44" s="319"/>
      <c r="T44" s="319"/>
      <c r="U44" s="319"/>
      <c r="V44" s="319"/>
    </row>
    <row r="45" spans="1:22" ht="15.6" hidden="1" outlineLevel="1">
      <c r="A45" s="318"/>
      <c r="O45" s="318"/>
      <c r="P45" s="321"/>
      <c r="Q45" s="321"/>
      <c r="R45" s="321"/>
      <c r="S45" s="1862"/>
      <c r="T45" s="1862"/>
      <c r="U45" s="318"/>
      <c r="V45" s="318"/>
    </row>
    <row r="46" spans="1:22" ht="15.6" hidden="1" outlineLevel="1">
      <c r="A46" s="318"/>
      <c r="B46" t="s">
        <v>858</v>
      </c>
      <c r="D46" s="991">
        <v>1</v>
      </c>
      <c r="E46" t="s">
        <v>859</v>
      </c>
      <c r="O46" s="318"/>
      <c r="P46" s="321"/>
      <c r="Q46" s="321"/>
      <c r="R46" s="321"/>
      <c r="S46" s="1312"/>
      <c r="T46" s="1312"/>
      <c r="U46" s="318"/>
      <c r="V46" s="318"/>
    </row>
    <row r="47" spans="1:22" ht="15.6" hidden="1" outlineLevel="1">
      <c r="A47" s="318"/>
      <c r="B47" t="s">
        <v>858</v>
      </c>
      <c r="D47" s="859">
        <v>0.99309999999999998</v>
      </c>
      <c r="E47" t="s">
        <v>860</v>
      </c>
      <c r="O47" s="318"/>
      <c r="P47" s="321"/>
      <c r="Q47" s="321"/>
      <c r="R47" s="321"/>
      <c r="S47" s="1312"/>
      <c r="T47" s="1312"/>
      <c r="U47" s="318"/>
      <c r="V47" s="318"/>
    </row>
    <row r="48" spans="1:22" ht="15.6" hidden="1" outlineLevel="1">
      <c r="A48" s="318"/>
      <c r="D48" s="781" t="s">
        <v>841</v>
      </c>
      <c r="E48" s="781" t="s">
        <v>842</v>
      </c>
      <c r="O48" s="318"/>
      <c r="P48" s="321"/>
      <c r="Q48" s="321"/>
      <c r="R48" s="321"/>
      <c r="S48" s="1312"/>
      <c r="T48" s="1312"/>
      <c r="U48" s="318"/>
      <c r="V48" s="318"/>
    </row>
    <row r="49" spans="1:22" ht="15.6" hidden="1" outlineLevel="1">
      <c r="A49" s="425"/>
      <c r="B49" s="808" t="s">
        <v>862</v>
      </c>
      <c r="C49" s="808"/>
      <c r="D49" s="807">
        <v>8966</v>
      </c>
      <c r="E49" s="807">
        <v>9414</v>
      </c>
      <c r="O49" s="318"/>
      <c r="P49" s="321"/>
      <c r="Q49" s="321"/>
      <c r="R49" s="321"/>
      <c r="S49" s="1312"/>
      <c r="T49" s="1312"/>
      <c r="U49" s="318"/>
      <c r="V49" s="318"/>
    </row>
    <row r="50" spans="1:22" ht="15.6" hidden="1" outlineLevel="1">
      <c r="A50" s="425"/>
      <c r="B50" s="808" t="s">
        <v>863</v>
      </c>
      <c r="C50" s="330"/>
      <c r="D50" s="782">
        <f>+D49*$D$46</f>
        <v>8966</v>
      </c>
      <c r="E50" s="782">
        <f>+E49*$D$46</f>
        <v>9414</v>
      </c>
      <c r="O50" s="318"/>
      <c r="P50" s="321"/>
      <c r="Q50" s="321"/>
      <c r="R50" s="321"/>
      <c r="S50" s="1312"/>
      <c r="T50" s="1312"/>
      <c r="U50" s="318"/>
      <c r="V50" s="318"/>
    </row>
    <row r="51" spans="1:22" ht="15.6" hidden="1" outlineLevel="1">
      <c r="A51" s="425"/>
      <c r="E51" s="860"/>
      <c r="O51" s="318"/>
      <c r="P51" s="321"/>
      <c r="Q51" s="321"/>
      <c r="R51" s="321"/>
      <c r="S51" s="1312"/>
      <c r="T51" s="1312"/>
      <c r="U51" s="318"/>
      <c r="V51" s="318"/>
    </row>
    <row r="52" spans="1:22" ht="15.6" hidden="1" outlineLevel="1">
      <c r="A52" s="425"/>
      <c r="B52" s="330" t="s">
        <v>839</v>
      </c>
      <c r="C52" s="330"/>
      <c r="O52" s="318"/>
      <c r="P52" s="321"/>
      <c r="Q52" s="321"/>
      <c r="R52" s="321"/>
      <c r="S52" s="1312"/>
      <c r="T52" s="1312"/>
      <c r="U52" s="318"/>
      <c r="V52" s="318"/>
    </row>
    <row r="53" spans="1:22" ht="15.6" hidden="1" outlineLevel="1">
      <c r="A53" s="425"/>
      <c r="B53" s="783" t="s">
        <v>864</v>
      </c>
      <c r="C53" s="783"/>
      <c r="D53" s="770"/>
      <c r="E53" s="770"/>
      <c r="O53" s="318"/>
      <c r="P53" s="321"/>
      <c r="Q53" s="321"/>
      <c r="R53" s="321"/>
      <c r="S53" s="1312"/>
      <c r="T53" s="1312"/>
      <c r="U53" s="318"/>
      <c r="V53" s="318"/>
    </row>
    <row r="54" spans="1:22" ht="15.6" hidden="1" outlineLevel="1">
      <c r="A54" s="425"/>
      <c r="B54" s="779" t="s">
        <v>840</v>
      </c>
      <c r="C54" s="779"/>
      <c r="D54" s="781" t="s">
        <v>841</v>
      </c>
      <c r="E54" s="781" t="s">
        <v>842</v>
      </c>
      <c r="F54" s="985" t="s">
        <v>865</v>
      </c>
      <c r="O54" s="318"/>
      <c r="P54" s="321"/>
      <c r="Q54" s="321"/>
      <c r="R54" s="321"/>
      <c r="S54" s="1312"/>
      <c r="T54" s="1312"/>
      <c r="U54" s="318"/>
      <c r="V54" s="318"/>
    </row>
    <row r="55" spans="1:22" ht="15.6" hidden="1" outlineLevel="1">
      <c r="A55" s="425"/>
      <c r="B55" s="986" t="s">
        <v>866</v>
      </c>
      <c r="C55" s="986"/>
      <c r="D55" s="918">
        <v>7494</v>
      </c>
      <c r="E55" s="798">
        <v>7594</v>
      </c>
      <c r="F55" s="984">
        <f t="shared" ref="F55:F61" si="1">E55/D55-1</f>
        <v>1.3344008540165486E-2</v>
      </c>
      <c r="O55" s="318"/>
      <c r="P55" s="321"/>
      <c r="Q55" s="321"/>
      <c r="R55" s="321"/>
      <c r="S55" s="1312"/>
      <c r="T55" s="1312"/>
      <c r="U55" s="318"/>
      <c r="V55" s="318"/>
    </row>
    <row r="56" spans="1:22" ht="15.6" hidden="1" outlineLevel="1">
      <c r="A56" s="425"/>
      <c r="B56" s="987" t="s">
        <v>867</v>
      </c>
      <c r="C56" s="987"/>
      <c r="D56" s="919">
        <v>8093</v>
      </c>
      <c r="E56" s="806">
        <v>8197</v>
      </c>
      <c r="F56" s="984">
        <f t="shared" si="1"/>
        <v>1.2850611639688703E-2</v>
      </c>
      <c r="O56" s="318"/>
      <c r="P56" s="321"/>
      <c r="Q56" s="321"/>
      <c r="R56" s="321"/>
      <c r="S56" s="1312"/>
      <c r="T56" s="1312"/>
      <c r="U56" s="318"/>
      <c r="V56" s="318"/>
    </row>
    <row r="57" spans="1:22" ht="15.6" hidden="1" outlineLevel="1">
      <c r="A57" s="425"/>
      <c r="B57" s="987" t="s">
        <v>868</v>
      </c>
      <c r="C57" s="987"/>
      <c r="D57" s="919">
        <v>7197</v>
      </c>
      <c r="E57" s="806">
        <v>7293</v>
      </c>
      <c r="F57" s="984">
        <f t="shared" si="1"/>
        <v>1.3338891204668579E-2</v>
      </c>
      <c r="O57" s="318"/>
      <c r="P57" s="321"/>
      <c r="Q57" s="321"/>
      <c r="R57" s="321"/>
      <c r="S57" s="1312"/>
      <c r="T57" s="1312"/>
      <c r="U57" s="318"/>
      <c r="V57" s="318"/>
    </row>
    <row r="58" spans="1:22" ht="15.6" hidden="1" outlineLevel="1">
      <c r="A58" s="425"/>
      <c r="B58" s="987" t="s">
        <v>869</v>
      </c>
      <c r="C58" s="987"/>
      <c r="D58" s="919">
        <v>7715</v>
      </c>
      <c r="E58" s="806">
        <v>7818</v>
      </c>
      <c r="F58" s="984">
        <f t="shared" si="1"/>
        <v>1.335061568373308E-2</v>
      </c>
      <c r="O58" s="318"/>
      <c r="P58" s="321"/>
      <c r="Q58" s="321"/>
      <c r="R58" s="321"/>
      <c r="S58" s="1312"/>
      <c r="T58" s="1312"/>
      <c r="U58" s="318"/>
      <c r="V58" s="318"/>
    </row>
    <row r="59" spans="1:22" ht="15.6" hidden="1" outlineLevel="1">
      <c r="A59" s="425"/>
      <c r="B59" s="987" t="s">
        <v>847</v>
      </c>
      <c r="C59" s="987"/>
      <c r="D59" s="919">
        <v>8764</v>
      </c>
      <c r="E59" s="806">
        <v>8881</v>
      </c>
      <c r="F59" s="984">
        <f>E59/D59-1</f>
        <v>1.3350068461889464E-2</v>
      </c>
      <c r="O59" s="318"/>
      <c r="P59" s="321"/>
      <c r="Q59" s="321"/>
      <c r="R59" s="321"/>
      <c r="S59" s="1312"/>
      <c r="T59" s="1312"/>
      <c r="U59" s="318"/>
      <c r="V59" s="318"/>
    </row>
    <row r="60" spans="1:22" ht="15.6" hidden="1" outlineLevel="1">
      <c r="A60" s="425"/>
      <c r="B60" s="987" t="s">
        <v>870</v>
      </c>
      <c r="C60" s="987"/>
      <c r="D60" s="919">
        <v>6980</v>
      </c>
      <c r="E60" s="806">
        <v>7074</v>
      </c>
      <c r="F60" s="984">
        <f t="shared" si="1"/>
        <v>1.346704871060167E-2</v>
      </c>
      <c r="O60" s="318"/>
      <c r="P60" s="321"/>
      <c r="Q60" s="321"/>
      <c r="R60" s="321"/>
      <c r="S60" s="1312"/>
      <c r="T60" s="1312"/>
      <c r="U60" s="318"/>
      <c r="V60" s="318"/>
    </row>
    <row r="61" spans="1:22" ht="15.6" hidden="1" outlineLevel="1">
      <c r="A61" s="425"/>
      <c r="B61" s="987" t="s">
        <v>871</v>
      </c>
      <c r="C61" s="987"/>
      <c r="D61" s="919">
        <v>10367</v>
      </c>
      <c r="E61" s="806">
        <v>10501</v>
      </c>
      <c r="F61" s="984">
        <f t="shared" si="1"/>
        <v>1.2925629400983851E-2</v>
      </c>
      <c r="O61" s="318"/>
      <c r="P61" s="321"/>
      <c r="Q61" s="321"/>
      <c r="R61" s="321"/>
      <c r="S61" s="1312"/>
      <c r="T61" s="1312"/>
      <c r="U61" s="318"/>
      <c r="V61" s="318"/>
    </row>
    <row r="62" spans="1:22" ht="15.6" hidden="1" outlineLevel="1">
      <c r="A62" s="425"/>
      <c r="O62" s="318"/>
      <c r="P62" s="321"/>
      <c r="Q62" s="321"/>
      <c r="R62" s="321"/>
      <c r="S62" s="1312"/>
      <c r="T62" s="1312"/>
      <c r="U62" s="318"/>
      <c r="V62" s="318"/>
    </row>
    <row r="63" spans="1:22" ht="15.6" hidden="1" outlineLevel="1">
      <c r="A63" s="425"/>
      <c r="B63" s="330" t="s">
        <v>839</v>
      </c>
      <c r="C63" s="330"/>
      <c r="O63" s="318"/>
      <c r="P63" s="321"/>
      <c r="Q63" s="321"/>
      <c r="R63" s="321"/>
      <c r="S63" s="1312"/>
      <c r="T63" s="1312"/>
      <c r="U63" s="318"/>
      <c r="V63" s="318"/>
    </row>
    <row r="64" spans="1:22" ht="15.6" hidden="1" outlineLevel="1">
      <c r="A64" s="425"/>
      <c r="B64" s="783" t="s">
        <v>872</v>
      </c>
      <c r="C64" s="783"/>
      <c r="D64" s="770"/>
      <c r="E64" s="770"/>
      <c r="O64" s="318"/>
      <c r="P64" s="321"/>
      <c r="Q64" s="321"/>
      <c r="R64" s="321"/>
      <c r="S64" s="1312"/>
      <c r="T64" s="1312"/>
      <c r="U64" s="318"/>
      <c r="V64" s="318"/>
    </row>
    <row r="65" spans="1:22" ht="15.6" hidden="1" outlineLevel="1">
      <c r="A65" s="425"/>
      <c r="B65" s="330"/>
      <c r="C65" s="330"/>
      <c r="E65" s="770"/>
      <c r="O65" s="318"/>
      <c r="P65" s="321"/>
      <c r="Q65" s="321"/>
      <c r="R65" s="321"/>
      <c r="S65" s="1312"/>
      <c r="T65" s="1312"/>
      <c r="U65" s="318"/>
      <c r="V65" s="318"/>
    </row>
    <row r="66" spans="1:22" ht="25.5" hidden="1" customHeight="1" outlineLevel="1">
      <c r="A66" s="425"/>
      <c r="B66" s="779" t="s">
        <v>840</v>
      </c>
      <c r="C66" s="779"/>
      <c r="D66" s="1006" t="s">
        <v>873</v>
      </c>
      <c r="E66" s="781" t="s">
        <v>861</v>
      </c>
      <c r="F66" s="985" t="s">
        <v>865</v>
      </c>
      <c r="O66" s="318"/>
      <c r="P66" s="321"/>
      <c r="Q66" s="321"/>
      <c r="R66" s="321"/>
      <c r="S66" s="1312"/>
      <c r="T66" s="1312"/>
      <c r="U66" s="318"/>
      <c r="V66" s="318"/>
    </row>
    <row r="67" spans="1:22" ht="15.6" hidden="1" outlineLevel="1">
      <c r="A67" s="425"/>
      <c r="B67" s="318" t="s">
        <v>866</v>
      </c>
      <c r="C67" s="318"/>
      <c r="D67" s="424">
        <f t="shared" ref="D67:E70" si="2">+D55*$D$46</f>
        <v>7494</v>
      </c>
      <c r="E67" s="798">
        <f t="shared" si="2"/>
        <v>7594</v>
      </c>
      <c r="F67" s="984">
        <f t="shared" ref="F67:F73" si="3">E67/D67-1</f>
        <v>1.3344008540165486E-2</v>
      </c>
      <c r="O67" s="318"/>
      <c r="P67" s="321"/>
      <c r="Q67" s="321"/>
      <c r="R67" s="321"/>
      <c r="S67" s="1312"/>
      <c r="T67" s="1312"/>
      <c r="U67" s="318"/>
      <c r="V67" s="318"/>
    </row>
    <row r="68" spans="1:22" ht="15.6" hidden="1" outlineLevel="1">
      <c r="A68" s="425"/>
      <c r="B68" s="1007" t="s">
        <v>844</v>
      </c>
      <c r="C68" s="1007"/>
      <c r="D68" s="908">
        <f t="shared" si="2"/>
        <v>8093</v>
      </c>
      <c r="E68" s="806">
        <f t="shared" si="2"/>
        <v>8197</v>
      </c>
      <c r="F68" s="984">
        <f t="shared" si="3"/>
        <v>1.2850611639688703E-2</v>
      </c>
      <c r="O68" s="318"/>
      <c r="P68" s="321"/>
      <c r="Q68" s="321"/>
      <c r="R68" s="321"/>
      <c r="S68" s="1312"/>
      <c r="T68" s="1312"/>
      <c r="U68" s="318"/>
      <c r="V68" s="318"/>
    </row>
    <row r="69" spans="1:22" ht="15.6" hidden="1" outlineLevel="1">
      <c r="A69" s="425"/>
      <c r="B69" s="1007" t="s">
        <v>845</v>
      </c>
      <c r="C69" s="1007"/>
      <c r="D69" s="908">
        <f t="shared" si="2"/>
        <v>7197</v>
      </c>
      <c r="E69" s="806">
        <f t="shared" si="2"/>
        <v>7293</v>
      </c>
      <c r="F69" s="984">
        <f t="shared" si="3"/>
        <v>1.3338891204668579E-2</v>
      </c>
      <c r="O69" s="318"/>
      <c r="P69" s="321"/>
      <c r="Q69" s="321"/>
      <c r="R69" s="321"/>
      <c r="S69" s="1312"/>
      <c r="T69" s="1312"/>
      <c r="U69" s="318"/>
      <c r="V69" s="318"/>
    </row>
    <row r="70" spans="1:22" ht="15.6" hidden="1" outlineLevel="1">
      <c r="A70" s="425"/>
      <c r="B70" s="1007" t="s">
        <v>846</v>
      </c>
      <c r="C70" s="1007"/>
      <c r="D70" s="908">
        <f t="shared" si="2"/>
        <v>7715</v>
      </c>
      <c r="E70" s="806">
        <f t="shared" si="2"/>
        <v>7818</v>
      </c>
      <c r="F70" s="984">
        <f t="shared" si="3"/>
        <v>1.335061568373308E-2</v>
      </c>
      <c r="O70" s="318"/>
      <c r="P70" s="321"/>
      <c r="Q70" s="321"/>
      <c r="R70" s="321"/>
      <c r="S70" s="1312"/>
      <c r="T70" s="1312"/>
      <c r="U70" s="318"/>
      <c r="V70" s="318"/>
    </row>
    <row r="71" spans="1:22" ht="15.6" hidden="1" outlineLevel="1">
      <c r="A71" s="425"/>
      <c r="B71" s="1007" t="s">
        <v>847</v>
      </c>
      <c r="C71" s="1007"/>
      <c r="D71" s="908">
        <v>8764</v>
      </c>
      <c r="E71" s="806">
        <v>8881</v>
      </c>
      <c r="F71" s="984">
        <f>E71/D71-1</f>
        <v>1.3350068461889464E-2</v>
      </c>
      <c r="O71" s="318"/>
      <c r="P71" s="321"/>
      <c r="Q71" s="321"/>
      <c r="R71" s="321"/>
      <c r="S71" s="1312"/>
      <c r="T71" s="1312"/>
      <c r="U71" s="318"/>
      <c r="V71" s="318"/>
    </row>
    <row r="72" spans="1:22" ht="15.6" hidden="1" outlineLevel="1">
      <c r="A72" s="425"/>
      <c r="B72" s="1007" t="s">
        <v>874</v>
      </c>
      <c r="C72" s="1007"/>
      <c r="D72" s="908">
        <f>+D60*$D$46</f>
        <v>6980</v>
      </c>
      <c r="E72" s="806">
        <f>+E60*$D$46</f>
        <v>7074</v>
      </c>
      <c r="F72" s="984">
        <f>E72/D72-1</f>
        <v>1.346704871060167E-2</v>
      </c>
      <c r="O72" s="318"/>
      <c r="P72" s="321"/>
      <c r="Q72" s="321"/>
      <c r="R72" s="321"/>
      <c r="S72" s="1312"/>
      <c r="T72" s="1312"/>
      <c r="U72" s="318"/>
      <c r="V72" s="318"/>
    </row>
    <row r="73" spans="1:22" ht="15.6" hidden="1" outlineLevel="1">
      <c r="A73" s="425"/>
      <c r="B73" s="1008" t="s">
        <v>850</v>
      </c>
      <c r="C73" s="1008"/>
      <c r="D73" s="1009">
        <f>+D61*$D$46</f>
        <v>10367</v>
      </c>
      <c r="E73" s="1010">
        <f>+E61*$D$46</f>
        <v>10501</v>
      </c>
      <c r="F73" s="1011">
        <f t="shared" si="3"/>
        <v>1.2925629400983851E-2</v>
      </c>
      <c r="O73" s="318"/>
      <c r="P73" s="321"/>
      <c r="Q73" s="321"/>
      <c r="R73" s="321"/>
      <c r="S73" s="1312"/>
      <c r="T73" s="1312"/>
      <c r="U73" s="318"/>
      <c r="V73" s="318"/>
    </row>
    <row r="74" spans="1:22" ht="15.6" hidden="1" outlineLevel="1">
      <c r="A74" s="425"/>
      <c r="O74" s="318"/>
      <c r="P74" s="321"/>
      <c r="Q74" s="321"/>
      <c r="R74" s="321"/>
      <c r="S74" s="1312"/>
      <c r="T74" s="1312"/>
      <c r="U74" s="318"/>
      <c r="V74" s="318"/>
    </row>
    <row r="75" spans="1:22" ht="15.6" hidden="1" outlineLevel="1">
      <c r="A75" s="425"/>
      <c r="B75" s="809" t="s">
        <v>852</v>
      </c>
      <c r="C75" s="809"/>
      <c r="D75" s="810"/>
      <c r="E75" s="810"/>
      <c r="G75" s="781" t="s">
        <v>875</v>
      </c>
      <c r="O75" s="318"/>
      <c r="P75" s="321"/>
      <c r="Q75" s="321"/>
      <c r="R75" s="321"/>
      <c r="S75" s="1312"/>
      <c r="T75" s="1312"/>
      <c r="U75" s="318"/>
      <c r="V75" s="318"/>
    </row>
    <row r="76" spans="1:22" ht="15.6" hidden="1" outlineLevel="1">
      <c r="A76" s="425"/>
      <c r="B76" s="776" t="s">
        <v>876</v>
      </c>
      <c r="C76" s="776"/>
      <c r="D76" s="777"/>
      <c r="E76" s="804"/>
      <c r="H76">
        <v>7197</v>
      </c>
      <c r="O76" s="318"/>
      <c r="P76" s="321"/>
      <c r="Q76" s="321"/>
      <c r="R76" s="321"/>
      <c r="S76" s="1312"/>
      <c r="T76" s="1312"/>
      <c r="U76" s="318"/>
      <c r="V76" s="318"/>
    </row>
    <row r="77" spans="1:22" ht="15.6" hidden="1" outlineLevel="1">
      <c r="A77" s="425"/>
      <c r="B77" s="784" t="s">
        <v>853</v>
      </c>
      <c r="C77" s="784"/>
      <c r="D77" s="1265">
        <v>0.38284007225232736</v>
      </c>
      <c r="E77" s="1266">
        <v>0.33</v>
      </c>
      <c r="F77" t="s">
        <v>877</v>
      </c>
      <c r="G77" s="1015">
        <f>+$D$69*D77</f>
        <v>2755.3</v>
      </c>
      <c r="H77" s="1016">
        <f>+$H$76+G77</f>
        <v>9952.2999999999993</v>
      </c>
      <c r="O77" s="318"/>
      <c r="P77" s="321"/>
      <c r="Q77" s="321"/>
      <c r="R77" s="321"/>
      <c r="S77" s="1312"/>
      <c r="T77" s="1312"/>
      <c r="U77" s="318"/>
      <c r="V77" s="318"/>
    </row>
    <row r="78" spans="1:22" ht="15.6" hidden="1" outlineLevel="1">
      <c r="A78" s="425"/>
      <c r="B78" s="805" t="s">
        <v>855</v>
      </c>
      <c r="C78" s="805"/>
      <c r="D78" s="855">
        <v>0.24</v>
      </c>
      <c r="E78" s="855">
        <v>0.23</v>
      </c>
      <c r="G78" s="424">
        <f>+$D$69*D78</f>
        <v>1727.28</v>
      </c>
      <c r="H78" s="1016">
        <f>+$H$76+G78</f>
        <v>8924.2800000000007</v>
      </c>
      <c r="O78" s="318"/>
      <c r="P78" s="321"/>
      <c r="Q78" s="321"/>
      <c r="R78" s="321"/>
      <c r="S78" s="1312"/>
      <c r="T78" s="1312"/>
      <c r="U78" s="318"/>
      <c r="V78" s="318"/>
    </row>
    <row r="79" spans="1:22" ht="15.6" hidden="1" outlineLevel="1">
      <c r="A79" s="425"/>
      <c r="B79" s="805" t="s">
        <v>1159</v>
      </c>
      <c r="C79" s="805"/>
      <c r="D79" s="855">
        <v>0.03</v>
      </c>
      <c r="E79" s="855">
        <v>0.03</v>
      </c>
      <c r="G79" s="424">
        <f>+$D$69*D79</f>
        <v>215.91</v>
      </c>
      <c r="H79" s="1016">
        <f>+$H$76+G79</f>
        <v>7412.91</v>
      </c>
      <c r="I79" s="1017" t="s">
        <v>1226</v>
      </c>
      <c r="O79" s="318"/>
      <c r="P79" s="321"/>
      <c r="Q79" s="321"/>
      <c r="R79" s="321"/>
      <c r="S79" s="1312"/>
      <c r="T79" s="1312"/>
      <c r="U79" s="318"/>
      <c r="V79" s="318"/>
    </row>
    <row r="80" spans="1:22" ht="15.6" hidden="1" outlineLevel="1">
      <c r="A80" s="426"/>
      <c r="B80" s="805" t="s">
        <v>856</v>
      </c>
      <c r="C80" s="805"/>
      <c r="D80" s="855">
        <v>0.12</v>
      </c>
      <c r="E80" s="855">
        <v>0.12</v>
      </c>
      <c r="G80" s="424">
        <f>+$D$69*D80</f>
        <v>863.64</v>
      </c>
      <c r="H80" s="1016">
        <f>+$H$76+G80</f>
        <v>8060.64</v>
      </c>
      <c r="O80" s="649"/>
      <c r="P80" s="324"/>
      <c r="Q80" s="980"/>
      <c r="R80" s="981"/>
      <c r="S80" s="982"/>
      <c r="T80" s="981"/>
      <c r="U80" s="318"/>
      <c r="V80" s="318"/>
    </row>
    <row r="81" spans="1:22" ht="15.6" hidden="1" outlineLevel="1">
      <c r="A81" s="318"/>
      <c r="H81" s="872"/>
      <c r="I81" s="871"/>
      <c r="J81" s="872"/>
      <c r="K81" s="877"/>
      <c r="L81" s="872"/>
      <c r="M81" s="871"/>
      <c r="O81" s="325"/>
      <c r="P81" s="326"/>
      <c r="Q81" s="327"/>
      <c r="R81" s="327"/>
      <c r="S81" s="327"/>
      <c r="T81" s="327"/>
      <c r="U81" s="318"/>
      <c r="V81" s="318"/>
    </row>
    <row r="82" spans="1:22" ht="15.6" hidden="1" outlineLevel="2">
      <c r="A82" s="318"/>
      <c r="B82" s="779" t="s">
        <v>878</v>
      </c>
      <c r="C82" s="779"/>
      <c r="D82" s="345"/>
      <c r="O82" s="325"/>
      <c r="P82" s="326"/>
      <c r="Q82" s="327"/>
      <c r="R82" s="327"/>
      <c r="S82" s="327"/>
      <c r="T82" s="327"/>
      <c r="U82" s="318"/>
      <c r="V82" s="318"/>
    </row>
    <row r="83" spans="1:22" ht="15.6" hidden="1" outlineLevel="2">
      <c r="A83" s="318"/>
      <c r="B83" s="834" t="s">
        <v>879</v>
      </c>
      <c r="C83" s="834"/>
      <c r="D83" s="934">
        <f>+J170</f>
        <v>150</v>
      </c>
      <c r="E83" s="1"/>
      <c r="F83" s="863"/>
      <c r="S83" s="327"/>
      <c r="T83" s="327"/>
      <c r="U83" s="318"/>
      <c r="V83" s="318"/>
    </row>
    <row r="84" spans="1:22" ht="15.6" hidden="1" outlineLevel="2">
      <c r="A84" s="318"/>
      <c r="B84" s="833" t="s">
        <v>880</v>
      </c>
      <c r="C84" s="833"/>
      <c r="D84" s="935">
        <f>+J205</f>
        <v>327</v>
      </c>
      <c r="I84" s="326"/>
      <c r="S84" s="327"/>
      <c r="T84" s="327"/>
      <c r="U84" s="318"/>
      <c r="V84" s="318"/>
    </row>
    <row r="85" spans="1:22" ht="15.6" hidden="1" outlineLevel="2">
      <c r="A85" s="318"/>
      <c r="B85" s="835"/>
      <c r="C85" s="835"/>
      <c r="D85" s="815">
        <f>SUM(D83:D84)</f>
        <v>477</v>
      </c>
      <c r="F85" s="1"/>
      <c r="I85" s="326"/>
      <c r="S85" s="327"/>
      <c r="T85" s="327"/>
      <c r="U85" s="318"/>
      <c r="V85" s="318"/>
    </row>
    <row r="86" spans="1:22" ht="15.6" hidden="1" outlineLevel="2">
      <c r="A86" s="318"/>
      <c r="D86" s="4"/>
      <c r="F86" s="1"/>
      <c r="I86" s="326"/>
      <c r="S86" s="327"/>
      <c r="T86" s="327"/>
      <c r="U86" s="318"/>
      <c r="V86" s="318"/>
    </row>
    <row r="87" spans="1:22" ht="15.6" hidden="1" outlineLevel="2">
      <c r="A87" s="318"/>
      <c r="B87" s="873" t="s">
        <v>881</v>
      </c>
      <c r="C87" s="873"/>
      <c r="D87" s="873"/>
      <c r="F87" s="1"/>
      <c r="I87" s="326"/>
      <c r="S87" s="327"/>
      <c r="T87" s="327"/>
      <c r="U87" s="318"/>
      <c r="V87" s="318"/>
    </row>
    <row r="88" spans="1:22" ht="15.6" hidden="1" outlineLevel="2">
      <c r="A88" s="318"/>
      <c r="B88" s="869" t="s">
        <v>882</v>
      </c>
      <c r="C88" s="870"/>
      <c r="D88" s="870"/>
      <c r="F88" s="1"/>
      <c r="I88" s="326"/>
      <c r="S88" s="327"/>
      <c r="T88" s="327"/>
      <c r="U88" s="318"/>
      <c r="V88" s="318"/>
    </row>
    <row r="89" spans="1:22" ht="15.6" hidden="1" outlineLevel="2">
      <c r="A89" s="318"/>
      <c r="B89" s="871"/>
      <c r="C89" s="872"/>
      <c r="D89" s="871"/>
      <c r="F89" s="1"/>
      <c r="S89" s="327"/>
      <c r="T89" s="327"/>
      <c r="U89" s="318"/>
      <c r="V89" s="318"/>
    </row>
    <row r="90" spans="1:22" ht="15.6" hidden="1" outlineLevel="2">
      <c r="A90" s="318"/>
      <c r="B90" s="885" t="s">
        <v>883</v>
      </c>
      <c r="C90" s="872"/>
      <c r="D90" s="886">
        <v>500</v>
      </c>
      <c r="F90" s="1"/>
      <c r="S90" s="327"/>
      <c r="T90" s="327"/>
      <c r="U90" s="318"/>
      <c r="V90" s="318"/>
    </row>
    <row r="91" spans="1:22" ht="15.6" hidden="1" outlineLevel="2">
      <c r="A91" s="318"/>
      <c r="B91" s="885" t="s">
        <v>884</v>
      </c>
      <c r="C91" s="872"/>
      <c r="D91" s="886">
        <v>250</v>
      </c>
      <c r="F91" s="1"/>
      <c r="S91" s="327"/>
      <c r="T91" s="327"/>
      <c r="U91" s="318"/>
      <c r="V91" s="318"/>
    </row>
    <row r="92" spans="1:22" ht="15.6" hidden="1" outlineLevel="2">
      <c r="A92" s="318"/>
      <c r="B92" s="885" t="s">
        <v>885</v>
      </c>
      <c r="C92" s="872"/>
      <c r="D92" s="936">
        <f>SUM(B97,B99,B101,B103)</f>
        <v>318</v>
      </c>
      <c r="E92" s="937"/>
      <c r="F92" s="1"/>
      <c r="S92" s="327"/>
      <c r="T92" s="327"/>
      <c r="U92" s="318"/>
      <c r="V92" s="318"/>
    </row>
    <row r="93" spans="1:22" ht="15.6" hidden="1" outlineLevel="2">
      <c r="A93" s="318"/>
      <c r="B93" s="871"/>
      <c r="C93" s="872"/>
      <c r="D93" s="871"/>
      <c r="F93" s="1"/>
      <c r="S93" s="327"/>
      <c r="T93" s="327"/>
      <c r="U93" s="318"/>
      <c r="V93" s="318"/>
    </row>
    <row r="94" spans="1:22" ht="15.6" hidden="1" outlineLevel="2">
      <c r="A94" s="318"/>
      <c r="B94" s="912" t="s">
        <v>886</v>
      </c>
      <c r="C94" s="879"/>
      <c r="D94" s="878"/>
      <c r="E94" s="345"/>
      <c r="F94" s="1"/>
      <c r="G94" t="s">
        <v>498</v>
      </c>
      <c r="K94">
        <v>500</v>
      </c>
      <c r="N94" t="s">
        <v>887</v>
      </c>
      <c r="S94" s="327"/>
      <c r="T94" s="327"/>
      <c r="U94" s="318"/>
      <c r="V94" s="318"/>
    </row>
    <row r="95" spans="1:22" ht="15.6" hidden="1" outlineLevel="2">
      <c r="A95" s="318"/>
      <c r="B95" s="873" t="s">
        <v>888</v>
      </c>
      <c r="C95" s="879"/>
      <c r="D95" s="873" t="s">
        <v>889</v>
      </c>
      <c r="E95" s="878"/>
      <c r="G95" s="871"/>
      <c r="I95" t="s">
        <v>890</v>
      </c>
      <c r="J95" t="s">
        <v>891</v>
      </c>
      <c r="K95" t="s">
        <v>892</v>
      </c>
      <c r="N95" t="s">
        <v>893</v>
      </c>
      <c r="S95" s="327"/>
      <c r="T95" s="327"/>
      <c r="U95" s="318"/>
      <c r="V95" s="318"/>
    </row>
    <row r="96" spans="1:22" ht="15.6" hidden="1" outlineLevel="2">
      <c r="A96" s="318"/>
      <c r="B96" s="870" t="s">
        <v>894</v>
      </c>
      <c r="C96" s="887" t="s">
        <v>895</v>
      </c>
      <c r="D96" s="887" t="s">
        <v>896</v>
      </c>
      <c r="E96" s="887" t="s">
        <v>897</v>
      </c>
      <c r="G96" s="871"/>
      <c r="I96" s="887" t="s">
        <v>898</v>
      </c>
      <c r="J96" s="887" t="s">
        <v>899</v>
      </c>
      <c r="K96" s="887" t="s">
        <v>900</v>
      </c>
      <c r="N96" s="887" t="s">
        <v>901</v>
      </c>
      <c r="S96" s="327"/>
      <c r="T96" s="327"/>
      <c r="U96" s="318"/>
      <c r="V96" s="318"/>
    </row>
    <row r="97" spans="1:28" ht="15.6" hidden="1" outlineLevel="2">
      <c r="A97" s="318"/>
      <c r="B97" s="875">
        <v>45</v>
      </c>
      <c r="C97" s="875">
        <v>0</v>
      </c>
      <c r="D97" s="876">
        <v>10</v>
      </c>
      <c r="E97" s="875">
        <v>15</v>
      </c>
      <c r="G97" s="869" t="s">
        <v>894</v>
      </c>
      <c r="H97" s="938">
        <v>0.5</v>
      </c>
      <c r="I97" s="939">
        <v>0.15</v>
      </c>
      <c r="J97" s="939">
        <v>0.15</v>
      </c>
      <c r="K97" s="4">
        <f>+J97*$K$94</f>
        <v>75</v>
      </c>
      <c r="M97">
        <v>15</v>
      </c>
      <c r="S97" s="327"/>
      <c r="T97" s="327"/>
      <c r="U97" s="318"/>
      <c r="V97" s="318"/>
    </row>
    <row r="98" spans="1:28" ht="15.6" hidden="1" outlineLevel="2">
      <c r="A98" s="318"/>
      <c r="B98" s="870" t="s">
        <v>902</v>
      </c>
      <c r="C98" s="887" t="s">
        <v>903</v>
      </c>
      <c r="D98" s="887" t="s">
        <v>904</v>
      </c>
      <c r="E98" s="871"/>
      <c r="G98" s="940" t="s">
        <v>905</v>
      </c>
      <c r="H98" s="938">
        <v>0.24</v>
      </c>
      <c r="I98" s="939">
        <v>0.2</v>
      </c>
      <c r="J98" s="939">
        <v>0.17</v>
      </c>
      <c r="K98" s="4">
        <f>+J98*$K$94</f>
        <v>85</v>
      </c>
      <c r="M98">
        <v>17</v>
      </c>
      <c r="S98" s="327"/>
      <c r="T98" s="327"/>
      <c r="U98" s="318"/>
      <c r="V98" s="318"/>
    </row>
    <row r="99" spans="1:28" ht="15.6" hidden="1" outlineLevel="2">
      <c r="A99" s="318"/>
      <c r="B99" s="875">
        <v>53</v>
      </c>
      <c r="C99" s="875">
        <v>0</v>
      </c>
      <c r="D99" s="875">
        <v>0</v>
      </c>
      <c r="F99" s="871"/>
      <c r="G99" s="940" t="s">
        <v>902</v>
      </c>
      <c r="H99" s="938">
        <v>0.12</v>
      </c>
      <c r="I99" s="939">
        <v>0.01</v>
      </c>
      <c r="J99" s="939">
        <v>0.01</v>
      </c>
      <c r="K99" s="4">
        <f>+J99*$K$94</f>
        <v>5</v>
      </c>
      <c r="M99">
        <v>4</v>
      </c>
      <c r="S99" s="327"/>
      <c r="T99" s="327"/>
      <c r="U99" s="318"/>
      <c r="V99" s="318"/>
    </row>
    <row r="100" spans="1:28" ht="15.6" hidden="1" outlineLevel="2">
      <c r="A100" s="318"/>
      <c r="B100" s="870" t="s">
        <v>905</v>
      </c>
      <c r="C100" s="887" t="s">
        <v>906</v>
      </c>
      <c r="D100" s="871"/>
      <c r="F100" s="871"/>
      <c r="G100" s="869" t="s">
        <v>907</v>
      </c>
      <c r="H100" s="938">
        <v>0.5</v>
      </c>
      <c r="I100" s="939">
        <v>0.5</v>
      </c>
      <c r="J100" s="939">
        <v>0.5</v>
      </c>
      <c r="K100" s="4">
        <f>+J100*$K$94</f>
        <v>250</v>
      </c>
      <c r="N100" s="938">
        <v>0.8</v>
      </c>
      <c r="S100" s="327"/>
      <c r="T100" s="327"/>
      <c r="U100" s="318"/>
      <c r="V100" s="318"/>
      <c r="AB100">
        <v>0.64</v>
      </c>
    </row>
    <row r="101" spans="1:28" ht="15.6" hidden="1" outlineLevel="2">
      <c r="A101" s="318"/>
      <c r="B101" s="875">
        <v>30</v>
      </c>
      <c r="C101" s="875">
        <v>20</v>
      </c>
      <c r="D101" s="871"/>
      <c r="F101" s="871"/>
      <c r="K101" s="4">
        <f>SUM(K97:K100)</f>
        <v>415</v>
      </c>
      <c r="S101" s="327"/>
      <c r="T101" s="327"/>
      <c r="U101" s="318"/>
      <c r="V101" s="318"/>
    </row>
    <row r="102" spans="1:28" ht="15.6" hidden="1" outlineLevel="2">
      <c r="A102" s="318"/>
      <c r="B102" s="870" t="s">
        <v>907</v>
      </c>
      <c r="C102" s="874"/>
      <c r="D102" s="874"/>
      <c r="F102" s="874"/>
      <c r="I102" s="938">
        <v>0.06</v>
      </c>
      <c r="S102" s="327"/>
      <c r="T102" s="327"/>
      <c r="U102" s="318"/>
      <c r="V102" s="318"/>
    </row>
    <row r="103" spans="1:28" ht="15.6" hidden="1" outlineLevel="2">
      <c r="A103" s="318"/>
      <c r="B103" s="875">
        <v>190</v>
      </c>
      <c r="C103" s="871"/>
      <c r="D103" s="877"/>
      <c r="F103" s="871"/>
      <c r="G103" t="s">
        <v>908</v>
      </c>
      <c r="S103" s="327"/>
      <c r="T103" s="327"/>
      <c r="U103" s="318"/>
      <c r="V103" s="318"/>
    </row>
    <row r="104" spans="1:28" ht="15.6" hidden="1" outlineLevel="2">
      <c r="A104" s="318"/>
      <c r="B104" s="878"/>
      <c r="C104" s="878"/>
      <c r="D104" s="880"/>
      <c r="E104" s="878"/>
      <c r="S104" s="327"/>
      <c r="T104" s="327"/>
      <c r="U104" s="318"/>
      <c r="V104" s="318"/>
    </row>
    <row r="105" spans="1:28" ht="15.6" hidden="1" outlineLevel="2">
      <c r="A105" s="318"/>
      <c r="B105" s="883" t="s">
        <v>909</v>
      </c>
      <c r="C105" s="883"/>
      <c r="D105" s="883"/>
      <c r="E105" s="883"/>
      <c r="S105" s="327"/>
      <c r="T105" s="327"/>
      <c r="U105" s="318"/>
      <c r="V105" s="318"/>
    </row>
    <row r="106" spans="1:28" ht="15.6" hidden="1" outlineLevel="2">
      <c r="A106" s="318"/>
      <c r="B106" s="887" t="s">
        <v>910</v>
      </c>
      <c r="C106" s="887" t="s">
        <v>911</v>
      </c>
      <c r="D106" s="887" t="s">
        <v>912</v>
      </c>
      <c r="E106" s="887" t="s">
        <v>913</v>
      </c>
      <c r="S106" s="327"/>
      <c r="T106" s="327"/>
      <c r="U106" s="318"/>
      <c r="V106" s="318"/>
    </row>
    <row r="107" spans="1:28" ht="15.6" hidden="1" outlineLevel="2">
      <c r="A107" s="318"/>
      <c r="B107" s="875">
        <v>0</v>
      </c>
      <c r="C107" s="875">
        <v>1</v>
      </c>
      <c r="D107" s="876">
        <v>1</v>
      </c>
      <c r="E107" s="875">
        <v>10</v>
      </c>
      <c r="S107" s="327"/>
      <c r="T107" s="327"/>
      <c r="U107" s="318"/>
      <c r="V107" s="318"/>
    </row>
    <row r="108" spans="1:28" ht="15.6" hidden="1" outlineLevel="2">
      <c r="A108" s="318"/>
      <c r="B108" s="887" t="s">
        <v>914</v>
      </c>
      <c r="C108" s="871"/>
      <c r="D108" s="871"/>
      <c r="S108" s="327"/>
      <c r="T108" s="327"/>
      <c r="U108" s="318"/>
      <c r="V108" s="318"/>
    </row>
    <row r="109" spans="1:28" ht="15.6" hidden="1" outlineLevel="2">
      <c r="A109" s="318"/>
      <c r="B109" s="875">
        <v>0</v>
      </c>
      <c r="C109" s="872"/>
      <c r="D109" s="871"/>
      <c r="E109" s="871"/>
      <c r="F109" s="871"/>
      <c r="G109" s="871"/>
      <c r="S109" s="327"/>
      <c r="T109" s="327"/>
      <c r="U109" s="318"/>
      <c r="V109" s="318"/>
    </row>
    <row r="110" spans="1:28" ht="15.6" hidden="1" outlineLevel="2">
      <c r="A110" s="318"/>
      <c r="B110" s="878"/>
      <c r="C110" s="878"/>
      <c r="D110" s="878"/>
      <c r="E110" s="878"/>
      <c r="F110" s="878"/>
      <c r="G110" s="878"/>
      <c r="S110" s="327"/>
      <c r="T110" s="327"/>
      <c r="U110" s="318"/>
      <c r="V110" s="318"/>
    </row>
    <row r="111" spans="1:28" ht="15.6" hidden="1" outlineLevel="2">
      <c r="A111" s="318"/>
      <c r="B111" s="869" t="s">
        <v>915</v>
      </c>
      <c r="C111" s="871"/>
      <c r="D111" s="871"/>
      <c r="E111" s="871"/>
      <c r="F111" s="871"/>
      <c r="G111" s="871"/>
      <c r="S111" s="327"/>
      <c r="T111" s="327"/>
      <c r="U111" s="318"/>
      <c r="V111" s="318"/>
    </row>
    <row r="112" spans="1:28" ht="15.6" hidden="1" outlineLevel="2">
      <c r="A112" s="318"/>
      <c r="B112" s="869" t="s">
        <v>916</v>
      </c>
      <c r="C112" s="871"/>
      <c r="D112" s="871"/>
      <c r="E112" s="871"/>
      <c r="F112" s="872"/>
      <c r="G112" s="871"/>
      <c r="S112" s="327"/>
      <c r="T112" s="327"/>
      <c r="U112" s="318"/>
      <c r="V112" s="318"/>
    </row>
    <row r="113" spans="1:22" ht="15.6" hidden="1" outlineLevel="2">
      <c r="A113" s="318"/>
      <c r="B113" s="869"/>
      <c r="C113" s="871"/>
      <c r="D113" s="871"/>
      <c r="E113" s="871"/>
      <c r="F113" s="872"/>
      <c r="G113" s="871"/>
      <c r="S113" s="327"/>
      <c r="T113" s="327"/>
      <c r="U113" s="318"/>
      <c r="V113" s="318"/>
    </row>
    <row r="114" spans="1:22" ht="15.6" hidden="1" outlineLevel="2">
      <c r="A114" s="318"/>
      <c r="E114" s="884" t="s">
        <v>498</v>
      </c>
      <c r="F114" s="884" t="s">
        <v>917</v>
      </c>
      <c r="G114" s="884" t="s">
        <v>918</v>
      </c>
      <c r="H114" s="884" t="s">
        <v>907</v>
      </c>
      <c r="I114" s="884" t="s">
        <v>919</v>
      </c>
      <c r="J114" s="884" t="s">
        <v>78</v>
      </c>
      <c r="K114" s="884" t="s">
        <v>920</v>
      </c>
      <c r="S114" s="327"/>
      <c r="T114" s="327"/>
      <c r="U114" s="318"/>
      <c r="V114" s="318"/>
    </row>
    <row r="115" spans="1:22" ht="18" hidden="1" outlineLevel="2">
      <c r="A115" s="318"/>
      <c r="C115" s="917" t="str">
        <f>+D48</f>
        <v>SYE 24</v>
      </c>
      <c r="E115" s="881">
        <f>+D91</f>
        <v>250</v>
      </c>
      <c r="F115" s="881">
        <f>B97</f>
        <v>45</v>
      </c>
      <c r="G115" s="881">
        <f>B101-D97-C99-B109-E107</f>
        <v>10</v>
      </c>
      <c r="H115" s="881">
        <f>B103-C101-D99-E97-D107-E107-B109</f>
        <v>144</v>
      </c>
      <c r="I115" s="881">
        <f>B99-C97-C107-D107</f>
        <v>51</v>
      </c>
      <c r="J115" s="888">
        <f>SUM(E115:I115)</f>
        <v>500</v>
      </c>
      <c r="K115" s="4">
        <f>+J115-D90</f>
        <v>0</v>
      </c>
      <c r="S115" s="327"/>
      <c r="T115" s="327"/>
      <c r="U115" s="318"/>
      <c r="V115" s="318"/>
    </row>
    <row r="116" spans="1:22" ht="15.6" hidden="1" outlineLevel="2">
      <c r="A116" s="318"/>
      <c r="D116" s="913" t="s">
        <v>921</v>
      </c>
      <c r="E116" s="914">
        <f t="shared" ref="E116:J116" si="4">+E115/$J$115</f>
        <v>0.5</v>
      </c>
      <c r="F116" s="914">
        <f t="shared" si="4"/>
        <v>0.09</v>
      </c>
      <c r="G116" s="914">
        <f t="shared" si="4"/>
        <v>0.02</v>
      </c>
      <c r="H116" s="930">
        <f t="shared" si="4"/>
        <v>0.28799999999999998</v>
      </c>
      <c r="I116" s="914">
        <f t="shared" si="4"/>
        <v>0.10199999999999999</v>
      </c>
      <c r="J116" s="914">
        <f t="shared" si="4"/>
        <v>1</v>
      </c>
      <c r="S116" s="327"/>
      <c r="T116" s="327"/>
      <c r="U116" s="318"/>
      <c r="V116" s="318"/>
    </row>
    <row r="117" spans="1:22" ht="15.6" hidden="1" outlineLevel="2">
      <c r="A117" s="318"/>
      <c r="D117" s="913" t="s">
        <v>922</v>
      </c>
      <c r="E117" s="915">
        <v>0</v>
      </c>
      <c r="F117" s="915">
        <f>+D77</f>
        <v>0.38284007225232736</v>
      </c>
      <c r="G117" s="915">
        <f>+D78</f>
        <v>0.24</v>
      </c>
      <c r="H117" s="915">
        <f>+D79</f>
        <v>0.03</v>
      </c>
      <c r="I117" s="915">
        <f>+D80</f>
        <v>0.12</v>
      </c>
      <c r="J117" s="874"/>
      <c r="S117" s="327"/>
      <c r="T117" s="327"/>
      <c r="U117" s="318"/>
      <c r="V117" s="318"/>
    </row>
    <row r="118" spans="1:22" ht="15.6" hidden="1" outlineLevel="2">
      <c r="A118" s="318"/>
      <c r="E118" s="882"/>
      <c r="F118" s="882"/>
      <c r="G118" s="882"/>
      <c r="H118" s="882"/>
      <c r="I118" s="882"/>
      <c r="J118" s="874"/>
      <c r="S118" s="327"/>
      <c r="T118" s="327"/>
      <c r="U118" s="318"/>
      <c r="V118" s="318"/>
    </row>
    <row r="119" spans="1:22" ht="15.6" hidden="1" outlineLevel="2">
      <c r="A119" s="318"/>
      <c r="B119" s="1" t="s">
        <v>923</v>
      </c>
      <c r="E119" s="909" t="s">
        <v>924</v>
      </c>
      <c r="F119" s="882"/>
      <c r="G119" s="882"/>
      <c r="H119" s="882"/>
      <c r="I119" s="882"/>
      <c r="J119" s="874"/>
      <c r="S119" s="327"/>
      <c r="T119" s="327"/>
      <c r="U119" s="318"/>
      <c r="V119" s="318"/>
    </row>
    <row r="120" spans="1:22" ht="15.6" hidden="1" outlineLevel="2">
      <c r="A120" s="318"/>
      <c r="C120" s="905" t="s">
        <v>925</v>
      </c>
      <c r="D120" s="1"/>
      <c r="E120" s="909" t="s">
        <v>926</v>
      </c>
      <c r="F120" s="909"/>
      <c r="G120" s="909"/>
      <c r="H120" s="909"/>
      <c r="I120" s="909"/>
      <c r="J120" s="870" t="s">
        <v>78</v>
      </c>
      <c r="S120" s="327"/>
      <c r="T120" s="327"/>
      <c r="U120" s="318"/>
      <c r="V120" s="318"/>
    </row>
    <row r="121" spans="1:22" ht="15.6" hidden="1" outlineLevel="2">
      <c r="A121" s="318"/>
      <c r="B121" s="1" t="s">
        <v>927</v>
      </c>
      <c r="C121" s="905" t="s">
        <v>928</v>
      </c>
      <c r="D121" s="905" t="s">
        <v>929</v>
      </c>
      <c r="E121" s="910">
        <f>+J115</f>
        <v>500</v>
      </c>
      <c r="F121" s="911" t="s">
        <v>930</v>
      </c>
      <c r="G121" s="909"/>
      <c r="H121" s="909"/>
      <c r="I121" s="909"/>
      <c r="J121" s="870" t="s">
        <v>926</v>
      </c>
      <c r="S121" s="327"/>
      <c r="T121" s="327"/>
      <c r="U121" s="318"/>
      <c r="V121" s="318"/>
    </row>
    <row r="122" spans="1:22" ht="15.6" hidden="1" outlineLevel="2">
      <c r="A122" s="318">
        <v>1</v>
      </c>
      <c r="B122" t="str">
        <f>$B67</f>
        <v xml:space="preserve">Carson City </v>
      </c>
      <c r="C122" s="890"/>
      <c r="D122" s="424">
        <f>+D67</f>
        <v>7494</v>
      </c>
      <c r="E122" s="921">
        <f>IF($C122="y",$J$115*$D122,0)</f>
        <v>0</v>
      </c>
      <c r="F122" s="921">
        <f t="shared" ref="F122:I128" si="5">IF($C122="y",F$115*F$117*$D122,0)</f>
        <v>0</v>
      </c>
      <c r="G122" s="921">
        <f t="shared" si="5"/>
        <v>0</v>
      </c>
      <c r="H122" s="921">
        <f t="shared" si="5"/>
        <v>0</v>
      </c>
      <c r="I122" s="922">
        <f t="shared" si="5"/>
        <v>0</v>
      </c>
      <c r="J122" s="901">
        <f t="shared" ref="J122:J129" si="6">SUM(E122:I122)</f>
        <v>0</v>
      </c>
      <c r="S122" s="327"/>
      <c r="T122" s="327"/>
      <c r="U122" s="318"/>
      <c r="V122" s="318"/>
    </row>
    <row r="123" spans="1:22" ht="15.6" hidden="1" outlineLevel="2">
      <c r="A123" s="318">
        <f>1+A122</f>
        <v>2</v>
      </c>
      <c r="B123" s="315" t="str">
        <f>$B68</f>
        <v>Churchill</v>
      </c>
      <c r="C123" s="907"/>
      <c r="D123" s="908">
        <f>+D68</f>
        <v>8093</v>
      </c>
      <c r="E123" s="923">
        <f t="shared" ref="E123:E127" si="7">IF($C123="y",$J$115*$D123,0)</f>
        <v>0</v>
      </c>
      <c r="F123" s="923">
        <f t="shared" si="5"/>
        <v>0</v>
      </c>
      <c r="G123" s="923">
        <f t="shared" si="5"/>
        <v>0</v>
      </c>
      <c r="H123" s="923">
        <f t="shared" si="5"/>
        <v>0</v>
      </c>
      <c r="I123" s="924">
        <f t="shared" si="5"/>
        <v>0</v>
      </c>
      <c r="J123" s="901">
        <f t="shared" si="6"/>
        <v>0</v>
      </c>
      <c r="S123" s="327"/>
      <c r="T123" s="327"/>
      <c r="U123" s="318"/>
      <c r="V123" s="318"/>
    </row>
    <row r="124" spans="1:22" ht="15.6" hidden="1" outlineLevel="2">
      <c r="A124" s="318">
        <f t="shared" ref="A124:A126" si="8">1+A123</f>
        <v>3</v>
      </c>
      <c r="B124" s="315" t="str">
        <f>$B69</f>
        <v>Clark</v>
      </c>
      <c r="C124" s="907" t="s">
        <v>931</v>
      </c>
      <c r="D124" s="908">
        <f>+D69</f>
        <v>7197</v>
      </c>
      <c r="E124" s="923">
        <f t="shared" si="7"/>
        <v>3598500</v>
      </c>
      <c r="F124" s="923">
        <f t="shared" si="5"/>
        <v>123988.50000000001</v>
      </c>
      <c r="G124" s="923">
        <f t="shared" si="5"/>
        <v>17272.8</v>
      </c>
      <c r="H124" s="923">
        <f t="shared" si="5"/>
        <v>31091.040000000001</v>
      </c>
      <c r="I124" s="924">
        <f t="shared" si="5"/>
        <v>44045.64</v>
      </c>
      <c r="J124" s="901">
        <f t="shared" si="6"/>
        <v>3814897.98</v>
      </c>
      <c r="S124" s="327"/>
      <c r="T124" s="327"/>
      <c r="U124" s="318"/>
      <c r="V124" s="318"/>
    </row>
    <row r="125" spans="1:22" ht="15.6" hidden="1" outlineLevel="2">
      <c r="A125" s="318">
        <f t="shared" si="8"/>
        <v>4</v>
      </c>
      <c r="B125" s="315" t="str">
        <f>$B70</f>
        <v>Elko</v>
      </c>
      <c r="C125" s="907"/>
      <c r="D125" s="908">
        <f>+D70</f>
        <v>7715</v>
      </c>
      <c r="E125" s="925">
        <f t="shared" si="7"/>
        <v>0</v>
      </c>
      <c r="F125" s="925">
        <f t="shared" si="5"/>
        <v>0</v>
      </c>
      <c r="G125" s="925">
        <f t="shared" si="5"/>
        <v>0</v>
      </c>
      <c r="H125" s="925">
        <f t="shared" si="5"/>
        <v>0</v>
      </c>
      <c r="I125" s="926">
        <f t="shared" si="5"/>
        <v>0</v>
      </c>
      <c r="J125" s="901">
        <f t="shared" si="6"/>
        <v>0</v>
      </c>
      <c r="S125" s="327"/>
      <c r="T125" s="327"/>
      <c r="U125" s="318"/>
      <c r="V125" s="318"/>
    </row>
    <row r="126" spans="1:22" ht="15.6" hidden="1" outlineLevel="2">
      <c r="A126" s="318">
        <f t="shared" si="8"/>
        <v>5</v>
      </c>
      <c r="B126" s="315" t="str">
        <f t="shared" ref="B126" si="9">$B72</f>
        <v>Washoe</v>
      </c>
      <c r="C126" s="907"/>
      <c r="D126" s="908">
        <f t="shared" ref="D126:D127" si="10">+D72</f>
        <v>6980</v>
      </c>
      <c r="E126" s="925">
        <f t="shared" si="7"/>
        <v>0</v>
      </c>
      <c r="F126" s="925">
        <f t="shared" si="5"/>
        <v>0</v>
      </c>
      <c r="G126" s="925">
        <f t="shared" si="5"/>
        <v>0</v>
      </c>
      <c r="H126" s="925">
        <f t="shared" si="5"/>
        <v>0</v>
      </c>
      <c r="I126" s="926">
        <f t="shared" si="5"/>
        <v>0</v>
      </c>
      <c r="J126" s="901">
        <f t="shared" si="6"/>
        <v>0</v>
      </c>
      <c r="S126" s="327"/>
      <c r="T126" s="327"/>
      <c r="U126" s="318"/>
      <c r="V126" s="318"/>
    </row>
    <row r="127" spans="1:22" ht="15.6" hidden="1" outlineLevel="2">
      <c r="A127" s="318">
        <f>1+A126</f>
        <v>6</v>
      </c>
      <c r="B127" t="str">
        <f>$B73</f>
        <v>White Pine</v>
      </c>
      <c r="C127" s="890"/>
      <c r="D127" s="424">
        <f t="shared" si="10"/>
        <v>10367</v>
      </c>
      <c r="E127" s="927">
        <f t="shared" si="7"/>
        <v>0</v>
      </c>
      <c r="F127" s="927">
        <f t="shared" si="5"/>
        <v>0</v>
      </c>
      <c r="G127" s="927">
        <f t="shared" si="5"/>
        <v>0</v>
      </c>
      <c r="H127" s="927">
        <f t="shared" si="5"/>
        <v>0</v>
      </c>
      <c r="I127" s="928">
        <f t="shared" si="5"/>
        <v>0</v>
      </c>
      <c r="J127" s="902">
        <f t="shared" si="6"/>
        <v>0</v>
      </c>
      <c r="S127" s="327"/>
      <c r="T127" s="327"/>
      <c r="U127" s="318"/>
      <c r="V127" s="318"/>
    </row>
    <row r="128" spans="1:22" ht="15.6" hidden="1" outlineLevel="2">
      <c r="A128" s="318"/>
      <c r="B128" s="944" t="s">
        <v>932</v>
      </c>
      <c r="C128" s="891"/>
      <c r="D128" s="889">
        <f>+D50</f>
        <v>8966</v>
      </c>
      <c r="E128" s="894">
        <f>IF($C128="y",$J$115*$D128,0)</f>
        <v>0</v>
      </c>
      <c r="F128" s="894">
        <f t="shared" si="5"/>
        <v>0</v>
      </c>
      <c r="G128" s="894">
        <f t="shared" si="5"/>
        <v>0</v>
      </c>
      <c r="H128" s="894">
        <f t="shared" si="5"/>
        <v>0</v>
      </c>
      <c r="I128" s="903">
        <f t="shared" si="5"/>
        <v>0</v>
      </c>
      <c r="J128" s="904">
        <f t="shared" si="6"/>
        <v>0</v>
      </c>
      <c r="K128" t="s">
        <v>933</v>
      </c>
      <c r="S128" s="327"/>
      <c r="T128" s="327"/>
      <c r="U128" s="318"/>
      <c r="V128" s="318"/>
    </row>
    <row r="129" spans="1:22" ht="15.6" hidden="1" outlineLevel="2">
      <c r="A129" s="318"/>
      <c r="C129" s="906" t="str">
        <f>IF(COUNTIF(C122:C128,"y")&gt;1,"Error: Select 1 area","ok")</f>
        <v>ok</v>
      </c>
      <c r="E129" s="848">
        <f>SUM(E122:E128)</f>
        <v>3598500</v>
      </c>
      <c r="F129" s="848">
        <f>SUM(F122:F128)</f>
        <v>123988.50000000001</v>
      </c>
      <c r="G129" s="848">
        <f>SUM(G122:G128)</f>
        <v>17272.8</v>
      </c>
      <c r="H129" s="848">
        <f>SUM(H122:H128)</f>
        <v>31091.040000000001</v>
      </c>
      <c r="I129" s="848">
        <f>SUM(I122:I128)</f>
        <v>44045.64</v>
      </c>
      <c r="J129" s="850">
        <f t="shared" si="6"/>
        <v>3814897.98</v>
      </c>
      <c r="S129" s="327"/>
      <c r="T129" s="327"/>
      <c r="U129" s="318"/>
      <c r="V129" s="318"/>
    </row>
    <row r="130" spans="1:22" ht="15.6" hidden="1" outlineLevel="2">
      <c r="A130" s="318"/>
      <c r="B130" s="931"/>
      <c r="C130" s="931"/>
      <c r="D130" s="931" t="s">
        <v>929</v>
      </c>
      <c r="E130" s="932">
        <f>+E129/J115</f>
        <v>7197</v>
      </c>
      <c r="F130" s="932">
        <f>+F129/F115</f>
        <v>2755.3</v>
      </c>
      <c r="G130" s="932">
        <f>+G129/G115</f>
        <v>1727.28</v>
      </c>
      <c r="H130" s="932">
        <f>+H129/H115</f>
        <v>215.91</v>
      </c>
      <c r="I130" s="932">
        <f>+I129/I115</f>
        <v>863.64</v>
      </c>
      <c r="J130" s="932">
        <f>+J129/J115</f>
        <v>7629.7959600000004</v>
      </c>
      <c r="S130" s="327"/>
      <c r="T130" s="327"/>
      <c r="U130" s="318"/>
      <c r="V130" s="318"/>
    </row>
    <row r="131" spans="1:22" ht="15.6" hidden="1" outlineLevel="2">
      <c r="A131" s="318"/>
      <c r="B131" s="931"/>
      <c r="C131" s="931"/>
      <c r="D131" s="931"/>
      <c r="E131" s="933">
        <f t="shared" ref="E131:J131" si="11">+E130/$E$130</f>
        <v>1</v>
      </c>
      <c r="F131" s="933">
        <f t="shared" si="11"/>
        <v>0.38284007225232736</v>
      </c>
      <c r="G131" s="933">
        <f t="shared" si="11"/>
        <v>0.24</v>
      </c>
      <c r="H131" s="933">
        <f t="shared" si="11"/>
        <v>0.03</v>
      </c>
      <c r="I131" s="933">
        <f t="shared" si="11"/>
        <v>0.12</v>
      </c>
      <c r="J131" s="933">
        <f t="shared" si="11"/>
        <v>1.0601356065027094</v>
      </c>
      <c r="S131" s="327"/>
      <c r="T131" s="327"/>
      <c r="U131" s="318"/>
      <c r="V131" s="318"/>
    </row>
    <row r="132" spans="1:22" ht="15.6" hidden="1" outlineLevel="2" collapsed="1">
      <c r="A132" s="318"/>
      <c r="B132" s="931"/>
      <c r="C132" s="931"/>
      <c r="D132" s="931"/>
      <c r="E132" s="933"/>
      <c r="F132" s="933"/>
      <c r="G132" s="933"/>
      <c r="H132" s="933"/>
      <c r="I132" s="933"/>
      <c r="J132" s="933"/>
      <c r="S132" s="327"/>
      <c r="T132" s="327"/>
      <c r="U132" s="318"/>
      <c r="V132" s="318"/>
    </row>
    <row r="133" spans="1:22" ht="15.6" hidden="1" outlineLevel="2">
      <c r="A133" s="318"/>
      <c r="E133" s="884" t="s">
        <v>498</v>
      </c>
      <c r="F133" s="884" t="s">
        <v>917</v>
      </c>
      <c r="G133" s="884" t="s">
        <v>918</v>
      </c>
      <c r="H133" s="884" t="s">
        <v>907</v>
      </c>
      <c r="I133" s="884" t="s">
        <v>919</v>
      </c>
      <c r="J133" s="884" t="s">
        <v>78</v>
      </c>
      <c r="S133" s="327"/>
      <c r="T133" s="327"/>
      <c r="U133" s="318"/>
      <c r="V133" s="318"/>
    </row>
    <row r="134" spans="1:22" ht="15.6" hidden="1" outlineLevel="2">
      <c r="A134" s="318"/>
      <c r="E134" s="881">
        <f>+E115</f>
        <v>250</v>
      </c>
      <c r="F134" s="881">
        <f>+F115</f>
        <v>45</v>
      </c>
      <c r="G134" s="881">
        <f>+G115</f>
        <v>10</v>
      </c>
      <c r="H134" s="881">
        <f>+H115</f>
        <v>144</v>
      </c>
      <c r="I134" s="881">
        <f>+I115</f>
        <v>51</v>
      </c>
      <c r="J134" s="888">
        <f>SUM(E134:I134)</f>
        <v>500</v>
      </c>
      <c r="S134" s="327"/>
      <c r="T134" s="327"/>
      <c r="U134" s="318"/>
      <c r="V134" s="318"/>
    </row>
    <row r="135" spans="1:22" ht="15.6" hidden="1" outlineLevel="2">
      <c r="A135" s="318"/>
      <c r="D135" s="913" t="s">
        <v>921</v>
      </c>
      <c r="E135" s="914">
        <f>+E134/$J134</f>
        <v>0.5</v>
      </c>
      <c r="F135" s="914">
        <f t="shared" ref="F135:J135" si="12">+F134/$J134</f>
        <v>0.09</v>
      </c>
      <c r="G135" s="914">
        <f t="shared" si="12"/>
        <v>0.02</v>
      </c>
      <c r="H135" s="914">
        <f t="shared" si="12"/>
        <v>0.28799999999999998</v>
      </c>
      <c r="I135" s="914">
        <f t="shared" si="12"/>
        <v>0.10199999999999999</v>
      </c>
      <c r="J135" s="914">
        <f t="shared" si="12"/>
        <v>1</v>
      </c>
      <c r="S135" s="327"/>
      <c r="T135" s="327"/>
      <c r="U135" s="318"/>
      <c r="V135" s="318"/>
    </row>
    <row r="136" spans="1:22" ht="15.6" hidden="1" outlineLevel="2">
      <c r="A136" s="318"/>
      <c r="D136" s="913" t="s">
        <v>922</v>
      </c>
      <c r="E136" s="915">
        <v>0</v>
      </c>
      <c r="F136" s="915">
        <f>E77</f>
        <v>0.33</v>
      </c>
      <c r="G136" s="915">
        <f>E78</f>
        <v>0.23</v>
      </c>
      <c r="H136" s="915">
        <f>E79</f>
        <v>0.03</v>
      </c>
      <c r="I136" s="915">
        <f>E80</f>
        <v>0.12</v>
      </c>
      <c r="J136" s="874"/>
      <c r="S136" s="327"/>
      <c r="T136" s="327"/>
      <c r="U136" s="318"/>
      <c r="V136" s="318"/>
    </row>
    <row r="137" spans="1:22" ht="15.6" hidden="1" outlineLevel="1" collapsed="1">
      <c r="A137" s="318"/>
      <c r="D137" s="913"/>
      <c r="E137" s="882"/>
      <c r="F137" s="882"/>
      <c r="G137" s="882"/>
      <c r="H137" s="882"/>
      <c r="I137" s="882"/>
      <c r="J137" s="874"/>
      <c r="S137" s="327"/>
      <c r="T137" s="327"/>
      <c r="U137" s="318"/>
      <c r="V137" s="318"/>
    </row>
    <row r="138" spans="1:22" ht="18" hidden="1" outlineLevel="1">
      <c r="A138" s="318"/>
      <c r="B138" t="s">
        <v>934</v>
      </c>
      <c r="C138" s="916" t="str">
        <f>+E48</f>
        <v>SYE 25</v>
      </c>
      <c r="D138" s="913"/>
      <c r="E138" s="882"/>
      <c r="F138" s="882"/>
      <c r="G138" s="882"/>
      <c r="H138" s="882"/>
      <c r="I138" s="882"/>
      <c r="J138" s="874"/>
      <c r="S138" s="327"/>
      <c r="T138" s="327"/>
      <c r="U138" s="318"/>
      <c r="V138" s="318"/>
    </row>
    <row r="139" spans="1:22" ht="15.6" hidden="1" outlineLevel="1">
      <c r="A139" s="318"/>
      <c r="D139" s="913"/>
      <c r="E139" s="882"/>
      <c r="F139" s="882"/>
      <c r="G139" s="882"/>
      <c r="H139" s="882"/>
      <c r="I139" s="882"/>
      <c r="J139" s="874"/>
      <c r="S139" s="327"/>
      <c r="T139" s="327"/>
      <c r="U139" s="318"/>
      <c r="V139" s="318"/>
    </row>
    <row r="140" spans="1:22" ht="15.6" hidden="1" outlineLevel="1">
      <c r="A140" s="318"/>
      <c r="B140" s="1" t="s">
        <v>923</v>
      </c>
      <c r="E140" s="882"/>
      <c r="F140" s="882"/>
      <c r="G140" s="882"/>
      <c r="H140" s="882"/>
      <c r="I140" s="882"/>
      <c r="J140" s="874"/>
      <c r="S140" s="327"/>
      <c r="T140" s="327"/>
      <c r="U140" s="318"/>
      <c r="V140" s="318"/>
    </row>
    <row r="141" spans="1:22" ht="15.6" hidden="1" outlineLevel="1">
      <c r="A141" s="318"/>
      <c r="C141" s="905" t="s">
        <v>925</v>
      </c>
      <c r="D141" s="1"/>
      <c r="E141" s="909" t="s">
        <v>935</v>
      </c>
      <c r="F141" s="909"/>
      <c r="G141" s="909"/>
      <c r="H141" s="909"/>
      <c r="I141" s="909"/>
      <c r="J141" s="870" t="s">
        <v>78</v>
      </c>
      <c r="S141" s="327"/>
      <c r="T141" s="327"/>
      <c r="U141" s="318"/>
      <c r="V141" s="318"/>
    </row>
    <row r="142" spans="1:22" ht="15.6" hidden="1" outlineLevel="1">
      <c r="A142" s="318"/>
      <c r="B142" s="778" t="s">
        <v>927</v>
      </c>
      <c r="C142" s="884" t="s">
        <v>928</v>
      </c>
      <c r="D142" s="884" t="str">
        <f t="shared" ref="D142:D149" si="13">+E66</f>
        <v>SYE 23</v>
      </c>
      <c r="E142" s="910">
        <f>+J134</f>
        <v>500</v>
      </c>
      <c r="F142" s="911" t="s">
        <v>930</v>
      </c>
      <c r="G142" s="909"/>
      <c r="H142" s="909"/>
      <c r="I142" s="909"/>
      <c r="J142" s="873" t="s">
        <v>926</v>
      </c>
      <c r="S142" s="327"/>
      <c r="T142" s="327"/>
      <c r="U142" s="318"/>
      <c r="V142" s="318"/>
    </row>
    <row r="143" spans="1:22" ht="15.6" hidden="1" outlineLevel="1">
      <c r="A143" s="318">
        <v>1</v>
      </c>
      <c r="B143" s="787" t="str">
        <f>$B67</f>
        <v xml:space="preserve">Carson City </v>
      </c>
      <c r="C143" s="890"/>
      <c r="D143" s="945">
        <f t="shared" si="13"/>
        <v>7594</v>
      </c>
      <c r="E143" s="895">
        <f t="shared" ref="E143:E150" si="14">IF($C143="y",$J$134*$D143,0)</f>
        <v>0</v>
      </c>
      <c r="F143" s="895">
        <f t="shared" ref="F143:I150" si="15">IF($C143="y",F$134*F$136*$D143,0)</f>
        <v>0</v>
      </c>
      <c r="G143" s="895">
        <f t="shared" si="15"/>
        <v>0</v>
      </c>
      <c r="H143" s="895">
        <f t="shared" si="15"/>
        <v>0</v>
      </c>
      <c r="I143" s="897">
        <f t="shared" si="15"/>
        <v>0</v>
      </c>
      <c r="J143" s="929">
        <f t="shared" ref="J143:J151" si="16">SUM(E143:I143)</f>
        <v>0</v>
      </c>
      <c r="S143" s="327"/>
      <c r="T143" s="327"/>
      <c r="U143" s="318"/>
      <c r="V143" s="318"/>
    </row>
    <row r="144" spans="1:22" ht="15.6" hidden="1" outlineLevel="1">
      <c r="A144" s="318">
        <f>1+A143</f>
        <v>2</v>
      </c>
      <c r="B144" s="943" t="str">
        <f>$B68</f>
        <v>Churchill</v>
      </c>
      <c r="C144" s="907"/>
      <c r="D144" s="946">
        <f t="shared" si="13"/>
        <v>8197</v>
      </c>
      <c r="E144" s="892">
        <f t="shared" si="14"/>
        <v>0</v>
      </c>
      <c r="F144" s="892">
        <f t="shared" si="15"/>
        <v>0</v>
      </c>
      <c r="G144" s="892">
        <f t="shared" si="15"/>
        <v>0</v>
      </c>
      <c r="H144" s="892">
        <f t="shared" si="15"/>
        <v>0</v>
      </c>
      <c r="I144" s="898">
        <f t="shared" si="15"/>
        <v>0</v>
      </c>
      <c r="J144" s="901">
        <f t="shared" si="16"/>
        <v>0</v>
      </c>
      <c r="S144" s="327"/>
      <c r="T144" s="327"/>
      <c r="U144" s="318"/>
      <c r="V144" s="318"/>
    </row>
    <row r="145" spans="1:22" ht="15.6" hidden="1" outlineLevel="1">
      <c r="A145" s="318">
        <f t="shared" ref="A145:A146" si="17">1+A144</f>
        <v>3</v>
      </c>
      <c r="B145" s="943" t="str">
        <f>$B69</f>
        <v>Clark</v>
      </c>
      <c r="C145" s="907"/>
      <c r="D145" s="946">
        <f t="shared" si="13"/>
        <v>7293</v>
      </c>
      <c r="E145" s="892">
        <f t="shared" si="14"/>
        <v>0</v>
      </c>
      <c r="F145" s="892">
        <f t="shared" si="15"/>
        <v>0</v>
      </c>
      <c r="G145" s="892">
        <f t="shared" si="15"/>
        <v>0</v>
      </c>
      <c r="H145" s="892">
        <f t="shared" si="15"/>
        <v>0</v>
      </c>
      <c r="I145" s="898">
        <f t="shared" si="15"/>
        <v>0</v>
      </c>
      <c r="J145" s="901">
        <f t="shared" si="16"/>
        <v>0</v>
      </c>
      <c r="S145" s="327"/>
      <c r="T145" s="327"/>
      <c r="U145" s="318"/>
      <c r="V145" s="318"/>
    </row>
    <row r="146" spans="1:22" ht="15.6" hidden="1" outlineLevel="1">
      <c r="A146" s="318">
        <f t="shared" si="17"/>
        <v>4</v>
      </c>
      <c r="B146" s="943" t="str">
        <f>$B70</f>
        <v>Elko</v>
      </c>
      <c r="C146" s="907"/>
      <c r="D146" s="946">
        <f t="shared" si="13"/>
        <v>7818</v>
      </c>
      <c r="E146" s="893">
        <f t="shared" si="14"/>
        <v>0</v>
      </c>
      <c r="F146" s="893">
        <f t="shared" si="15"/>
        <v>0</v>
      </c>
      <c r="G146" s="893">
        <f t="shared" si="15"/>
        <v>0</v>
      </c>
      <c r="H146" s="893">
        <f t="shared" si="15"/>
        <v>0</v>
      </c>
      <c r="I146" s="899">
        <f t="shared" si="15"/>
        <v>0</v>
      </c>
      <c r="J146" s="901">
        <f t="shared" si="16"/>
        <v>0</v>
      </c>
      <c r="S146" s="327"/>
      <c r="T146" s="327"/>
      <c r="U146" s="318"/>
      <c r="V146" s="318"/>
    </row>
    <row r="147" spans="1:22" ht="15.6" hidden="1" outlineLevel="1">
      <c r="A147" s="318">
        <f>1+A146</f>
        <v>5</v>
      </c>
      <c r="B147" s="943" t="s">
        <v>847</v>
      </c>
      <c r="C147" s="907"/>
      <c r="D147" s="946">
        <f t="shared" si="13"/>
        <v>8881</v>
      </c>
      <c r="E147" s="893"/>
      <c r="F147" s="893"/>
      <c r="G147" s="893"/>
      <c r="H147" s="893"/>
      <c r="I147" s="899"/>
      <c r="J147" s="901"/>
      <c r="S147" s="327"/>
      <c r="T147" s="327"/>
      <c r="U147" s="318"/>
      <c r="V147" s="318"/>
    </row>
    <row r="148" spans="1:22" ht="15.6" hidden="1" outlineLevel="1">
      <c r="A148" s="318">
        <f>1+A147</f>
        <v>6</v>
      </c>
      <c r="B148" s="943" t="str">
        <f>$B72</f>
        <v>Washoe</v>
      </c>
      <c r="C148" s="907"/>
      <c r="D148" s="946">
        <f t="shared" si="13"/>
        <v>7074</v>
      </c>
      <c r="E148" s="893">
        <f t="shared" si="14"/>
        <v>0</v>
      </c>
      <c r="F148" s="893">
        <f t="shared" si="15"/>
        <v>0</v>
      </c>
      <c r="G148" s="893">
        <f t="shared" si="15"/>
        <v>0</v>
      </c>
      <c r="H148" s="893">
        <f t="shared" si="15"/>
        <v>0</v>
      </c>
      <c r="I148" s="899">
        <f t="shared" si="15"/>
        <v>0</v>
      </c>
      <c r="J148" s="901">
        <f t="shared" si="16"/>
        <v>0</v>
      </c>
      <c r="S148" s="327"/>
      <c r="T148" s="327"/>
      <c r="U148" s="318"/>
      <c r="V148" s="318"/>
    </row>
    <row r="149" spans="1:22" ht="15.6" hidden="1" outlineLevel="1">
      <c r="A149" s="318">
        <f>1+A148</f>
        <v>7</v>
      </c>
      <c r="B149" s="787" t="str">
        <f>$B73</f>
        <v>White Pine</v>
      </c>
      <c r="C149" s="890"/>
      <c r="D149" s="945">
        <f t="shared" si="13"/>
        <v>10501</v>
      </c>
      <c r="E149" s="896">
        <f t="shared" si="14"/>
        <v>0</v>
      </c>
      <c r="F149" s="896">
        <f t="shared" si="15"/>
        <v>0</v>
      </c>
      <c r="G149" s="896">
        <f t="shared" si="15"/>
        <v>0</v>
      </c>
      <c r="H149" s="896">
        <f t="shared" si="15"/>
        <v>0</v>
      </c>
      <c r="I149" s="900">
        <f t="shared" si="15"/>
        <v>0</v>
      </c>
      <c r="J149" s="902">
        <f t="shared" si="16"/>
        <v>0</v>
      </c>
      <c r="S149" s="327"/>
      <c r="T149" s="327"/>
      <c r="U149" s="318"/>
      <c r="V149" s="318"/>
    </row>
    <row r="150" spans="1:22" ht="15.6" hidden="1" outlineLevel="1">
      <c r="A150" s="318"/>
      <c r="B150" s="944" t="s">
        <v>932</v>
      </c>
      <c r="C150" s="891" t="s">
        <v>931</v>
      </c>
      <c r="D150" s="947">
        <f>+E50</f>
        <v>9414</v>
      </c>
      <c r="E150" s="894">
        <f t="shared" si="14"/>
        <v>4707000</v>
      </c>
      <c r="F150" s="894">
        <f t="shared" si="15"/>
        <v>139797.90000000002</v>
      </c>
      <c r="G150" s="894">
        <f t="shared" si="15"/>
        <v>21652.2</v>
      </c>
      <c r="H150" s="894">
        <f t="shared" si="15"/>
        <v>40668.480000000003</v>
      </c>
      <c r="I150" s="903">
        <f t="shared" si="15"/>
        <v>57613.68</v>
      </c>
      <c r="J150" s="904">
        <f t="shared" si="16"/>
        <v>4966732.2600000007</v>
      </c>
      <c r="K150" t="s">
        <v>933</v>
      </c>
      <c r="S150" s="327"/>
      <c r="T150" s="327"/>
      <c r="U150" s="318"/>
      <c r="V150" s="318"/>
    </row>
    <row r="151" spans="1:22" ht="15.6" hidden="1" outlineLevel="1">
      <c r="A151" s="318"/>
      <c r="B151" t="s">
        <v>851</v>
      </c>
      <c r="C151" s="906"/>
      <c r="D151" s="424">
        <v>7074</v>
      </c>
      <c r="E151" s="848">
        <f>SUM(E143:E150)</f>
        <v>4707000</v>
      </c>
      <c r="F151" s="848">
        <f>SUM(F143:F150)</f>
        <v>139797.90000000002</v>
      </c>
      <c r="G151" s="848">
        <f>SUM(G143:G150)</f>
        <v>21652.2</v>
      </c>
      <c r="H151" s="848">
        <f>SUM(H143:H150)</f>
        <v>40668.480000000003</v>
      </c>
      <c r="I151" s="848">
        <f>SUM(I143:I150)</f>
        <v>57613.68</v>
      </c>
      <c r="J151" s="850">
        <f t="shared" si="16"/>
        <v>4966732.2600000007</v>
      </c>
      <c r="S151" s="327"/>
      <c r="T151" s="327"/>
      <c r="U151" s="318"/>
      <c r="V151" s="318"/>
    </row>
    <row r="152" spans="1:22" ht="15.6" hidden="1" outlineLevel="1">
      <c r="A152" s="318"/>
      <c r="B152" t="s">
        <v>936</v>
      </c>
      <c r="D152" s="989">
        <f>+D153</f>
        <v>7074</v>
      </c>
      <c r="E152" s="874"/>
      <c r="F152" s="874"/>
      <c r="G152" s="874"/>
      <c r="H152" s="874"/>
      <c r="S152" s="327"/>
      <c r="T152" s="327"/>
      <c r="U152" s="318"/>
      <c r="V152" s="318"/>
    </row>
    <row r="153" spans="1:22" ht="15.6" hidden="1" outlineLevel="1">
      <c r="A153" s="318"/>
      <c r="D153" s="990">
        <f>+D151*D46</f>
        <v>7074</v>
      </c>
      <c r="E153" s="874"/>
      <c r="F153" s="874"/>
      <c r="G153" s="874"/>
      <c r="H153" s="874"/>
      <c r="S153" s="327"/>
      <c r="T153" s="327"/>
      <c r="U153" s="318"/>
      <c r="V153" s="318"/>
    </row>
    <row r="154" spans="1:22" ht="15.6" hidden="1" outlineLevel="1">
      <c r="A154" s="318"/>
      <c r="D154" s="990"/>
      <c r="E154" s="874"/>
      <c r="F154" s="874"/>
      <c r="G154" s="874"/>
      <c r="H154" s="874"/>
      <c r="S154" s="327"/>
      <c r="T154" s="327"/>
      <c r="U154" s="318"/>
      <c r="V154" s="318"/>
    </row>
    <row r="155" spans="1:22" ht="30" hidden="1" outlineLevel="1">
      <c r="A155" s="318"/>
      <c r="E155" s="1051" t="s">
        <v>937</v>
      </c>
      <c r="F155" s="1051" t="s">
        <v>938</v>
      </c>
      <c r="G155" s="1051" t="s">
        <v>939</v>
      </c>
      <c r="H155" s="874"/>
      <c r="S155" s="327"/>
      <c r="T155" s="327"/>
      <c r="U155" s="318"/>
      <c r="V155" s="318"/>
    </row>
    <row r="156" spans="1:22" ht="30" hidden="1" outlineLevel="1">
      <c r="A156" s="318"/>
      <c r="D156" s="872"/>
      <c r="E156" s="1051" t="s">
        <v>293</v>
      </c>
      <c r="F156" s="1051" t="s">
        <v>1223</v>
      </c>
      <c r="G156" s="1051" t="s">
        <v>941</v>
      </c>
      <c r="H156" s="871"/>
      <c r="S156" s="327"/>
      <c r="T156" s="327"/>
      <c r="U156" s="318"/>
      <c r="V156" s="318"/>
    </row>
    <row r="157" spans="1:22" ht="60" hidden="1" outlineLevel="1">
      <c r="A157" s="318"/>
      <c r="E157" s="1051" t="s">
        <v>84</v>
      </c>
      <c r="F157" s="1051" t="s">
        <v>1224</v>
      </c>
      <c r="G157" s="1051" t="s">
        <v>943</v>
      </c>
      <c r="S157" s="327"/>
      <c r="T157" s="327"/>
      <c r="U157" s="318"/>
      <c r="V157" s="318"/>
    </row>
    <row r="158" spans="1:22" ht="30" hidden="1" outlineLevel="1">
      <c r="A158" s="318"/>
      <c r="E158" s="1051" t="s">
        <v>295</v>
      </c>
      <c r="F158" s="1051" t="s">
        <v>944</v>
      </c>
      <c r="G158" s="1051" t="s">
        <v>943</v>
      </c>
      <c r="S158" s="327"/>
      <c r="T158" s="327"/>
      <c r="U158" s="318"/>
      <c r="V158" s="318"/>
    </row>
    <row r="159" spans="1:22" ht="60" hidden="1" outlineLevel="1">
      <c r="A159" s="318"/>
      <c r="E159" s="1051" t="s">
        <v>945</v>
      </c>
      <c r="F159" s="1051" t="s">
        <v>946</v>
      </c>
      <c r="G159" s="1051" t="s">
        <v>947</v>
      </c>
      <c r="J159" s="326"/>
      <c r="S159" s="327"/>
      <c r="T159" s="327"/>
      <c r="U159" s="318"/>
      <c r="V159" s="318"/>
    </row>
    <row r="160" spans="1:22" ht="15.6" hidden="1" outlineLevel="2">
      <c r="A160" s="318"/>
      <c r="B160" s="838" t="s">
        <v>948</v>
      </c>
      <c r="C160" s="838"/>
      <c r="D160" s="838"/>
      <c r="E160" s="839"/>
      <c r="F160" s="793"/>
      <c r="G160" s="838"/>
      <c r="H160" s="793"/>
      <c r="I160" s="793"/>
      <c r="J160" s="840"/>
      <c r="S160" s="327"/>
      <c r="T160" s="327"/>
      <c r="U160" s="318"/>
      <c r="V160" s="318"/>
    </row>
    <row r="161" spans="1:22" ht="15.6" hidden="1" outlineLevel="2">
      <c r="A161" s="318"/>
      <c r="B161" s="836" t="s">
        <v>927</v>
      </c>
      <c r="C161" s="836"/>
      <c r="D161" s="836"/>
      <c r="E161" s="790"/>
      <c r="F161" s="790"/>
      <c r="G161" s="836"/>
      <c r="H161" s="790"/>
      <c r="I161" s="790"/>
      <c r="J161" s="837"/>
      <c r="S161" s="327"/>
      <c r="T161" s="327"/>
      <c r="U161" s="318"/>
      <c r="V161" s="318"/>
    </row>
    <row r="162" spans="1:22" ht="15.6" hidden="1" outlineLevel="2">
      <c r="A162" s="318"/>
      <c r="B162" s="778"/>
      <c r="C162" s="778"/>
      <c r="D162" s="778"/>
      <c r="E162" s="778" t="s">
        <v>949</v>
      </c>
      <c r="F162" s="345"/>
      <c r="G162" s="778"/>
      <c r="H162" s="345"/>
      <c r="I162" s="345"/>
      <c r="J162" s="832"/>
      <c r="S162" s="327"/>
      <c r="T162" s="327"/>
      <c r="U162" s="318"/>
      <c r="V162" s="318"/>
    </row>
    <row r="163" spans="1:22" ht="15.6" hidden="1" outlineLevel="2">
      <c r="A163" s="318"/>
      <c r="B163" s="781"/>
      <c r="C163" s="781"/>
      <c r="D163" s="781"/>
      <c r="E163" s="781" t="s">
        <v>498</v>
      </c>
      <c r="F163" s="781" t="s">
        <v>917</v>
      </c>
      <c r="G163" s="781" t="s">
        <v>918</v>
      </c>
      <c r="H163" s="781" t="s">
        <v>907</v>
      </c>
      <c r="I163" s="781" t="s">
        <v>919</v>
      </c>
      <c r="J163" s="781" t="s">
        <v>78</v>
      </c>
      <c r="S163" s="327"/>
      <c r="T163" s="327"/>
      <c r="U163" s="318"/>
      <c r="V163" s="318"/>
    </row>
    <row r="164" spans="1:22" ht="15.6" hidden="1" outlineLevel="2">
      <c r="A164" s="318">
        <v>1</v>
      </c>
      <c r="B164" t="str">
        <f>+B$67</f>
        <v xml:space="preserve">Carson City </v>
      </c>
      <c r="E164" s="861">
        <v>10</v>
      </c>
      <c r="F164" s="861">
        <v>4</v>
      </c>
      <c r="G164" s="861">
        <v>5</v>
      </c>
      <c r="H164" s="861">
        <v>5</v>
      </c>
      <c r="I164" s="861">
        <v>1</v>
      </c>
      <c r="J164" s="846">
        <f t="shared" ref="J164:J170" si="18">SUM(E164:I164)</f>
        <v>25</v>
      </c>
      <c r="S164" s="327"/>
      <c r="T164" s="327"/>
      <c r="U164" s="318"/>
      <c r="V164" s="318"/>
    </row>
    <row r="165" spans="1:22" ht="15.6" hidden="1" outlineLevel="2">
      <c r="A165" s="318">
        <f>1+A164</f>
        <v>2</v>
      </c>
      <c r="B165" t="str">
        <f>+$B$68</f>
        <v>Churchill</v>
      </c>
      <c r="E165" s="861">
        <v>10</v>
      </c>
      <c r="F165" s="861">
        <v>4</v>
      </c>
      <c r="G165" s="861">
        <v>5</v>
      </c>
      <c r="H165" s="861">
        <v>5</v>
      </c>
      <c r="I165" s="861">
        <v>1</v>
      </c>
      <c r="J165" s="813">
        <f t="shared" si="18"/>
        <v>25</v>
      </c>
      <c r="S165" s="327"/>
      <c r="T165" s="327"/>
      <c r="U165" s="318"/>
      <c r="V165" s="318"/>
    </row>
    <row r="166" spans="1:22" ht="15.6" hidden="1" outlineLevel="2">
      <c r="A166" s="318">
        <f t="shared" ref="A166:A169" si="19">1+A165</f>
        <v>3</v>
      </c>
      <c r="B166" t="str">
        <f>+$B$69</f>
        <v>Clark</v>
      </c>
      <c r="E166" s="861">
        <v>10</v>
      </c>
      <c r="F166" s="861">
        <v>4</v>
      </c>
      <c r="G166" s="861">
        <v>5</v>
      </c>
      <c r="H166" s="861">
        <v>5</v>
      </c>
      <c r="I166" s="861">
        <v>1</v>
      </c>
      <c r="J166" s="813">
        <f t="shared" si="18"/>
        <v>25</v>
      </c>
      <c r="S166" s="327"/>
      <c r="T166" s="327"/>
      <c r="U166" s="318"/>
      <c r="V166" s="318"/>
    </row>
    <row r="167" spans="1:22" ht="15.6" hidden="1" outlineLevel="2">
      <c r="A167" s="318">
        <f t="shared" si="19"/>
        <v>4</v>
      </c>
      <c r="B167" t="str">
        <f>+$B$70</f>
        <v>Elko</v>
      </c>
      <c r="E167" s="861">
        <v>10</v>
      </c>
      <c r="F167" s="861">
        <v>4</v>
      </c>
      <c r="G167" s="861">
        <v>5</v>
      </c>
      <c r="H167" s="861">
        <v>5</v>
      </c>
      <c r="I167" s="861">
        <v>1</v>
      </c>
      <c r="J167" s="813">
        <f t="shared" si="18"/>
        <v>25</v>
      </c>
      <c r="S167" s="327"/>
      <c r="T167" s="327"/>
      <c r="U167" s="318"/>
      <c r="V167" s="318"/>
    </row>
    <row r="168" spans="1:22" ht="15.6" hidden="1" outlineLevel="2">
      <c r="A168" s="318">
        <f t="shared" si="19"/>
        <v>5</v>
      </c>
      <c r="B168" t="str">
        <f>+$B$72</f>
        <v>Washoe</v>
      </c>
      <c r="E168" s="862">
        <v>10</v>
      </c>
      <c r="F168" s="862">
        <v>4</v>
      </c>
      <c r="G168" s="862">
        <v>5</v>
      </c>
      <c r="H168" s="862">
        <v>5</v>
      </c>
      <c r="I168" s="862">
        <v>1</v>
      </c>
      <c r="J168" s="813">
        <f t="shared" si="18"/>
        <v>25</v>
      </c>
      <c r="S168" s="327"/>
      <c r="T168" s="327"/>
      <c r="U168" s="318"/>
      <c r="V168" s="318"/>
    </row>
    <row r="169" spans="1:22" ht="15.6" hidden="1" outlineLevel="2">
      <c r="A169" s="318">
        <f t="shared" si="19"/>
        <v>6</v>
      </c>
      <c r="B169" t="str">
        <f>+$B$73</f>
        <v>White Pine</v>
      </c>
      <c r="E169" s="862">
        <v>10</v>
      </c>
      <c r="F169" s="862">
        <v>4</v>
      </c>
      <c r="G169" s="862">
        <v>5</v>
      </c>
      <c r="H169" s="862">
        <v>5</v>
      </c>
      <c r="I169" s="862">
        <v>1</v>
      </c>
      <c r="J169" s="824">
        <f t="shared" si="18"/>
        <v>25</v>
      </c>
      <c r="S169" s="327"/>
      <c r="T169" s="327"/>
      <c r="U169" s="318"/>
      <c r="V169" s="318"/>
    </row>
    <row r="170" spans="1:22" ht="15.6" hidden="1" outlineLevel="2">
      <c r="A170" s="318"/>
      <c r="B170" s="825" t="s">
        <v>78</v>
      </c>
      <c r="C170" s="825"/>
      <c r="D170" s="825"/>
      <c r="E170" s="830">
        <f>SUM(E164:E169)</f>
        <v>60</v>
      </c>
      <c r="F170" s="830">
        <f>SUM(F164:F169)</f>
        <v>24</v>
      </c>
      <c r="G170" s="830">
        <f t="shared" ref="G170:I170" si="20">SUM(G164:G169)</f>
        <v>30</v>
      </c>
      <c r="H170" s="830">
        <f t="shared" si="20"/>
        <v>30</v>
      </c>
      <c r="I170" s="830">
        <f t="shared" si="20"/>
        <v>6</v>
      </c>
      <c r="J170" s="830">
        <f t="shared" si="18"/>
        <v>150</v>
      </c>
      <c r="P170" s="326"/>
      <c r="Q170" s="327"/>
      <c r="R170" s="327"/>
      <c r="S170" s="327"/>
      <c r="T170" s="327"/>
      <c r="U170" s="318"/>
      <c r="V170" s="318"/>
    </row>
    <row r="171" spans="1:22" ht="15.6" hidden="1" outlineLevel="2">
      <c r="A171" s="318"/>
      <c r="J171" s="818"/>
      <c r="O171" s="325"/>
      <c r="P171" s="326"/>
      <c r="Q171" s="327"/>
      <c r="R171" s="327"/>
      <c r="S171" s="327"/>
      <c r="T171" s="327"/>
      <c r="U171" s="318"/>
      <c r="V171" s="318"/>
    </row>
    <row r="172" spans="1:22" ht="15.6" hidden="1" outlineLevel="2">
      <c r="A172" s="318"/>
      <c r="E172" s="778" t="s">
        <v>950</v>
      </c>
      <c r="F172" s="345"/>
      <c r="G172" s="778"/>
      <c r="H172" s="778"/>
      <c r="I172" s="778"/>
      <c r="J172" s="345"/>
      <c r="O172" s="325"/>
      <c r="P172" s="326"/>
      <c r="Q172" s="327"/>
      <c r="R172" s="327"/>
      <c r="S172" s="327"/>
      <c r="T172" s="327"/>
      <c r="U172" s="318"/>
      <c r="V172" s="318"/>
    </row>
    <row r="173" spans="1:22" ht="15.6" hidden="1" outlineLevel="2">
      <c r="A173" s="318"/>
      <c r="E173" s="781" t="s">
        <v>498</v>
      </c>
      <c r="F173" s="781" t="s">
        <v>917</v>
      </c>
      <c r="G173" s="781" t="s">
        <v>918</v>
      </c>
      <c r="H173" s="781" t="s">
        <v>907</v>
      </c>
      <c r="I173" s="781" t="s">
        <v>919</v>
      </c>
      <c r="J173" s="814"/>
      <c r="O173" s="325"/>
      <c r="P173" s="326"/>
      <c r="Q173" s="327"/>
      <c r="R173" s="327"/>
      <c r="S173" s="327"/>
      <c r="T173" s="327"/>
      <c r="U173" s="318"/>
      <c r="V173" s="318"/>
    </row>
    <row r="174" spans="1:22" ht="15.6" hidden="1" outlineLevel="2">
      <c r="A174" s="318"/>
      <c r="B174" s="781" t="s">
        <v>951</v>
      </c>
      <c r="C174" s="781"/>
      <c r="D174" s="781"/>
      <c r="E174" s="864">
        <v>0</v>
      </c>
      <c r="F174" s="856">
        <f>+D77</f>
        <v>0.38284007225232736</v>
      </c>
      <c r="G174" s="856">
        <f>+D78</f>
        <v>0.24</v>
      </c>
      <c r="H174" s="856">
        <f>+D79</f>
        <v>0.03</v>
      </c>
      <c r="I174" s="856">
        <f>+D80</f>
        <v>0.12</v>
      </c>
      <c r="J174" s="781" t="s">
        <v>78</v>
      </c>
      <c r="P174" s="326"/>
      <c r="Q174" s="327"/>
      <c r="R174" s="327"/>
      <c r="S174" s="327"/>
      <c r="T174" s="327"/>
      <c r="U174" s="318"/>
      <c r="V174" s="318"/>
    </row>
    <row r="175" spans="1:22" ht="15.6" hidden="1" outlineLevel="2">
      <c r="A175" s="318">
        <v>1</v>
      </c>
      <c r="B175" t="str">
        <f>+B$67</f>
        <v xml:space="preserve">Carson City </v>
      </c>
      <c r="E175" s="816"/>
      <c r="F175" s="817">
        <v>4</v>
      </c>
      <c r="G175" s="817">
        <v>2</v>
      </c>
      <c r="H175" s="817">
        <v>3</v>
      </c>
      <c r="I175" s="817">
        <v>1</v>
      </c>
      <c r="J175" s="846">
        <f t="shared" ref="J175:J181" si="21">SUM(E175:I175)</f>
        <v>10</v>
      </c>
      <c r="P175" s="326"/>
      <c r="Q175" s="327"/>
      <c r="R175" s="327"/>
      <c r="S175" s="327"/>
      <c r="T175" s="327"/>
      <c r="U175" s="318"/>
      <c r="V175" s="318"/>
    </row>
    <row r="176" spans="1:22" ht="15.6" hidden="1" outlineLevel="2">
      <c r="A176" s="318">
        <f>1+A175</f>
        <v>2</v>
      </c>
      <c r="B176" t="str">
        <f>+$B$68</f>
        <v>Churchill</v>
      </c>
      <c r="E176" s="816"/>
      <c r="F176" s="819">
        <v>4</v>
      </c>
      <c r="G176" s="819">
        <v>2</v>
      </c>
      <c r="H176" s="819">
        <v>3</v>
      </c>
      <c r="I176" s="819">
        <v>1</v>
      </c>
      <c r="J176" s="813">
        <f t="shared" si="21"/>
        <v>10</v>
      </c>
      <c r="P176" s="326"/>
      <c r="Q176" s="327"/>
      <c r="R176" s="327"/>
      <c r="S176" s="327"/>
      <c r="T176" s="327"/>
      <c r="U176" s="318"/>
      <c r="V176" s="318"/>
    </row>
    <row r="177" spans="1:22" ht="15.6" hidden="1" outlineLevel="2">
      <c r="A177" s="318">
        <f t="shared" ref="A177:A180" si="22">1+A176</f>
        <v>3</v>
      </c>
      <c r="B177" t="str">
        <f>+$B$69</f>
        <v>Clark</v>
      </c>
      <c r="E177" s="816"/>
      <c r="F177" s="819">
        <v>4</v>
      </c>
      <c r="G177" s="819">
        <v>2</v>
      </c>
      <c r="H177" s="819">
        <v>3</v>
      </c>
      <c r="I177" s="819">
        <v>1</v>
      </c>
      <c r="J177" s="813">
        <f t="shared" si="21"/>
        <v>10</v>
      </c>
      <c r="P177" s="326"/>
      <c r="Q177" s="327"/>
      <c r="R177" s="327"/>
      <c r="S177" s="327"/>
      <c r="T177" s="327"/>
      <c r="U177" s="318"/>
      <c r="V177" s="318"/>
    </row>
    <row r="178" spans="1:22" ht="15.6" hidden="1" outlineLevel="2">
      <c r="A178" s="318">
        <f t="shared" si="22"/>
        <v>4</v>
      </c>
      <c r="B178" t="str">
        <f>+$B$70</f>
        <v>Elko</v>
      </c>
      <c r="E178" s="816"/>
      <c r="F178" s="819">
        <v>4</v>
      </c>
      <c r="G178" s="819">
        <v>2</v>
      </c>
      <c r="H178" s="819">
        <v>3</v>
      </c>
      <c r="I178" s="819">
        <v>1</v>
      </c>
      <c r="J178" s="813">
        <f t="shared" si="21"/>
        <v>10</v>
      </c>
      <c r="P178" s="326"/>
      <c r="Q178" s="327"/>
      <c r="R178" s="327"/>
      <c r="S178" s="327"/>
      <c r="T178" s="327"/>
      <c r="U178" s="318"/>
      <c r="V178" s="318"/>
    </row>
    <row r="179" spans="1:22" ht="15.6" hidden="1" outlineLevel="2">
      <c r="A179" s="318">
        <f t="shared" si="22"/>
        <v>5</v>
      </c>
      <c r="B179" t="str">
        <f>+$B$72</f>
        <v>Washoe</v>
      </c>
      <c r="E179" s="816"/>
      <c r="F179" s="819">
        <v>4</v>
      </c>
      <c r="G179" s="819">
        <v>2</v>
      </c>
      <c r="H179" s="819">
        <v>3</v>
      </c>
      <c r="I179" s="819">
        <v>1</v>
      </c>
      <c r="J179" s="813">
        <f t="shared" si="21"/>
        <v>10</v>
      </c>
      <c r="P179" s="326"/>
      <c r="Q179" s="327"/>
      <c r="R179" s="327"/>
      <c r="S179" s="327"/>
      <c r="T179" s="327"/>
      <c r="U179" s="318"/>
      <c r="V179" s="318"/>
    </row>
    <row r="180" spans="1:22" ht="15.6" hidden="1" outlineLevel="2">
      <c r="A180" s="318">
        <f t="shared" si="22"/>
        <v>6</v>
      </c>
      <c r="B180" t="str">
        <f>+$B$73</f>
        <v>White Pine</v>
      </c>
      <c r="E180" s="816"/>
      <c r="F180" s="820">
        <v>4</v>
      </c>
      <c r="G180" s="820">
        <v>2</v>
      </c>
      <c r="H180" s="820">
        <v>3</v>
      </c>
      <c r="I180" s="820">
        <v>1</v>
      </c>
      <c r="J180" s="824">
        <f t="shared" si="21"/>
        <v>10</v>
      </c>
      <c r="P180" s="326"/>
      <c r="Q180" s="327"/>
      <c r="R180" s="327"/>
      <c r="S180" s="327"/>
      <c r="T180" s="327"/>
      <c r="U180" s="318"/>
      <c r="V180" s="318"/>
    </row>
    <row r="181" spans="1:22" ht="15.6" hidden="1" outlineLevel="2">
      <c r="A181" s="318"/>
      <c r="B181" s="825" t="s">
        <v>78</v>
      </c>
      <c r="C181" s="825"/>
      <c r="D181" s="825"/>
      <c r="E181" s="822"/>
      <c r="F181" s="822">
        <f t="shared" ref="F181" si="23">SUM(F175:F180)</f>
        <v>24</v>
      </c>
      <c r="G181" s="822">
        <f t="shared" ref="G181" si="24">SUM(G175:G180)</f>
        <v>12</v>
      </c>
      <c r="H181" s="822">
        <f t="shared" ref="H181" si="25">SUM(H175:H180)</f>
        <v>18</v>
      </c>
      <c r="I181" s="822">
        <f t="shared" ref="I181" si="26">SUM(I175:I180)</f>
        <v>6</v>
      </c>
      <c r="J181" s="830">
        <f t="shared" si="21"/>
        <v>60</v>
      </c>
      <c r="O181" s="325"/>
      <c r="P181" s="326"/>
      <c r="Q181" s="327"/>
      <c r="R181" s="327"/>
      <c r="S181" s="327"/>
      <c r="T181" s="327"/>
      <c r="U181" s="318"/>
      <c r="V181" s="318"/>
    </row>
    <row r="182" spans="1:22" ht="15.6" hidden="1" outlineLevel="2">
      <c r="A182" s="318"/>
      <c r="O182" s="325"/>
      <c r="P182" s="326"/>
      <c r="Q182" s="327"/>
      <c r="R182" s="327"/>
      <c r="S182" s="327"/>
      <c r="T182" s="327"/>
      <c r="U182" s="318"/>
      <c r="V182" s="318"/>
    </row>
    <row r="183" spans="1:22" ht="15.6" hidden="1" outlineLevel="2">
      <c r="A183" s="318"/>
      <c r="E183" s="1" t="s">
        <v>952</v>
      </c>
      <c r="F183" s="1"/>
      <c r="G183" s="345"/>
      <c r="H183" s="345"/>
      <c r="I183" s="345"/>
      <c r="O183" s="325"/>
      <c r="P183" s="326"/>
      <c r="Q183" s="327"/>
      <c r="R183" s="327"/>
      <c r="S183" s="327"/>
      <c r="T183" s="327"/>
      <c r="U183" s="318"/>
      <c r="V183" s="318"/>
    </row>
    <row r="184" spans="1:22" ht="15.6" hidden="1" outlineLevel="2">
      <c r="A184" s="318"/>
      <c r="E184" s="826" t="s">
        <v>498</v>
      </c>
      <c r="F184" s="826" t="s">
        <v>917</v>
      </c>
      <c r="G184" s="781" t="s">
        <v>918</v>
      </c>
      <c r="H184" s="781" t="s">
        <v>907</v>
      </c>
      <c r="I184" s="781" t="s">
        <v>919</v>
      </c>
      <c r="J184" s="826" t="s">
        <v>78</v>
      </c>
      <c r="K184" s="327"/>
      <c r="O184" s="325"/>
      <c r="P184" s="326"/>
      <c r="Q184" s="327"/>
      <c r="R184" s="327"/>
      <c r="S184" s="327"/>
      <c r="T184" s="327"/>
      <c r="U184" s="318"/>
      <c r="V184" s="318"/>
    </row>
    <row r="185" spans="1:22" ht="15.6" hidden="1" outlineLevel="2">
      <c r="A185" s="318">
        <v>1</v>
      </c>
      <c r="B185" t="str">
        <f>+B$67</f>
        <v xml:space="preserve">Carson City </v>
      </c>
      <c r="E185" s="827">
        <f>+E164-E175</f>
        <v>10</v>
      </c>
      <c r="F185" s="827">
        <f t="shared" ref="F185:I185" si="27">+F164-F175</f>
        <v>0</v>
      </c>
      <c r="G185" s="827">
        <f t="shared" si="27"/>
        <v>3</v>
      </c>
      <c r="H185" s="827">
        <f t="shared" si="27"/>
        <v>2</v>
      </c>
      <c r="I185" s="827">
        <f t="shared" si="27"/>
        <v>0</v>
      </c>
      <c r="J185" s="818">
        <f t="shared" ref="J185:J191" si="28">SUM(E185:I185)</f>
        <v>15</v>
      </c>
      <c r="O185" s="325"/>
      <c r="P185" s="326"/>
      <c r="Q185" s="327"/>
      <c r="R185" s="327"/>
      <c r="S185" s="327"/>
      <c r="T185" s="327"/>
      <c r="U185" s="318"/>
      <c r="V185" s="318"/>
    </row>
    <row r="186" spans="1:22" ht="15.6" hidden="1" outlineLevel="2">
      <c r="A186" s="318">
        <f>1+A185</f>
        <v>2</v>
      </c>
      <c r="B186" t="str">
        <f>+$B$68</f>
        <v>Churchill</v>
      </c>
      <c r="E186" s="828">
        <f t="shared" ref="E186:I186" si="29">+E165-E176</f>
        <v>10</v>
      </c>
      <c r="F186" s="828">
        <f t="shared" si="29"/>
        <v>0</v>
      </c>
      <c r="G186" s="828">
        <f t="shared" si="29"/>
        <v>3</v>
      </c>
      <c r="H186" s="828">
        <f t="shared" si="29"/>
        <v>2</v>
      </c>
      <c r="I186" s="828">
        <f t="shared" si="29"/>
        <v>0</v>
      </c>
      <c r="J186" s="818">
        <f t="shared" si="28"/>
        <v>15</v>
      </c>
      <c r="O186" s="325"/>
      <c r="P186" s="326"/>
      <c r="Q186" s="327"/>
      <c r="R186" s="327"/>
      <c r="S186" s="327"/>
      <c r="T186" s="327"/>
      <c r="U186" s="318"/>
      <c r="V186" s="318"/>
    </row>
    <row r="187" spans="1:22" ht="15.6" hidden="1" outlineLevel="2">
      <c r="A187" s="318">
        <f t="shared" ref="A187:A190" si="30">1+A186</f>
        <v>3</v>
      </c>
      <c r="B187" t="str">
        <f>+$B$69</f>
        <v>Clark</v>
      </c>
      <c r="E187" s="828">
        <f t="shared" ref="E187:I187" si="31">+E166-E177</f>
        <v>10</v>
      </c>
      <c r="F187" s="828">
        <f t="shared" si="31"/>
        <v>0</v>
      </c>
      <c r="G187" s="828">
        <f t="shared" si="31"/>
        <v>3</v>
      </c>
      <c r="H187" s="828">
        <f t="shared" si="31"/>
        <v>2</v>
      </c>
      <c r="I187" s="828">
        <f t="shared" si="31"/>
        <v>0</v>
      </c>
      <c r="J187" s="818">
        <f t="shared" si="28"/>
        <v>15</v>
      </c>
      <c r="O187" s="325"/>
      <c r="P187" s="326"/>
      <c r="Q187" s="327"/>
      <c r="R187" s="327"/>
      <c r="S187" s="327"/>
      <c r="T187" s="327"/>
      <c r="U187" s="318"/>
      <c r="V187" s="318"/>
    </row>
    <row r="188" spans="1:22" ht="15.6" hidden="1" outlineLevel="2">
      <c r="A188" s="318">
        <f t="shared" si="30"/>
        <v>4</v>
      </c>
      <c r="B188" t="str">
        <f>+$B$70</f>
        <v>Elko</v>
      </c>
      <c r="E188" s="828">
        <f t="shared" ref="E188:I188" si="32">+E167-E178</f>
        <v>10</v>
      </c>
      <c r="F188" s="828">
        <f t="shared" si="32"/>
        <v>0</v>
      </c>
      <c r="G188" s="828">
        <f t="shared" si="32"/>
        <v>3</v>
      </c>
      <c r="H188" s="828">
        <f t="shared" si="32"/>
        <v>2</v>
      </c>
      <c r="I188" s="828">
        <f t="shared" si="32"/>
        <v>0</v>
      </c>
      <c r="J188" s="818">
        <f t="shared" si="28"/>
        <v>15</v>
      </c>
      <c r="O188" s="325"/>
      <c r="P188" s="326"/>
      <c r="Q188" s="327"/>
      <c r="R188" s="327"/>
      <c r="S188" s="327"/>
      <c r="T188" s="327"/>
      <c r="U188" s="318"/>
      <c r="V188" s="318"/>
    </row>
    <row r="189" spans="1:22" ht="15.6" hidden="1" outlineLevel="2">
      <c r="A189" s="318">
        <f t="shared" si="30"/>
        <v>5</v>
      </c>
      <c r="B189" t="str">
        <f>+$B$72</f>
        <v>Washoe</v>
      </c>
      <c r="E189" s="828">
        <f t="shared" ref="E189:I189" si="33">+E168-E179</f>
        <v>10</v>
      </c>
      <c r="F189" s="828">
        <f t="shared" si="33"/>
        <v>0</v>
      </c>
      <c r="G189" s="828">
        <f t="shared" si="33"/>
        <v>3</v>
      </c>
      <c r="H189" s="828">
        <f t="shared" si="33"/>
        <v>2</v>
      </c>
      <c r="I189" s="828">
        <f t="shared" si="33"/>
        <v>0</v>
      </c>
      <c r="J189" s="818">
        <f t="shared" si="28"/>
        <v>15</v>
      </c>
      <c r="O189" s="325"/>
      <c r="P189" s="326"/>
      <c r="Q189" s="327"/>
      <c r="R189" s="327"/>
      <c r="S189" s="327"/>
      <c r="T189" s="327"/>
      <c r="U189" s="318"/>
      <c r="V189" s="318"/>
    </row>
    <row r="190" spans="1:22" ht="15.6" hidden="1" outlineLevel="2">
      <c r="A190" s="318">
        <f t="shared" si="30"/>
        <v>6</v>
      </c>
      <c r="B190" t="str">
        <f>+$B$73</f>
        <v>White Pine</v>
      </c>
      <c r="E190" s="829">
        <f t="shared" ref="E190:I190" si="34">+E169-E180</f>
        <v>10</v>
      </c>
      <c r="F190" s="829">
        <f t="shared" si="34"/>
        <v>0</v>
      </c>
      <c r="G190" s="829">
        <f t="shared" si="34"/>
        <v>3</v>
      </c>
      <c r="H190" s="829">
        <f t="shared" si="34"/>
        <v>2</v>
      </c>
      <c r="I190" s="829">
        <f t="shared" si="34"/>
        <v>0</v>
      </c>
      <c r="J190" s="818">
        <f t="shared" si="28"/>
        <v>15</v>
      </c>
      <c r="O190" s="325"/>
      <c r="P190" s="326"/>
      <c r="Q190" s="327"/>
      <c r="R190" s="327"/>
      <c r="S190" s="327"/>
      <c r="T190" s="327"/>
      <c r="U190" s="318"/>
      <c r="V190" s="318"/>
    </row>
    <row r="191" spans="1:22" ht="15.6" hidden="1" outlineLevel="2">
      <c r="A191" s="318"/>
      <c r="B191" s="825" t="s">
        <v>78</v>
      </c>
      <c r="C191" s="825"/>
      <c r="D191" s="825"/>
      <c r="E191" s="822">
        <f>SUM(E185:E190)</f>
        <v>60</v>
      </c>
      <c r="F191" s="822">
        <f t="shared" ref="F191:I191" si="35">SUM(F185:F190)</f>
        <v>0</v>
      </c>
      <c r="G191" s="822">
        <f t="shared" si="35"/>
        <v>18</v>
      </c>
      <c r="H191" s="822">
        <f t="shared" si="35"/>
        <v>12</v>
      </c>
      <c r="I191" s="822">
        <f t="shared" si="35"/>
        <v>0</v>
      </c>
      <c r="J191" s="822">
        <f t="shared" si="28"/>
        <v>90</v>
      </c>
      <c r="O191" s="325"/>
      <c r="P191" s="326"/>
      <c r="Q191" s="327"/>
      <c r="R191" s="327"/>
      <c r="S191" s="327"/>
      <c r="T191" s="327"/>
      <c r="U191" s="318"/>
      <c r="V191" s="318"/>
    </row>
    <row r="192" spans="1:22" ht="15.6" hidden="1" outlineLevel="2">
      <c r="A192" s="318"/>
      <c r="O192" s="325"/>
      <c r="P192" s="326"/>
      <c r="Q192" s="327"/>
      <c r="R192" s="327"/>
      <c r="S192" s="327"/>
      <c r="T192" s="327"/>
      <c r="U192" s="318"/>
      <c r="V192" s="318"/>
    </row>
    <row r="193" spans="1:22" ht="15.6" hidden="1" outlineLevel="2">
      <c r="A193" s="318"/>
      <c r="B193" s="825" t="s">
        <v>953</v>
      </c>
      <c r="C193" s="825"/>
      <c r="D193" s="825"/>
      <c r="E193" s="822">
        <f>+E181+E191</f>
        <v>60</v>
      </c>
      <c r="F193" s="822">
        <f t="shared" ref="F193:I193" si="36">+F181+F191</f>
        <v>24</v>
      </c>
      <c r="G193" s="822">
        <f t="shared" si="36"/>
        <v>30</v>
      </c>
      <c r="H193" s="822">
        <f t="shared" si="36"/>
        <v>30</v>
      </c>
      <c r="I193" s="822">
        <f t="shared" si="36"/>
        <v>6</v>
      </c>
      <c r="J193" s="822">
        <f>SUM(E193:I193)</f>
        <v>150</v>
      </c>
      <c r="O193" s="325"/>
      <c r="P193" s="326"/>
      <c r="Q193" s="327"/>
      <c r="R193" s="327"/>
      <c r="S193" s="327"/>
      <c r="T193" s="327"/>
      <c r="U193" s="318"/>
      <c r="V193" s="318"/>
    </row>
    <row r="194" spans="1:22" ht="15.6" hidden="1" outlineLevel="2">
      <c r="A194" s="318"/>
      <c r="O194" s="325"/>
      <c r="P194" s="326"/>
      <c r="Q194" s="327"/>
      <c r="R194" s="327"/>
      <c r="S194" s="327"/>
      <c r="T194" s="327"/>
      <c r="U194" s="318"/>
      <c r="V194" s="318"/>
    </row>
    <row r="195" spans="1:22" ht="15.6" hidden="1" outlineLevel="2">
      <c r="A195" s="318"/>
      <c r="B195" s="838" t="s">
        <v>948</v>
      </c>
      <c r="C195" s="838"/>
      <c r="D195" s="838"/>
      <c r="E195" s="839"/>
      <c r="F195" s="793"/>
      <c r="G195" s="838"/>
      <c r="H195" s="793"/>
      <c r="I195" s="793"/>
      <c r="J195" s="840"/>
      <c r="O195" s="325"/>
      <c r="P195" s="326"/>
      <c r="Q195" s="327"/>
      <c r="R195" s="327"/>
      <c r="S195" s="327"/>
      <c r="T195" s="327"/>
      <c r="U195" s="318"/>
      <c r="V195" s="318"/>
    </row>
    <row r="196" spans="1:22" ht="15.6" hidden="1" outlineLevel="2">
      <c r="A196" s="318"/>
      <c r="B196" s="836" t="s">
        <v>954</v>
      </c>
      <c r="C196" s="836"/>
      <c r="D196" s="836"/>
      <c r="E196" s="836"/>
      <c r="F196" s="790"/>
      <c r="G196" s="836"/>
      <c r="H196" s="790"/>
      <c r="I196" s="790"/>
      <c r="J196" s="837"/>
      <c r="O196" s="325"/>
      <c r="P196" s="326"/>
      <c r="Q196" s="327"/>
      <c r="R196" s="327"/>
      <c r="S196" s="327"/>
      <c r="T196" s="327"/>
      <c r="U196" s="318"/>
      <c r="V196" s="318"/>
    </row>
    <row r="197" spans="1:22" ht="15.6" hidden="1" outlineLevel="3">
      <c r="A197" s="318"/>
      <c r="B197" s="778"/>
      <c r="C197" s="778"/>
      <c r="D197" s="778"/>
      <c r="E197" s="778" t="s">
        <v>949</v>
      </c>
      <c r="F197" s="345"/>
      <c r="G197" s="778"/>
      <c r="H197" s="345"/>
      <c r="I197" s="345"/>
      <c r="J197" s="832"/>
      <c r="O197" s="325"/>
      <c r="P197" s="326"/>
      <c r="Q197" s="327"/>
      <c r="R197" s="327"/>
      <c r="S197" s="327"/>
      <c r="T197" s="327"/>
      <c r="U197" s="318"/>
      <c r="V197" s="318"/>
    </row>
    <row r="198" spans="1:22" ht="15.6" hidden="1" outlineLevel="3">
      <c r="A198" s="318"/>
      <c r="B198" s="781"/>
      <c r="C198" s="781"/>
      <c r="D198" s="781"/>
      <c r="E198" s="781" t="s">
        <v>498</v>
      </c>
      <c r="F198" s="781" t="s">
        <v>917</v>
      </c>
      <c r="G198" s="781" t="s">
        <v>918</v>
      </c>
      <c r="H198" s="781" t="s">
        <v>907</v>
      </c>
      <c r="I198" s="781" t="s">
        <v>919</v>
      </c>
      <c r="J198" s="781" t="s">
        <v>78</v>
      </c>
      <c r="O198" s="325"/>
      <c r="P198" s="326"/>
      <c r="Q198" s="327"/>
      <c r="R198" s="327"/>
      <c r="S198" s="327"/>
      <c r="T198" s="327"/>
      <c r="U198" s="318"/>
      <c r="V198" s="318"/>
    </row>
    <row r="199" spans="1:22" ht="15.6" hidden="1" outlineLevel="3">
      <c r="A199" s="318">
        <v>1</v>
      </c>
      <c r="B199" t="str">
        <f>+B$67</f>
        <v xml:space="preserve">Carson City </v>
      </c>
      <c r="E199" s="812">
        <v>100</v>
      </c>
      <c r="F199" s="812">
        <v>40</v>
      </c>
      <c r="G199" s="812">
        <v>50</v>
      </c>
      <c r="H199" s="812">
        <v>50</v>
      </c>
      <c r="I199" s="812">
        <v>2</v>
      </c>
      <c r="J199" s="831">
        <f t="shared" ref="J199:J205" si="37">SUM(E199:I199)</f>
        <v>242</v>
      </c>
      <c r="O199" s="325"/>
      <c r="P199" s="326"/>
      <c r="Q199" s="327"/>
      <c r="R199" s="327"/>
      <c r="S199" s="327"/>
      <c r="T199" s="327"/>
      <c r="U199" s="318"/>
      <c r="V199" s="318"/>
    </row>
    <row r="200" spans="1:22" ht="15.6" hidden="1" outlineLevel="3">
      <c r="A200" s="318">
        <f>1+A199</f>
        <v>2</v>
      </c>
      <c r="B200" t="str">
        <f>+$B$68</f>
        <v>Churchill</v>
      </c>
      <c r="E200" s="812"/>
      <c r="F200" s="812">
        <v>30</v>
      </c>
      <c r="G200" s="812">
        <v>0</v>
      </c>
      <c r="H200" s="812">
        <v>0</v>
      </c>
      <c r="I200" s="812">
        <v>0</v>
      </c>
      <c r="J200" s="813">
        <f t="shared" si="37"/>
        <v>30</v>
      </c>
      <c r="O200" s="325"/>
      <c r="P200" s="326"/>
      <c r="Q200" s="327"/>
      <c r="R200" s="327"/>
      <c r="S200" s="327"/>
      <c r="T200" s="327"/>
      <c r="U200" s="318"/>
      <c r="V200" s="318"/>
    </row>
    <row r="201" spans="1:22" ht="15.6" hidden="1" outlineLevel="3">
      <c r="A201" s="318">
        <f t="shared" ref="A201:A204" si="38">1+A200</f>
        <v>3</v>
      </c>
      <c r="B201" t="str">
        <f>+$B$69</f>
        <v>Clark</v>
      </c>
      <c r="E201" s="812"/>
      <c r="F201" s="812">
        <v>30</v>
      </c>
      <c r="G201" s="812">
        <v>0</v>
      </c>
      <c r="H201" s="812">
        <v>0</v>
      </c>
      <c r="I201" s="812">
        <v>0</v>
      </c>
      <c r="J201" s="813">
        <f t="shared" si="37"/>
        <v>30</v>
      </c>
      <c r="O201" s="325"/>
      <c r="P201" s="326"/>
      <c r="Q201" s="327"/>
      <c r="R201" s="327"/>
      <c r="S201" s="327"/>
      <c r="T201" s="327"/>
      <c r="U201" s="318"/>
      <c r="V201" s="318"/>
    </row>
    <row r="202" spans="1:22" ht="15.6" hidden="1" outlineLevel="3">
      <c r="A202" s="318">
        <f t="shared" si="38"/>
        <v>4</v>
      </c>
      <c r="B202" t="str">
        <f>+$B$70</f>
        <v>Elko</v>
      </c>
      <c r="E202" s="812"/>
      <c r="F202" s="812">
        <v>5</v>
      </c>
      <c r="G202" s="812">
        <v>0</v>
      </c>
      <c r="H202" s="812">
        <v>0</v>
      </c>
      <c r="I202" s="812">
        <v>0</v>
      </c>
      <c r="J202" s="813">
        <f t="shared" si="37"/>
        <v>5</v>
      </c>
      <c r="O202" s="325"/>
      <c r="P202" s="326"/>
      <c r="Q202" s="327"/>
      <c r="R202" s="327"/>
      <c r="S202" s="327"/>
      <c r="T202" s="327"/>
      <c r="U202" s="318"/>
      <c r="V202" s="318"/>
    </row>
    <row r="203" spans="1:22" ht="15.6" hidden="1" outlineLevel="3">
      <c r="A203" s="318">
        <f t="shared" si="38"/>
        <v>5</v>
      </c>
      <c r="B203" t="str">
        <f>+$B$72</f>
        <v>Washoe</v>
      </c>
      <c r="E203" s="823"/>
      <c r="F203" s="823">
        <v>10</v>
      </c>
      <c r="G203" s="823">
        <v>0</v>
      </c>
      <c r="H203" s="823">
        <v>0</v>
      </c>
      <c r="I203" s="823">
        <v>0</v>
      </c>
      <c r="J203" s="813">
        <f t="shared" si="37"/>
        <v>10</v>
      </c>
      <c r="O203" s="325"/>
      <c r="P203" s="326"/>
      <c r="Q203" s="327"/>
      <c r="R203" s="327"/>
      <c r="S203" s="327"/>
      <c r="T203" s="327"/>
      <c r="U203" s="318"/>
      <c r="V203" s="318"/>
    </row>
    <row r="204" spans="1:22" ht="15.6" hidden="1" outlineLevel="3">
      <c r="A204" s="318">
        <f t="shared" si="38"/>
        <v>6</v>
      </c>
      <c r="B204" t="str">
        <f>+$B$73</f>
        <v>White Pine</v>
      </c>
      <c r="E204" s="823"/>
      <c r="F204" s="823">
        <v>10</v>
      </c>
      <c r="G204" s="823">
        <v>0</v>
      </c>
      <c r="H204" s="823">
        <v>0</v>
      </c>
      <c r="I204" s="823">
        <v>0</v>
      </c>
      <c r="J204" s="824">
        <f t="shared" si="37"/>
        <v>10</v>
      </c>
      <c r="O204" s="325"/>
      <c r="P204" s="326"/>
      <c r="Q204" s="327"/>
      <c r="R204" s="327"/>
      <c r="S204" s="327"/>
      <c r="T204" s="327"/>
      <c r="U204" s="318"/>
      <c r="V204" s="318"/>
    </row>
    <row r="205" spans="1:22" ht="15.6" hidden="1" outlineLevel="3">
      <c r="A205" s="318"/>
      <c r="B205" s="825" t="s">
        <v>78</v>
      </c>
      <c r="C205" s="825"/>
      <c r="D205" s="825"/>
      <c r="E205" s="830">
        <f>SUM(E199:E204)</f>
        <v>100</v>
      </c>
      <c r="F205" s="830">
        <f>SUM(F199:F204)</f>
        <v>125</v>
      </c>
      <c r="G205" s="830">
        <f t="shared" ref="G205" si="39">SUM(G199:G204)</f>
        <v>50</v>
      </c>
      <c r="H205" s="830">
        <f t="shared" ref="H205" si="40">SUM(H199:H204)</f>
        <v>50</v>
      </c>
      <c r="I205" s="830">
        <f t="shared" ref="I205" si="41">SUM(I199:I204)</f>
        <v>2</v>
      </c>
      <c r="J205" s="830">
        <f t="shared" si="37"/>
        <v>327</v>
      </c>
      <c r="O205" s="325"/>
      <c r="P205" s="326"/>
      <c r="Q205" s="327"/>
      <c r="R205" s="327"/>
      <c r="S205" s="327"/>
      <c r="T205" s="327"/>
      <c r="U205" s="318"/>
      <c r="V205" s="318"/>
    </row>
    <row r="206" spans="1:22" ht="15.6" hidden="1" outlineLevel="3">
      <c r="A206" s="318"/>
      <c r="J206" s="818"/>
      <c r="O206" s="325"/>
      <c r="P206" s="326"/>
      <c r="Q206" s="327"/>
      <c r="R206" s="327"/>
      <c r="S206" s="327"/>
      <c r="T206" s="327"/>
      <c r="U206" s="318"/>
      <c r="V206" s="318"/>
    </row>
    <row r="207" spans="1:22" ht="15.6" hidden="1" outlineLevel="3">
      <c r="A207" s="318"/>
      <c r="E207" s="778" t="s">
        <v>955</v>
      </c>
      <c r="F207" s="345"/>
      <c r="G207" s="778"/>
      <c r="H207" s="778"/>
      <c r="I207" s="778"/>
      <c r="J207" s="345"/>
      <c r="O207" s="325"/>
      <c r="P207" s="326"/>
      <c r="Q207" s="327"/>
      <c r="R207" s="327"/>
      <c r="S207" s="327"/>
      <c r="T207" s="327"/>
      <c r="U207" s="318"/>
      <c r="V207" s="318"/>
    </row>
    <row r="208" spans="1:22" ht="15.6" hidden="1" outlineLevel="3">
      <c r="A208" s="318"/>
      <c r="E208" s="781" t="s">
        <v>498</v>
      </c>
      <c r="F208" s="781" t="s">
        <v>917</v>
      </c>
      <c r="G208" s="781" t="s">
        <v>918</v>
      </c>
      <c r="H208" s="781" t="s">
        <v>907</v>
      </c>
      <c r="I208" s="781" t="s">
        <v>919</v>
      </c>
      <c r="J208" s="814"/>
      <c r="O208" s="325"/>
      <c r="P208" s="326"/>
      <c r="Q208" s="327"/>
      <c r="R208" s="327"/>
      <c r="S208" s="327"/>
      <c r="T208" s="327"/>
      <c r="U208" s="318"/>
      <c r="V208" s="318"/>
    </row>
    <row r="209" spans="1:22" ht="15.6" hidden="1" outlineLevel="3">
      <c r="A209" s="318"/>
      <c r="E209" s="814"/>
      <c r="F209" s="811">
        <f>+E185</f>
        <v>10</v>
      </c>
      <c r="G209" s="811">
        <f>+E186</f>
        <v>10</v>
      </c>
      <c r="H209" s="811">
        <f>+E187</f>
        <v>10</v>
      </c>
      <c r="I209" s="811">
        <f>+E188</f>
        <v>10</v>
      </c>
      <c r="J209" s="781" t="s">
        <v>78</v>
      </c>
      <c r="O209" s="325"/>
      <c r="P209" s="326"/>
      <c r="Q209" s="327"/>
      <c r="R209" s="327"/>
      <c r="S209" s="327"/>
      <c r="T209" s="327"/>
      <c r="U209" s="318"/>
      <c r="V209" s="318"/>
    </row>
    <row r="210" spans="1:22" ht="15.6" hidden="1" outlineLevel="3">
      <c r="A210" s="318">
        <v>1</v>
      </c>
      <c r="B210" t="str">
        <f>+B$67</f>
        <v xml:space="preserve">Carson City </v>
      </c>
      <c r="E210" s="816"/>
      <c r="F210" s="817">
        <v>20</v>
      </c>
      <c r="G210" s="817">
        <v>20</v>
      </c>
      <c r="H210" s="817">
        <v>30</v>
      </c>
      <c r="I210" s="817">
        <v>1</v>
      </c>
      <c r="J210" s="831">
        <f t="shared" ref="J210:J216" si="42">SUM(E210:I210)</f>
        <v>71</v>
      </c>
      <c r="O210" s="325"/>
      <c r="P210" s="326"/>
      <c r="Q210" s="327"/>
      <c r="R210" s="327"/>
      <c r="S210" s="327"/>
      <c r="T210" s="327"/>
      <c r="U210" s="318"/>
      <c r="V210" s="318"/>
    </row>
    <row r="211" spans="1:22" ht="15.6" hidden="1" outlineLevel="3">
      <c r="A211" s="318">
        <f>1+A210</f>
        <v>2</v>
      </c>
      <c r="B211" t="str">
        <f>+$B$68</f>
        <v>Churchill</v>
      </c>
      <c r="E211" s="816"/>
      <c r="F211" s="819">
        <v>0</v>
      </c>
      <c r="G211" s="819"/>
      <c r="H211" s="819"/>
      <c r="I211" s="819"/>
      <c r="J211" s="813">
        <f t="shared" si="42"/>
        <v>0</v>
      </c>
      <c r="O211" s="325"/>
      <c r="P211" s="326"/>
      <c r="Q211" s="327"/>
      <c r="R211" s="327"/>
      <c r="S211" s="327"/>
      <c r="T211" s="327"/>
      <c r="U211" s="318"/>
      <c r="V211" s="318"/>
    </row>
    <row r="212" spans="1:22" ht="15.6" hidden="1" outlineLevel="3">
      <c r="A212" s="318">
        <f t="shared" ref="A212:A215" si="43">1+A211</f>
        <v>3</v>
      </c>
      <c r="B212" t="str">
        <f>+$B$69</f>
        <v>Clark</v>
      </c>
      <c r="E212" s="816"/>
      <c r="F212" s="819">
        <v>30</v>
      </c>
      <c r="G212" s="819"/>
      <c r="H212" s="819"/>
      <c r="I212" s="819"/>
      <c r="J212" s="813">
        <f t="shared" si="42"/>
        <v>30</v>
      </c>
      <c r="O212" s="325"/>
      <c r="P212" s="326"/>
      <c r="Q212" s="327"/>
      <c r="R212" s="327"/>
      <c r="S212" s="327"/>
      <c r="T212" s="327"/>
      <c r="U212" s="318"/>
      <c r="V212" s="318"/>
    </row>
    <row r="213" spans="1:22" ht="15.6" hidden="1" outlineLevel="3">
      <c r="A213" s="318">
        <f t="shared" si="43"/>
        <v>4</v>
      </c>
      <c r="B213" t="str">
        <f>+$B$70</f>
        <v>Elko</v>
      </c>
      <c r="E213" s="816"/>
      <c r="F213" s="819">
        <v>5</v>
      </c>
      <c r="G213" s="819"/>
      <c r="H213" s="819"/>
      <c r="I213" s="819"/>
      <c r="J213" s="813">
        <f t="shared" si="42"/>
        <v>5</v>
      </c>
      <c r="O213" s="325"/>
      <c r="P213" s="326"/>
      <c r="Q213" s="327"/>
      <c r="R213" s="327"/>
      <c r="S213" s="327"/>
      <c r="T213" s="327"/>
      <c r="U213" s="318"/>
      <c r="V213" s="318"/>
    </row>
    <row r="214" spans="1:22" ht="15.6" hidden="1" outlineLevel="3">
      <c r="A214" s="318">
        <f t="shared" si="43"/>
        <v>5</v>
      </c>
      <c r="B214" t="str">
        <f>+$B$72</f>
        <v>Washoe</v>
      </c>
      <c r="E214" s="816"/>
      <c r="F214" s="819">
        <v>10</v>
      </c>
      <c r="G214" s="819"/>
      <c r="H214" s="819"/>
      <c r="I214" s="819"/>
      <c r="J214" s="813">
        <f t="shared" si="42"/>
        <v>10</v>
      </c>
      <c r="O214" s="325"/>
      <c r="P214" s="326"/>
      <c r="Q214" s="327"/>
      <c r="R214" s="327"/>
      <c r="S214" s="327"/>
      <c r="T214" s="327"/>
      <c r="U214" s="318"/>
      <c r="V214" s="318"/>
    </row>
    <row r="215" spans="1:22" ht="15.6" hidden="1" outlineLevel="3">
      <c r="A215" s="318">
        <f t="shared" si="43"/>
        <v>6</v>
      </c>
      <c r="B215" t="str">
        <f>+$B$73</f>
        <v>White Pine</v>
      </c>
      <c r="E215" s="816"/>
      <c r="F215" s="820">
        <v>0</v>
      </c>
      <c r="G215" s="820"/>
      <c r="H215" s="820"/>
      <c r="I215" s="820"/>
      <c r="J215" s="824">
        <f t="shared" si="42"/>
        <v>0</v>
      </c>
      <c r="O215" s="325"/>
      <c r="P215" s="326"/>
      <c r="Q215" s="327"/>
      <c r="R215" s="327"/>
      <c r="S215" s="327"/>
      <c r="T215" s="327"/>
      <c r="U215" s="318"/>
      <c r="V215" s="318"/>
    </row>
    <row r="216" spans="1:22" ht="15.6" hidden="1" outlineLevel="3">
      <c r="A216" s="318"/>
      <c r="B216" s="825" t="s">
        <v>78</v>
      </c>
      <c r="C216" s="825"/>
      <c r="D216" s="825"/>
      <c r="E216" s="821"/>
      <c r="F216" s="822">
        <f t="shared" ref="F216" si="44">SUM(F210:F215)</f>
        <v>65</v>
      </c>
      <c r="G216" s="822">
        <f t="shared" ref="G216" si="45">SUM(G210:G215)</f>
        <v>20</v>
      </c>
      <c r="H216" s="822">
        <f t="shared" ref="H216" si="46">SUM(H210:H215)</f>
        <v>30</v>
      </c>
      <c r="I216" s="822">
        <f t="shared" ref="I216" si="47">SUM(I210:I215)</f>
        <v>1</v>
      </c>
      <c r="J216" s="830">
        <f t="shared" si="42"/>
        <v>116</v>
      </c>
      <c r="O216" s="325"/>
      <c r="P216" s="326"/>
      <c r="Q216" s="327"/>
      <c r="R216" s="327"/>
      <c r="S216" s="327"/>
      <c r="T216" s="327"/>
      <c r="U216" s="318"/>
      <c r="V216" s="318"/>
    </row>
    <row r="217" spans="1:22" ht="15.6" hidden="1" outlineLevel="3">
      <c r="A217" s="318"/>
      <c r="O217" s="325"/>
      <c r="P217" s="326"/>
      <c r="Q217" s="327"/>
      <c r="R217" s="327"/>
      <c r="S217" s="327"/>
      <c r="T217" s="327"/>
      <c r="U217" s="318"/>
      <c r="V217" s="318"/>
    </row>
    <row r="218" spans="1:22" ht="15.6" hidden="1" outlineLevel="3">
      <c r="A218" s="318"/>
      <c r="E218" s="778"/>
      <c r="F218" s="1" t="s">
        <v>952</v>
      </c>
      <c r="G218" s="345"/>
      <c r="H218" s="345"/>
      <c r="I218" s="345"/>
      <c r="O218" s="325"/>
      <c r="P218" s="326"/>
      <c r="Q218" s="327"/>
      <c r="R218" s="327"/>
      <c r="S218" s="327"/>
      <c r="T218" s="327"/>
      <c r="U218" s="318"/>
      <c r="V218" s="318"/>
    </row>
    <row r="219" spans="1:22" ht="15.6" hidden="1" outlineLevel="3">
      <c r="A219" s="318"/>
      <c r="E219" s="781" t="s">
        <v>498</v>
      </c>
      <c r="F219" s="826" t="s">
        <v>917</v>
      </c>
      <c r="G219" s="781" t="s">
        <v>918</v>
      </c>
      <c r="H219" s="781" t="s">
        <v>907</v>
      </c>
      <c r="I219" s="781" t="s">
        <v>919</v>
      </c>
      <c r="O219" s="325"/>
      <c r="P219" s="326"/>
      <c r="Q219" s="327"/>
      <c r="R219" s="327"/>
      <c r="S219" s="327"/>
      <c r="T219" s="327"/>
      <c r="U219" s="318"/>
      <c r="V219" s="318"/>
    </row>
    <row r="220" spans="1:22" ht="15.6" hidden="1" outlineLevel="3">
      <c r="A220" s="318">
        <v>1</v>
      </c>
      <c r="B220" t="str">
        <f>+B$67</f>
        <v xml:space="preserve">Carson City </v>
      </c>
      <c r="E220" s="827">
        <f>+E199-E210</f>
        <v>100</v>
      </c>
      <c r="F220" s="827">
        <f t="shared" ref="F220:I220" si="48">+F199-F210</f>
        <v>20</v>
      </c>
      <c r="G220" s="827">
        <f t="shared" si="48"/>
        <v>30</v>
      </c>
      <c r="H220" s="827">
        <f t="shared" si="48"/>
        <v>20</v>
      </c>
      <c r="I220" s="827">
        <f t="shared" si="48"/>
        <v>1</v>
      </c>
      <c r="J220" s="818">
        <f t="shared" ref="J220:J226" si="49">SUM(E220:I220)</f>
        <v>171</v>
      </c>
      <c r="O220" s="325"/>
      <c r="P220" s="326"/>
      <c r="Q220" s="327"/>
      <c r="R220" s="327"/>
      <c r="S220" s="327"/>
      <c r="T220" s="327"/>
      <c r="U220" s="318"/>
      <c r="V220" s="318"/>
    </row>
    <row r="221" spans="1:22" ht="15.6" hidden="1" outlineLevel="3">
      <c r="A221" s="318">
        <f>1+A220</f>
        <v>2</v>
      </c>
      <c r="B221" t="str">
        <f>+$B$68</f>
        <v>Churchill</v>
      </c>
      <c r="E221" s="828">
        <f t="shared" ref="E221:I221" si="50">+E200-E211</f>
        <v>0</v>
      </c>
      <c r="F221" s="828">
        <f t="shared" si="50"/>
        <v>30</v>
      </c>
      <c r="G221" s="828">
        <f t="shared" si="50"/>
        <v>0</v>
      </c>
      <c r="H221" s="828">
        <f t="shared" si="50"/>
        <v>0</v>
      </c>
      <c r="I221" s="828">
        <f t="shared" si="50"/>
        <v>0</v>
      </c>
      <c r="J221" s="818">
        <f t="shared" si="49"/>
        <v>30</v>
      </c>
      <c r="O221" s="325"/>
      <c r="P221" s="326"/>
      <c r="Q221" s="327"/>
      <c r="R221" s="327"/>
      <c r="S221" s="327"/>
      <c r="T221" s="327"/>
      <c r="U221" s="318"/>
      <c r="V221" s="318"/>
    </row>
    <row r="222" spans="1:22" ht="15.6" hidden="1" outlineLevel="3">
      <c r="A222" s="318">
        <f t="shared" ref="A222:A225" si="51">1+A221</f>
        <v>3</v>
      </c>
      <c r="B222" t="str">
        <f>+$B$69</f>
        <v>Clark</v>
      </c>
      <c r="E222" s="828">
        <f t="shared" ref="E222:I222" si="52">+E201-E212</f>
        <v>0</v>
      </c>
      <c r="F222" s="828">
        <f t="shared" si="52"/>
        <v>0</v>
      </c>
      <c r="G222" s="828">
        <f t="shared" si="52"/>
        <v>0</v>
      </c>
      <c r="H222" s="828">
        <f t="shared" si="52"/>
        <v>0</v>
      </c>
      <c r="I222" s="828">
        <f t="shared" si="52"/>
        <v>0</v>
      </c>
      <c r="J222" s="818">
        <f t="shared" si="49"/>
        <v>0</v>
      </c>
      <c r="O222" s="325"/>
      <c r="P222" s="326"/>
      <c r="Q222" s="327"/>
      <c r="R222" s="327"/>
      <c r="S222" s="327"/>
      <c r="T222" s="327"/>
      <c r="U222" s="318"/>
      <c r="V222" s="318"/>
    </row>
    <row r="223" spans="1:22" ht="15.6" hidden="1" outlineLevel="3">
      <c r="A223" s="318">
        <f t="shared" si="51"/>
        <v>4</v>
      </c>
      <c r="B223" t="str">
        <f>+$B$70</f>
        <v>Elko</v>
      </c>
      <c r="E223" s="828">
        <f t="shared" ref="E223:I223" si="53">+E202-E213</f>
        <v>0</v>
      </c>
      <c r="F223" s="828">
        <f t="shared" si="53"/>
        <v>0</v>
      </c>
      <c r="G223" s="828">
        <f t="shared" si="53"/>
        <v>0</v>
      </c>
      <c r="H223" s="828">
        <f t="shared" si="53"/>
        <v>0</v>
      </c>
      <c r="I223" s="828">
        <f t="shared" si="53"/>
        <v>0</v>
      </c>
      <c r="J223" s="818">
        <f t="shared" si="49"/>
        <v>0</v>
      </c>
      <c r="O223" s="325"/>
      <c r="P223" s="326"/>
      <c r="Q223" s="327"/>
      <c r="R223" s="327"/>
      <c r="S223" s="327"/>
      <c r="T223" s="327"/>
      <c r="U223" s="318"/>
      <c r="V223" s="318"/>
    </row>
    <row r="224" spans="1:22" ht="15.6" hidden="1" outlineLevel="3">
      <c r="A224" s="318">
        <f t="shared" si="51"/>
        <v>5</v>
      </c>
      <c r="B224" t="str">
        <f>+$B$72</f>
        <v>Washoe</v>
      </c>
      <c r="E224" s="828">
        <f t="shared" ref="E224:I224" si="54">+E203-E214</f>
        <v>0</v>
      </c>
      <c r="F224" s="828">
        <f t="shared" si="54"/>
        <v>0</v>
      </c>
      <c r="G224" s="828">
        <f t="shared" si="54"/>
        <v>0</v>
      </c>
      <c r="H224" s="828">
        <f t="shared" si="54"/>
        <v>0</v>
      </c>
      <c r="I224" s="828">
        <f t="shared" si="54"/>
        <v>0</v>
      </c>
      <c r="J224" s="818">
        <f t="shared" si="49"/>
        <v>0</v>
      </c>
      <c r="O224" s="325"/>
      <c r="P224" s="326"/>
      <c r="Q224" s="327"/>
      <c r="R224" s="327"/>
      <c r="S224" s="327"/>
      <c r="T224" s="327"/>
      <c r="U224" s="318"/>
      <c r="V224" s="318"/>
    </row>
    <row r="225" spans="1:22" ht="15.6" hidden="1" outlineLevel="3">
      <c r="A225" s="318">
        <f t="shared" si="51"/>
        <v>6</v>
      </c>
      <c r="B225" t="str">
        <f>+$B$73</f>
        <v>White Pine</v>
      </c>
      <c r="E225" s="829">
        <f t="shared" ref="E225:I225" si="55">+E204-E215</f>
        <v>0</v>
      </c>
      <c r="F225" s="829">
        <f t="shared" si="55"/>
        <v>10</v>
      </c>
      <c r="G225" s="829">
        <f t="shared" si="55"/>
        <v>0</v>
      </c>
      <c r="H225" s="829">
        <f t="shared" si="55"/>
        <v>0</v>
      </c>
      <c r="I225" s="829">
        <f t="shared" si="55"/>
        <v>0</v>
      </c>
      <c r="J225" s="818">
        <f t="shared" si="49"/>
        <v>10</v>
      </c>
      <c r="O225" s="325"/>
      <c r="P225" s="326"/>
      <c r="Q225" s="327"/>
      <c r="R225" s="327"/>
      <c r="S225" s="327"/>
      <c r="T225" s="327"/>
      <c r="U225" s="318"/>
      <c r="V225" s="318"/>
    </row>
    <row r="226" spans="1:22" ht="15.6" hidden="1" outlineLevel="3">
      <c r="A226" s="318"/>
      <c r="B226" s="825" t="s">
        <v>78</v>
      </c>
      <c r="C226" s="825"/>
      <c r="D226" s="825"/>
      <c r="E226" s="822">
        <f>SUM(E220:E225)</f>
        <v>100</v>
      </c>
      <c r="F226" s="822">
        <f t="shared" ref="F226" si="56">SUM(F220:F225)</f>
        <v>60</v>
      </c>
      <c r="G226" s="822">
        <f t="shared" ref="G226" si="57">SUM(G220:G225)</f>
        <v>30</v>
      </c>
      <c r="H226" s="822">
        <f t="shared" ref="H226" si="58">SUM(H220:H225)</f>
        <v>20</v>
      </c>
      <c r="I226" s="822">
        <f t="shared" ref="I226" si="59">SUM(I220:I225)</f>
        <v>1</v>
      </c>
      <c r="J226" s="822">
        <f t="shared" si="49"/>
        <v>211</v>
      </c>
      <c r="O226" s="325"/>
      <c r="P226" s="326"/>
      <c r="Q226" s="327"/>
      <c r="R226" s="327"/>
      <c r="S226" s="327"/>
      <c r="T226" s="327"/>
      <c r="U226" s="318"/>
      <c r="V226" s="318"/>
    </row>
    <row r="227" spans="1:22" ht="15.6" hidden="1" outlineLevel="3">
      <c r="A227" s="318"/>
      <c r="O227" s="325"/>
      <c r="P227" s="326"/>
      <c r="Q227" s="327"/>
      <c r="R227" s="327"/>
      <c r="S227" s="327"/>
      <c r="T227" s="327"/>
      <c r="U227" s="318"/>
      <c r="V227" s="318"/>
    </row>
    <row r="228" spans="1:22" ht="15.6" hidden="1" outlineLevel="3">
      <c r="A228" s="318"/>
      <c r="B228" s="825" t="s">
        <v>953</v>
      </c>
      <c r="C228" s="825"/>
      <c r="D228" s="825"/>
      <c r="E228" s="822">
        <f>+E216+E226</f>
        <v>100</v>
      </c>
      <c r="F228" s="822">
        <f t="shared" ref="F228:I228" si="60">+F216+F226</f>
        <v>125</v>
      </c>
      <c r="G228" s="822">
        <f t="shared" si="60"/>
        <v>50</v>
      </c>
      <c r="H228" s="822">
        <f t="shared" si="60"/>
        <v>50</v>
      </c>
      <c r="I228" s="822">
        <f t="shared" si="60"/>
        <v>2</v>
      </c>
      <c r="J228" s="822">
        <f>SUM(E228:I228)</f>
        <v>327</v>
      </c>
      <c r="O228" s="325"/>
      <c r="P228" s="326"/>
      <c r="Q228" s="327"/>
      <c r="R228" s="327"/>
      <c r="S228" s="327"/>
      <c r="T228" s="327"/>
      <c r="U228" s="318"/>
      <c r="V228" s="318"/>
    </row>
    <row r="229" spans="1:22" ht="15.6" hidden="1" outlineLevel="2" collapsed="1">
      <c r="A229" s="318"/>
      <c r="O229" s="325"/>
      <c r="P229" s="326"/>
      <c r="Q229" s="327"/>
      <c r="R229" s="327"/>
      <c r="S229" s="327"/>
      <c r="T229" s="327"/>
      <c r="U229" s="318"/>
      <c r="V229" s="318"/>
    </row>
    <row r="230" spans="1:22" ht="15.6" hidden="1" outlineLevel="2">
      <c r="A230" s="318"/>
      <c r="B230" s="841" t="s">
        <v>362</v>
      </c>
      <c r="C230" s="841"/>
      <c r="D230" s="841"/>
      <c r="E230" s="842"/>
      <c r="F230" s="842"/>
      <c r="G230" s="842"/>
      <c r="H230" s="842"/>
      <c r="I230" s="842"/>
      <c r="J230" s="842"/>
      <c r="O230" s="325"/>
      <c r="P230" s="326"/>
      <c r="Q230" s="327"/>
      <c r="R230" s="327"/>
      <c r="S230" s="327"/>
      <c r="T230" s="327"/>
      <c r="U230" s="318"/>
      <c r="V230" s="318"/>
    </row>
    <row r="231" spans="1:22" ht="15.6" hidden="1" outlineLevel="2">
      <c r="A231" s="318"/>
      <c r="B231" s="836" t="s">
        <v>927</v>
      </c>
      <c r="C231" s="836"/>
      <c r="D231" s="836"/>
      <c r="E231" s="790"/>
      <c r="F231" s="790"/>
      <c r="G231" s="836"/>
      <c r="H231" s="790"/>
      <c r="I231" s="790"/>
      <c r="J231" s="837"/>
      <c r="O231" s="325"/>
      <c r="P231" s="326"/>
      <c r="Q231" s="327"/>
      <c r="R231" s="327"/>
      <c r="S231" s="327"/>
      <c r="T231" s="327"/>
      <c r="U231" s="318"/>
      <c r="V231" s="318"/>
    </row>
    <row r="232" spans="1:22" ht="15.6" hidden="1" outlineLevel="2">
      <c r="A232" s="318"/>
      <c r="B232" s="778"/>
      <c r="C232" s="778"/>
      <c r="D232" s="778"/>
      <c r="E232" s="778" t="s">
        <v>949</v>
      </c>
      <c r="F232" s="345"/>
      <c r="G232" s="778"/>
      <c r="H232" s="345"/>
      <c r="I232" s="345"/>
      <c r="J232" s="832"/>
      <c r="O232" s="325"/>
      <c r="P232" s="326"/>
      <c r="Q232" s="327"/>
      <c r="R232" s="327"/>
      <c r="S232" s="327"/>
      <c r="T232" s="327"/>
      <c r="U232" s="318"/>
      <c r="V232" s="318"/>
    </row>
    <row r="233" spans="1:22" ht="15.6" hidden="1" outlineLevel="2">
      <c r="A233" s="318"/>
      <c r="B233" s="781"/>
      <c r="C233" s="781"/>
      <c r="D233" s="781"/>
      <c r="E233" s="781" t="s">
        <v>498</v>
      </c>
      <c r="F233" s="781" t="s">
        <v>917</v>
      </c>
      <c r="G233" s="781" t="s">
        <v>918</v>
      </c>
      <c r="H233" s="781" t="s">
        <v>907</v>
      </c>
      <c r="I233" s="781" t="s">
        <v>919</v>
      </c>
      <c r="J233" s="781" t="s">
        <v>78</v>
      </c>
      <c r="O233" s="325"/>
      <c r="P233" s="326"/>
      <c r="Q233" s="327"/>
      <c r="R233" s="327"/>
      <c r="S233" s="327"/>
      <c r="T233" s="327"/>
      <c r="U233" s="318"/>
      <c r="V233" s="318"/>
    </row>
    <row r="234" spans="1:22" ht="15.6" hidden="1" outlineLevel="2">
      <c r="A234" s="318">
        <v>1</v>
      </c>
      <c r="B234" t="str">
        <f>+B$67</f>
        <v xml:space="preserve">Carson City </v>
      </c>
      <c r="C234" s="424"/>
      <c r="D234" s="424">
        <f>D67</f>
        <v>7494</v>
      </c>
      <c r="E234" s="849">
        <f>+E247+E257</f>
        <v>74940</v>
      </c>
      <c r="F234" s="849">
        <f t="shared" ref="F234:I234" si="61">+F247+F257</f>
        <v>41452.014005835765</v>
      </c>
      <c r="G234" s="849">
        <f t="shared" si="61"/>
        <v>41067.120000000003</v>
      </c>
      <c r="H234" s="849">
        <f t="shared" si="61"/>
        <v>38144.46</v>
      </c>
      <c r="I234" s="849">
        <f t="shared" si="61"/>
        <v>8393.2800000000007</v>
      </c>
      <c r="J234" s="847">
        <f t="shared" ref="J234:J241" si="62">SUM(E234:I234)</f>
        <v>203996.87400583577</v>
      </c>
      <c r="O234" s="325"/>
      <c r="P234" s="326"/>
      <c r="Q234" s="327"/>
      <c r="R234" s="327"/>
      <c r="S234" s="327"/>
      <c r="T234" s="327"/>
      <c r="U234" s="318"/>
      <c r="V234" s="318"/>
    </row>
    <row r="235" spans="1:22" ht="15.6" hidden="1" outlineLevel="2">
      <c r="A235" s="318">
        <f>1+A234</f>
        <v>2</v>
      </c>
      <c r="B235" t="str">
        <f>+$B$68</f>
        <v>Churchill</v>
      </c>
      <c r="C235" s="4"/>
      <c r="D235" s="4">
        <f>D68</f>
        <v>8093</v>
      </c>
      <c r="E235" s="813">
        <f t="shared" ref="E235:I235" si="63">+E248+E258</f>
        <v>80930</v>
      </c>
      <c r="F235" s="813">
        <f t="shared" si="63"/>
        <v>44765.298818952338</v>
      </c>
      <c r="G235" s="813">
        <f t="shared" si="63"/>
        <v>44349.64</v>
      </c>
      <c r="H235" s="813">
        <f t="shared" si="63"/>
        <v>41193.370000000003</v>
      </c>
      <c r="I235" s="813">
        <f t="shared" si="63"/>
        <v>9064.16</v>
      </c>
      <c r="J235" s="813">
        <f t="shared" si="62"/>
        <v>220302.46881895236</v>
      </c>
      <c r="O235" s="325"/>
      <c r="P235" s="326"/>
      <c r="Q235" s="327"/>
      <c r="R235" s="327"/>
      <c r="S235" s="327"/>
      <c r="T235" s="327"/>
      <c r="U235" s="318"/>
      <c r="V235" s="318"/>
    </row>
    <row r="236" spans="1:22" ht="15.6" hidden="1" outlineLevel="2">
      <c r="A236" s="318">
        <f t="shared" ref="A236:A239" si="64">1+A235</f>
        <v>3</v>
      </c>
      <c r="B236" t="str">
        <f>+$B$69</f>
        <v>Clark</v>
      </c>
      <c r="C236" s="4"/>
      <c r="D236" s="4">
        <f>D69</f>
        <v>7197</v>
      </c>
      <c r="E236" s="813">
        <f t="shared" ref="E236:I236" si="65">+E249+E259</f>
        <v>71970</v>
      </c>
      <c r="F236" s="813">
        <f t="shared" si="65"/>
        <v>39809.199999999997</v>
      </c>
      <c r="G236" s="813">
        <f t="shared" si="65"/>
        <v>39439.56</v>
      </c>
      <c r="H236" s="813">
        <f t="shared" si="65"/>
        <v>36632.730000000003</v>
      </c>
      <c r="I236" s="813">
        <f t="shared" si="65"/>
        <v>8060.64</v>
      </c>
      <c r="J236" s="813">
        <f t="shared" si="62"/>
        <v>195912.13000000003</v>
      </c>
      <c r="O236" s="325"/>
      <c r="P236" s="326"/>
      <c r="Q236" s="327"/>
      <c r="R236" s="327"/>
      <c r="S236" s="327"/>
      <c r="T236" s="327"/>
      <c r="U236" s="318"/>
      <c r="V236" s="318"/>
    </row>
    <row r="237" spans="1:22" ht="15.6" hidden="1" outlineLevel="2">
      <c r="A237" s="318">
        <f t="shared" si="64"/>
        <v>4</v>
      </c>
      <c r="B237" t="str">
        <f>+$B$70</f>
        <v>Elko</v>
      </c>
      <c r="C237" s="4"/>
      <c r="D237" s="4">
        <f>D70</f>
        <v>7715</v>
      </c>
      <c r="E237" s="813">
        <f>+E250+E260</f>
        <v>77150</v>
      </c>
      <c r="F237" s="813">
        <f t="shared" ref="F237:I237" si="66">+F250+F260</f>
        <v>42674.444629706821</v>
      </c>
      <c r="G237" s="813">
        <f t="shared" si="66"/>
        <v>42278.2</v>
      </c>
      <c r="H237" s="813">
        <f t="shared" si="66"/>
        <v>39269.35</v>
      </c>
      <c r="I237" s="813">
        <f t="shared" si="66"/>
        <v>8640.7999999999993</v>
      </c>
      <c r="J237" s="813">
        <f t="shared" si="62"/>
        <v>210012.7946297068</v>
      </c>
      <c r="O237" s="325"/>
      <c r="P237" s="326"/>
      <c r="Q237" s="327"/>
      <c r="R237" s="327"/>
      <c r="S237" s="327"/>
      <c r="T237" s="327"/>
      <c r="U237" s="318"/>
      <c r="V237" s="318"/>
    </row>
    <row r="238" spans="1:22" ht="15.6" hidden="1" outlineLevel="2">
      <c r="A238" s="318">
        <f t="shared" si="64"/>
        <v>5</v>
      </c>
      <c r="B238" t="str">
        <f>+$B$72</f>
        <v>Washoe</v>
      </c>
      <c r="C238" s="4"/>
      <c r="D238" s="4">
        <f>D72</f>
        <v>6980</v>
      </c>
      <c r="E238" s="824">
        <f t="shared" ref="E238:I238" si="67">+E251+E261</f>
        <v>69800</v>
      </c>
      <c r="F238" s="824">
        <f t="shared" si="67"/>
        <v>38608.894817284978</v>
      </c>
      <c r="G238" s="824">
        <f t="shared" si="67"/>
        <v>38250.400000000001</v>
      </c>
      <c r="H238" s="824">
        <f t="shared" si="67"/>
        <v>35528.199999999997</v>
      </c>
      <c r="I238" s="824">
        <f t="shared" si="67"/>
        <v>7817.6</v>
      </c>
      <c r="J238" s="813">
        <f t="shared" si="62"/>
        <v>190005.09481728499</v>
      </c>
      <c r="O238" s="325"/>
      <c r="P238" s="326"/>
      <c r="Q238" s="327"/>
      <c r="R238" s="327"/>
      <c r="S238" s="327"/>
      <c r="T238" s="327"/>
      <c r="U238" s="318"/>
      <c r="V238" s="318"/>
    </row>
    <row r="239" spans="1:22" ht="15.6" hidden="1" outlineLevel="2">
      <c r="A239" s="318">
        <f t="shared" si="64"/>
        <v>6</v>
      </c>
      <c r="B239" t="str">
        <f>+$B$73</f>
        <v>White Pine</v>
      </c>
      <c r="C239" s="4"/>
      <c r="D239" s="4">
        <f>D73</f>
        <v>10367</v>
      </c>
      <c r="E239" s="824">
        <f t="shared" ref="E239:I239" si="68">+E252+E262</f>
        <v>103670</v>
      </c>
      <c r="F239" s="824">
        <f t="shared" si="68"/>
        <v>57343.612116159507</v>
      </c>
      <c r="G239" s="824">
        <f t="shared" si="68"/>
        <v>56811.16</v>
      </c>
      <c r="H239" s="824">
        <f t="shared" si="68"/>
        <v>52768.03</v>
      </c>
      <c r="I239" s="824">
        <f t="shared" si="68"/>
        <v>11611.04</v>
      </c>
      <c r="J239" s="824">
        <f t="shared" si="62"/>
        <v>282203.8421161595</v>
      </c>
      <c r="O239" s="325"/>
      <c r="P239" s="326"/>
      <c r="Q239" s="327"/>
      <c r="R239" s="327"/>
      <c r="S239" s="327"/>
      <c r="T239" s="327"/>
      <c r="U239" s="318"/>
      <c r="V239" s="318"/>
    </row>
    <row r="240" spans="1:22" ht="15.6" hidden="1" outlineLevel="2">
      <c r="A240" s="318"/>
      <c r="B240" s="825" t="s">
        <v>440</v>
      </c>
      <c r="C240" s="825"/>
      <c r="D240" s="825"/>
      <c r="E240" s="848">
        <f>SUM(E234:E239)</f>
        <v>478460</v>
      </c>
      <c r="F240" s="848">
        <f>SUM(F234:F239)</f>
        <v>264653.46438793937</v>
      </c>
      <c r="G240" s="848">
        <f t="shared" ref="G240" si="69">SUM(G234:G239)</f>
        <v>262196.08</v>
      </c>
      <c r="H240" s="848">
        <f t="shared" ref="H240" si="70">SUM(H234:H239)</f>
        <v>243536.13999999998</v>
      </c>
      <c r="I240" s="848">
        <f t="shared" ref="I240" si="71">SUM(I234:I239)</f>
        <v>53587.520000000004</v>
      </c>
      <c r="J240" s="850">
        <f t="shared" si="62"/>
        <v>1302433.2043879393</v>
      </c>
      <c r="O240" s="325"/>
      <c r="P240" s="326"/>
      <c r="Q240" s="327"/>
      <c r="R240" s="327"/>
      <c r="S240" s="327"/>
      <c r="T240" s="327"/>
      <c r="U240" s="318"/>
      <c r="V240" s="318"/>
    </row>
    <row r="241" spans="1:22" ht="15.6" hidden="1" outlineLevel="2">
      <c r="A241" s="318"/>
      <c r="B241" s="1" t="s">
        <v>437</v>
      </c>
      <c r="E241" s="818">
        <f>+E170</f>
        <v>60</v>
      </c>
      <c r="F241" s="818">
        <f t="shared" ref="F241:I241" si="72">+F170</f>
        <v>24</v>
      </c>
      <c r="G241" s="818">
        <f t="shared" si="72"/>
        <v>30</v>
      </c>
      <c r="H241" s="818">
        <f t="shared" si="72"/>
        <v>30</v>
      </c>
      <c r="I241" s="818">
        <f t="shared" si="72"/>
        <v>6</v>
      </c>
      <c r="J241" s="818">
        <f t="shared" si="62"/>
        <v>150</v>
      </c>
      <c r="O241" s="325"/>
      <c r="P241" s="326"/>
      <c r="Q241" s="327"/>
      <c r="R241" s="327"/>
      <c r="S241" s="327"/>
      <c r="T241" s="327"/>
      <c r="U241" s="318"/>
      <c r="V241" s="318"/>
    </row>
    <row r="242" spans="1:22" ht="15.6" hidden="1" outlineLevel="2">
      <c r="A242" s="318"/>
      <c r="B242" s="825" t="s">
        <v>956</v>
      </c>
      <c r="C242" s="835"/>
      <c r="D242" s="835"/>
      <c r="E242" s="852">
        <f t="shared" ref="E242:I242" si="73">+E240/E241</f>
        <v>7974.333333333333</v>
      </c>
      <c r="F242" s="852">
        <f t="shared" si="73"/>
        <v>11027.227682830808</v>
      </c>
      <c r="G242" s="852">
        <f t="shared" si="73"/>
        <v>8739.869333333334</v>
      </c>
      <c r="H242" s="852">
        <f t="shared" si="73"/>
        <v>8117.8713333333326</v>
      </c>
      <c r="I242" s="852">
        <f t="shared" si="73"/>
        <v>8931.253333333334</v>
      </c>
      <c r="J242" s="852">
        <f>+J240/J241</f>
        <v>8682.8880292529284</v>
      </c>
      <c r="O242" s="325"/>
      <c r="P242" s="326"/>
      <c r="Q242" s="327"/>
      <c r="R242" s="327"/>
      <c r="S242" s="327"/>
      <c r="T242" s="327"/>
      <c r="U242" s="318"/>
      <c r="V242" s="318"/>
    </row>
    <row r="243" spans="1:22" ht="15.6" hidden="1" outlineLevel="2">
      <c r="A243" s="318"/>
      <c r="B243" s="1"/>
      <c r="J243" s="818"/>
      <c r="O243" s="325"/>
      <c r="P243" s="326"/>
      <c r="Q243" s="327"/>
      <c r="R243" s="327"/>
      <c r="S243" s="327"/>
      <c r="T243" s="327"/>
      <c r="U243" s="318"/>
      <c r="V243" s="318"/>
    </row>
    <row r="244" spans="1:22" ht="15.6" hidden="1" outlineLevel="2">
      <c r="A244" s="318"/>
      <c r="E244" s="778" t="s">
        <v>957</v>
      </c>
      <c r="F244" s="345"/>
      <c r="G244" s="778"/>
      <c r="H244" s="778"/>
      <c r="I244" s="778"/>
      <c r="J244" s="345"/>
      <c r="O244" s="325"/>
      <c r="P244" s="326"/>
      <c r="Q244" s="327"/>
      <c r="R244" s="327"/>
      <c r="S244" s="327"/>
      <c r="T244" s="327"/>
      <c r="U244" s="318"/>
      <c r="V244" s="318"/>
    </row>
    <row r="245" spans="1:22" ht="15.6" hidden="1" outlineLevel="2">
      <c r="A245" s="318"/>
      <c r="E245" s="781" t="s">
        <v>498</v>
      </c>
      <c r="F245" s="781" t="s">
        <v>917</v>
      </c>
      <c r="G245" s="781" t="s">
        <v>918</v>
      </c>
      <c r="H245" s="781" t="s">
        <v>907</v>
      </c>
      <c r="I245" s="781" t="s">
        <v>919</v>
      </c>
      <c r="J245" s="814"/>
      <c r="O245" s="325"/>
      <c r="P245" s="326"/>
      <c r="Q245" s="327"/>
      <c r="R245" s="327"/>
      <c r="S245" s="327"/>
      <c r="T245" s="327"/>
      <c r="U245" s="318"/>
      <c r="V245" s="318"/>
    </row>
    <row r="246" spans="1:22" ht="15.6" hidden="1" outlineLevel="2">
      <c r="A246" s="318"/>
      <c r="B246" s="781" t="s">
        <v>951</v>
      </c>
      <c r="C246" s="781"/>
      <c r="D246" s="781"/>
      <c r="E246" s="858">
        <v>0</v>
      </c>
      <c r="F246" s="857">
        <f>+F174</f>
        <v>0.38284007225232736</v>
      </c>
      <c r="G246" s="857">
        <f t="shared" ref="G246:I246" si="74">+G174</f>
        <v>0.24</v>
      </c>
      <c r="H246" s="857">
        <f t="shared" si="74"/>
        <v>0.03</v>
      </c>
      <c r="I246" s="857">
        <f t="shared" si="74"/>
        <v>0.12</v>
      </c>
      <c r="J246" s="781" t="s">
        <v>78</v>
      </c>
      <c r="O246" s="325"/>
      <c r="P246" s="326"/>
      <c r="Q246" s="327"/>
      <c r="R246" s="327"/>
      <c r="S246" s="327"/>
      <c r="T246" s="327"/>
      <c r="U246" s="318"/>
      <c r="V246" s="318"/>
    </row>
    <row r="247" spans="1:22" ht="15.6" hidden="1" outlineLevel="2">
      <c r="A247" s="318">
        <v>1</v>
      </c>
      <c r="B247" t="str">
        <f>+B$67</f>
        <v xml:space="preserve">Carson City </v>
      </c>
      <c r="C247" s="424"/>
      <c r="D247" s="424">
        <f>D67</f>
        <v>7494</v>
      </c>
      <c r="E247" s="816"/>
      <c r="F247" s="867">
        <f t="shared" ref="F247:I252" si="75">F$246*F175*$D247</f>
        <v>11476.014005835765</v>
      </c>
      <c r="G247" s="867">
        <f t="shared" si="75"/>
        <v>3597.12</v>
      </c>
      <c r="H247" s="867">
        <f t="shared" si="75"/>
        <v>674.45999999999992</v>
      </c>
      <c r="I247" s="867">
        <f t="shared" si="75"/>
        <v>899.28</v>
      </c>
      <c r="J247" s="847">
        <f t="shared" ref="J247:J253" si="76">SUM(E247:I247)</f>
        <v>16646.874005835762</v>
      </c>
      <c r="O247" s="325"/>
      <c r="P247" s="326"/>
      <c r="Q247" s="327"/>
      <c r="R247" s="327"/>
      <c r="S247" s="327"/>
      <c r="T247" s="327"/>
      <c r="U247" s="318"/>
      <c r="V247" s="318"/>
    </row>
    <row r="248" spans="1:22" ht="15.6" hidden="1" outlineLevel="2">
      <c r="A248" s="318">
        <f>1+A247</f>
        <v>2</v>
      </c>
      <c r="B248" t="str">
        <f>+$B$68</f>
        <v>Churchill</v>
      </c>
      <c r="C248" s="4"/>
      <c r="D248" s="4">
        <f>D68</f>
        <v>8093</v>
      </c>
      <c r="E248" s="816"/>
      <c r="F248" s="844">
        <f t="shared" si="75"/>
        <v>12393.29881895234</v>
      </c>
      <c r="G248" s="844">
        <f t="shared" si="75"/>
        <v>3884.64</v>
      </c>
      <c r="H248" s="844">
        <f t="shared" si="75"/>
        <v>728.37</v>
      </c>
      <c r="I248" s="844">
        <f t="shared" si="75"/>
        <v>971.16</v>
      </c>
      <c r="J248" s="813">
        <f t="shared" si="76"/>
        <v>17977.46881895234</v>
      </c>
      <c r="O248" s="325"/>
      <c r="P248" s="326"/>
      <c r="Q248" s="327"/>
      <c r="R248" s="327"/>
      <c r="S248" s="327"/>
      <c r="T248" s="327"/>
      <c r="U248" s="318"/>
      <c r="V248" s="318"/>
    </row>
    <row r="249" spans="1:22" ht="15.6" hidden="1" outlineLevel="2">
      <c r="A249" s="318">
        <f t="shared" ref="A249:A252" si="77">1+A248</f>
        <v>3</v>
      </c>
      <c r="B249" t="str">
        <f>+$B$69</f>
        <v>Clark</v>
      </c>
      <c r="C249" s="4"/>
      <c r="D249" s="4">
        <f>D69</f>
        <v>7197</v>
      </c>
      <c r="E249" s="816"/>
      <c r="F249" s="844">
        <f t="shared" si="75"/>
        <v>11021.2</v>
      </c>
      <c r="G249" s="844">
        <f t="shared" si="75"/>
        <v>3454.56</v>
      </c>
      <c r="H249" s="844">
        <f t="shared" si="75"/>
        <v>647.73</v>
      </c>
      <c r="I249" s="844">
        <f t="shared" si="75"/>
        <v>863.64</v>
      </c>
      <c r="J249" s="813">
        <f t="shared" si="76"/>
        <v>15987.13</v>
      </c>
      <c r="O249" s="325"/>
      <c r="P249" s="326"/>
      <c r="Q249" s="327"/>
      <c r="R249" s="327"/>
      <c r="S249" s="327"/>
      <c r="T249" s="327"/>
      <c r="U249" s="318"/>
      <c r="V249" s="318"/>
    </row>
    <row r="250" spans="1:22" ht="15.6" hidden="1" outlineLevel="2">
      <c r="A250" s="318">
        <f t="shared" si="77"/>
        <v>4</v>
      </c>
      <c r="B250" t="str">
        <f>+$B$70</f>
        <v>Elko</v>
      </c>
      <c r="C250" s="4"/>
      <c r="D250" s="4">
        <f>D70</f>
        <v>7715</v>
      </c>
      <c r="E250" s="816"/>
      <c r="F250" s="844">
        <f t="shared" si="75"/>
        <v>11814.444629706823</v>
      </c>
      <c r="G250" s="844">
        <f t="shared" si="75"/>
        <v>3703.2</v>
      </c>
      <c r="H250" s="844">
        <f t="shared" si="75"/>
        <v>694.35</v>
      </c>
      <c r="I250" s="844">
        <f t="shared" si="75"/>
        <v>925.8</v>
      </c>
      <c r="J250" s="813">
        <f t="shared" si="76"/>
        <v>17137.794629706823</v>
      </c>
      <c r="O250" s="325"/>
      <c r="P250" s="326"/>
      <c r="Q250" s="327"/>
      <c r="R250" s="327"/>
      <c r="S250" s="327"/>
      <c r="T250" s="327"/>
      <c r="U250" s="318"/>
      <c r="V250" s="318"/>
    </row>
    <row r="251" spans="1:22" ht="15.6" hidden="1" outlineLevel="2">
      <c r="A251" s="318">
        <f t="shared" si="77"/>
        <v>5</v>
      </c>
      <c r="B251" t="str">
        <f>+$B$72</f>
        <v>Washoe</v>
      </c>
      <c r="C251" s="4"/>
      <c r="D251" s="4">
        <f>D72</f>
        <v>6980</v>
      </c>
      <c r="E251" s="816"/>
      <c r="F251" s="844">
        <f t="shared" si="75"/>
        <v>10688.89481728498</v>
      </c>
      <c r="G251" s="844">
        <f t="shared" si="75"/>
        <v>3350.4</v>
      </c>
      <c r="H251" s="844">
        <f t="shared" si="75"/>
        <v>628.19999999999993</v>
      </c>
      <c r="I251" s="844">
        <f t="shared" si="75"/>
        <v>837.6</v>
      </c>
      <c r="J251" s="813">
        <f t="shared" si="76"/>
        <v>15505.09481728498</v>
      </c>
      <c r="O251" s="325"/>
      <c r="P251" s="326"/>
      <c r="Q251" s="327"/>
      <c r="R251" s="327"/>
      <c r="S251" s="327"/>
      <c r="T251" s="327"/>
      <c r="U251" s="318"/>
      <c r="V251" s="318"/>
    </row>
    <row r="252" spans="1:22" ht="15.6" hidden="1" outlineLevel="2">
      <c r="A252" s="318">
        <f t="shared" si="77"/>
        <v>6</v>
      </c>
      <c r="B252" t="str">
        <f>+$B$73</f>
        <v>White Pine</v>
      </c>
      <c r="C252" s="4"/>
      <c r="D252" s="4">
        <f>D73</f>
        <v>10367</v>
      </c>
      <c r="E252" s="816"/>
      <c r="F252" s="845">
        <f t="shared" si="75"/>
        <v>15875.612116159511</v>
      </c>
      <c r="G252" s="845">
        <f t="shared" si="75"/>
        <v>4976.16</v>
      </c>
      <c r="H252" s="845">
        <f t="shared" si="75"/>
        <v>933.03</v>
      </c>
      <c r="I252" s="845">
        <f t="shared" si="75"/>
        <v>1244.04</v>
      </c>
      <c r="J252" s="824">
        <f t="shared" si="76"/>
        <v>23028.842116159511</v>
      </c>
      <c r="O252" s="325"/>
      <c r="P252" s="326"/>
      <c r="Q252" s="327"/>
      <c r="R252" s="327"/>
      <c r="S252" s="327"/>
      <c r="T252" s="327"/>
      <c r="U252" s="318"/>
      <c r="V252" s="318"/>
    </row>
    <row r="253" spans="1:22" ht="15.6" hidden="1" outlineLevel="2">
      <c r="A253" s="318"/>
      <c r="B253" s="825" t="s">
        <v>78</v>
      </c>
      <c r="C253" s="825"/>
      <c r="D253" s="825"/>
      <c r="E253" s="853"/>
      <c r="F253" s="852">
        <f t="shared" ref="F253" si="78">SUM(F247:F252)</f>
        <v>73269.464387939413</v>
      </c>
      <c r="G253" s="852">
        <f t="shared" ref="G253" si="79">SUM(G247:G252)</f>
        <v>22966.080000000002</v>
      </c>
      <c r="H253" s="852">
        <f t="shared" ref="H253" si="80">SUM(H247:H252)</f>
        <v>4306.1399999999994</v>
      </c>
      <c r="I253" s="852">
        <f t="shared" ref="I253" si="81">SUM(I247:I252)</f>
        <v>5741.52</v>
      </c>
      <c r="J253" s="848">
        <f t="shared" si="76"/>
        <v>106283.20438793942</v>
      </c>
      <c r="O253" s="325"/>
      <c r="P253" s="326"/>
      <c r="Q253" s="327"/>
      <c r="R253" s="327"/>
      <c r="S253" s="327"/>
      <c r="T253" s="327"/>
      <c r="U253" s="318"/>
      <c r="V253" s="318"/>
    </row>
    <row r="254" spans="1:22" ht="15.6" hidden="1" outlineLevel="2">
      <c r="A254" s="318"/>
      <c r="O254" s="325"/>
      <c r="P254" s="326"/>
      <c r="Q254" s="327"/>
      <c r="R254" s="327"/>
      <c r="S254" s="327"/>
      <c r="T254" s="327"/>
      <c r="U254" s="318"/>
      <c r="V254" s="318"/>
    </row>
    <row r="255" spans="1:22" ht="15.6" hidden="1" outlineLevel="2">
      <c r="A255" s="318"/>
      <c r="E255" s="778" t="s">
        <v>958</v>
      </c>
      <c r="F255" s="1"/>
      <c r="G255" s="345"/>
      <c r="H255" s="345"/>
      <c r="I255" s="345"/>
      <c r="O255" s="325"/>
      <c r="P255" s="326"/>
      <c r="Q255" s="327"/>
      <c r="R255" s="327"/>
      <c r="S255" s="327"/>
      <c r="T255" s="327"/>
      <c r="U255" s="318"/>
      <c r="V255" s="318"/>
    </row>
    <row r="256" spans="1:22" ht="15.6" hidden="1" outlineLevel="2">
      <c r="A256" s="318"/>
      <c r="E256" s="781" t="s">
        <v>498</v>
      </c>
      <c r="F256" s="826" t="s">
        <v>917</v>
      </c>
      <c r="G256" s="781" t="s">
        <v>918</v>
      </c>
      <c r="H256" s="781" t="s">
        <v>907</v>
      </c>
      <c r="I256" s="781" t="s">
        <v>919</v>
      </c>
      <c r="J256" s="826" t="s">
        <v>78</v>
      </c>
      <c r="O256" s="325"/>
      <c r="P256" s="326"/>
      <c r="Q256" s="327"/>
      <c r="R256" s="327"/>
      <c r="S256" s="327"/>
      <c r="T256" s="327"/>
      <c r="U256" s="318"/>
      <c r="V256" s="318"/>
    </row>
    <row r="257" spans="1:22" ht="15.6" hidden="1" outlineLevel="2">
      <c r="A257" s="318">
        <v>1</v>
      </c>
      <c r="B257" t="str">
        <f>+B$67</f>
        <v xml:space="preserve">Carson City </v>
      </c>
      <c r="C257" s="424"/>
      <c r="D257" s="424">
        <f>D67</f>
        <v>7494</v>
      </c>
      <c r="E257" s="868">
        <f>+$D67*E164</f>
        <v>74940</v>
      </c>
      <c r="F257" s="868">
        <f>+$D257*F164</f>
        <v>29976</v>
      </c>
      <c r="G257" s="868">
        <f t="shared" ref="G257:I260" si="82">+$D67*G164</f>
        <v>37470</v>
      </c>
      <c r="H257" s="868">
        <f t="shared" si="82"/>
        <v>37470</v>
      </c>
      <c r="I257" s="868">
        <f t="shared" si="82"/>
        <v>7494</v>
      </c>
      <c r="J257" s="851">
        <f t="shared" ref="J257:J263" si="83">SUM(E257:I257)</f>
        <v>187350</v>
      </c>
      <c r="O257" s="325"/>
      <c r="P257" s="326"/>
      <c r="Q257" s="327"/>
      <c r="R257" s="327"/>
      <c r="S257" s="327"/>
      <c r="T257" s="327"/>
      <c r="U257" s="318"/>
      <c r="V257" s="318"/>
    </row>
    <row r="258" spans="1:22" ht="15.6" hidden="1" outlineLevel="2">
      <c r="A258" s="318">
        <f>1+A257</f>
        <v>2</v>
      </c>
      <c r="B258" t="str">
        <f>+$B$68</f>
        <v>Churchill</v>
      </c>
      <c r="C258" s="4"/>
      <c r="D258" s="4">
        <f>D68</f>
        <v>8093</v>
      </c>
      <c r="E258" s="828">
        <f>+$D68*E165</f>
        <v>80930</v>
      </c>
      <c r="F258" s="828">
        <f>+$D68*F165</f>
        <v>32372</v>
      </c>
      <c r="G258" s="828">
        <f t="shared" si="82"/>
        <v>40465</v>
      </c>
      <c r="H258" s="828">
        <f t="shared" si="82"/>
        <v>40465</v>
      </c>
      <c r="I258" s="828">
        <f t="shared" si="82"/>
        <v>8093</v>
      </c>
      <c r="J258" s="818">
        <f t="shared" si="83"/>
        <v>202325</v>
      </c>
      <c r="O258" s="325"/>
      <c r="P258" s="326"/>
      <c r="Q258" s="327"/>
      <c r="R258" s="327"/>
      <c r="S258" s="327"/>
      <c r="T258" s="327"/>
      <c r="U258" s="318"/>
      <c r="V258" s="318"/>
    </row>
    <row r="259" spans="1:22" ht="15.6" hidden="1" outlineLevel="2">
      <c r="A259" s="318">
        <f t="shared" ref="A259:A262" si="84">1+A258</f>
        <v>3</v>
      </c>
      <c r="B259" t="str">
        <f>+$B$69</f>
        <v>Clark</v>
      </c>
      <c r="C259" s="4"/>
      <c r="D259" s="4">
        <f>D69</f>
        <v>7197</v>
      </c>
      <c r="E259" s="828">
        <f>+$D69*E166</f>
        <v>71970</v>
      </c>
      <c r="F259" s="828">
        <f>+$D69*F166</f>
        <v>28788</v>
      </c>
      <c r="G259" s="828">
        <f t="shared" si="82"/>
        <v>35985</v>
      </c>
      <c r="H259" s="828">
        <f t="shared" si="82"/>
        <v>35985</v>
      </c>
      <c r="I259" s="828">
        <f t="shared" si="82"/>
        <v>7197</v>
      </c>
      <c r="J259" s="818">
        <f t="shared" si="83"/>
        <v>179925</v>
      </c>
      <c r="O259" s="325"/>
      <c r="P259" s="326"/>
      <c r="Q259" s="327"/>
      <c r="R259" s="327"/>
      <c r="S259" s="327"/>
      <c r="T259" s="327"/>
      <c r="U259" s="318"/>
      <c r="V259" s="318"/>
    </row>
    <row r="260" spans="1:22" ht="15.6" hidden="1" outlineLevel="2">
      <c r="A260" s="318">
        <f t="shared" si="84"/>
        <v>4</v>
      </c>
      <c r="B260" t="str">
        <f>+$B$70</f>
        <v>Elko</v>
      </c>
      <c r="C260" s="4"/>
      <c r="D260" s="4">
        <f>D70</f>
        <v>7715</v>
      </c>
      <c r="E260" s="828">
        <f>+$D70*E167</f>
        <v>77150</v>
      </c>
      <c r="F260" s="828">
        <f>+$D70*F167</f>
        <v>30860</v>
      </c>
      <c r="G260" s="828">
        <f t="shared" si="82"/>
        <v>38575</v>
      </c>
      <c r="H260" s="828">
        <f t="shared" si="82"/>
        <v>38575</v>
      </c>
      <c r="I260" s="828">
        <f t="shared" si="82"/>
        <v>7715</v>
      </c>
      <c r="J260" s="818">
        <f t="shared" si="83"/>
        <v>192875</v>
      </c>
      <c r="O260" s="325"/>
      <c r="P260" s="326"/>
      <c r="Q260" s="327"/>
      <c r="R260" s="327"/>
      <c r="S260" s="327"/>
      <c r="T260" s="327"/>
      <c r="U260" s="318"/>
      <c r="V260" s="318"/>
    </row>
    <row r="261" spans="1:22" ht="15.6" hidden="1" outlineLevel="2">
      <c r="A261" s="318">
        <f t="shared" si="84"/>
        <v>5</v>
      </c>
      <c r="B261" t="str">
        <f>+$B$72</f>
        <v>Washoe</v>
      </c>
      <c r="C261" s="4"/>
      <c r="D261" s="4">
        <f>D72</f>
        <v>6980</v>
      </c>
      <c r="E261" s="828">
        <f t="shared" ref="E261:I262" si="85">+$D72*E168</f>
        <v>69800</v>
      </c>
      <c r="F261" s="828">
        <f t="shared" si="85"/>
        <v>27920</v>
      </c>
      <c r="G261" s="828">
        <f t="shared" si="85"/>
        <v>34900</v>
      </c>
      <c r="H261" s="828">
        <f t="shared" si="85"/>
        <v>34900</v>
      </c>
      <c r="I261" s="828">
        <f t="shared" si="85"/>
        <v>6980</v>
      </c>
      <c r="J261" s="818">
        <f t="shared" si="83"/>
        <v>174500</v>
      </c>
      <c r="O261" s="325"/>
      <c r="P261" s="326"/>
      <c r="Q261" s="327"/>
      <c r="R261" s="327"/>
      <c r="S261" s="327"/>
      <c r="T261" s="327"/>
      <c r="U261" s="318"/>
      <c r="V261" s="318"/>
    </row>
    <row r="262" spans="1:22" ht="15.6" hidden="1" outlineLevel="2">
      <c r="A262" s="318">
        <f t="shared" si="84"/>
        <v>6</v>
      </c>
      <c r="B262" t="str">
        <f>+$B$73</f>
        <v>White Pine</v>
      </c>
      <c r="C262" s="4"/>
      <c r="D262" s="4">
        <f>D73</f>
        <v>10367</v>
      </c>
      <c r="E262" s="829">
        <f t="shared" si="85"/>
        <v>103670</v>
      </c>
      <c r="F262" s="829">
        <f t="shared" si="85"/>
        <v>41468</v>
      </c>
      <c r="G262" s="829">
        <f t="shared" si="85"/>
        <v>51835</v>
      </c>
      <c r="H262" s="829">
        <f t="shared" si="85"/>
        <v>51835</v>
      </c>
      <c r="I262" s="829">
        <f t="shared" si="85"/>
        <v>10367</v>
      </c>
      <c r="J262" s="818">
        <f t="shared" si="83"/>
        <v>259175</v>
      </c>
      <c r="O262" s="325"/>
      <c r="P262" s="326"/>
      <c r="Q262" s="327"/>
      <c r="R262" s="327"/>
      <c r="S262" s="327"/>
      <c r="T262" s="327"/>
      <c r="U262" s="318"/>
      <c r="V262" s="318"/>
    </row>
    <row r="263" spans="1:22" ht="15.6" hidden="1" outlineLevel="2">
      <c r="A263" s="318"/>
      <c r="B263" s="825" t="s">
        <v>78</v>
      </c>
      <c r="C263" s="825"/>
      <c r="D263" s="825"/>
      <c r="E263" s="852">
        <f>SUM(E257:E262)</f>
        <v>478460</v>
      </c>
      <c r="F263" s="852">
        <f t="shared" ref="F263" si="86">SUM(F257:F262)</f>
        <v>191384</v>
      </c>
      <c r="G263" s="852">
        <f t="shared" ref="G263" si="87">SUM(G257:G262)</f>
        <v>239230</v>
      </c>
      <c r="H263" s="852">
        <f t="shared" ref="H263" si="88">SUM(H257:H262)</f>
        <v>239230</v>
      </c>
      <c r="I263" s="852">
        <f t="shared" ref="I263" si="89">SUM(I257:I262)</f>
        <v>47846</v>
      </c>
      <c r="J263" s="852">
        <f t="shared" si="83"/>
        <v>1196150</v>
      </c>
      <c r="O263" s="325"/>
      <c r="P263" s="326"/>
      <c r="Q263" s="327"/>
      <c r="R263" s="327"/>
      <c r="S263" s="327"/>
      <c r="T263" s="327"/>
      <c r="U263" s="318"/>
      <c r="V263" s="318"/>
    </row>
    <row r="264" spans="1:22" ht="15.6" hidden="1" outlineLevel="2">
      <c r="A264" s="318"/>
      <c r="O264" s="325"/>
      <c r="P264" s="326"/>
      <c r="Q264" s="327"/>
      <c r="R264" s="327"/>
      <c r="S264" s="327"/>
      <c r="T264" s="327"/>
      <c r="U264" s="318"/>
      <c r="V264" s="318"/>
    </row>
    <row r="265" spans="1:22" ht="15.6" hidden="1" outlineLevel="2">
      <c r="A265" s="318"/>
      <c r="B265" s="825" t="s">
        <v>953</v>
      </c>
      <c r="C265" s="825"/>
      <c r="D265" s="825"/>
      <c r="E265" s="852">
        <f>+E253+E263</f>
        <v>478460</v>
      </c>
      <c r="F265" s="852">
        <f t="shared" ref="F265:I265" si="90">+F253+F263</f>
        <v>264653.46438793943</v>
      </c>
      <c r="G265" s="852">
        <f t="shared" si="90"/>
        <v>262196.08</v>
      </c>
      <c r="H265" s="852">
        <f t="shared" si="90"/>
        <v>243536.14</v>
      </c>
      <c r="I265" s="852">
        <f t="shared" si="90"/>
        <v>53587.520000000004</v>
      </c>
      <c r="J265" s="854">
        <f>SUM(E265:I265)</f>
        <v>1302433.2043879395</v>
      </c>
      <c r="O265" s="325"/>
      <c r="P265" s="326"/>
      <c r="Q265" s="327"/>
      <c r="R265" s="327"/>
      <c r="S265" s="327"/>
      <c r="T265" s="327"/>
      <c r="U265" s="318"/>
      <c r="V265" s="318"/>
    </row>
    <row r="266" spans="1:22" ht="15.6" hidden="1" outlineLevel="2">
      <c r="A266" s="318"/>
      <c r="O266" s="325"/>
      <c r="P266" s="326"/>
      <c r="Q266" s="327"/>
      <c r="R266" s="327"/>
      <c r="S266" s="327"/>
      <c r="T266" s="327"/>
      <c r="U266" s="318"/>
      <c r="V266" s="318"/>
    </row>
    <row r="267" spans="1:22" ht="15.6" hidden="1" outlineLevel="2">
      <c r="A267" s="318"/>
      <c r="B267" s="841" t="s">
        <v>362</v>
      </c>
      <c r="C267" s="841"/>
      <c r="D267" s="841"/>
      <c r="E267" s="842"/>
      <c r="F267" s="842"/>
      <c r="G267" s="842"/>
      <c r="H267" s="842"/>
      <c r="I267" s="842"/>
      <c r="J267" s="842"/>
      <c r="O267" s="325"/>
      <c r="P267" s="326"/>
      <c r="Q267" s="327"/>
      <c r="R267" s="327"/>
      <c r="S267" s="327"/>
      <c r="T267" s="327"/>
      <c r="U267" s="318"/>
      <c r="V267" s="318"/>
    </row>
    <row r="268" spans="1:22" ht="15.6" hidden="1" outlineLevel="2">
      <c r="A268" s="318"/>
      <c r="B268" s="836" t="s">
        <v>954</v>
      </c>
      <c r="C268" s="836"/>
      <c r="D268" s="836"/>
      <c r="E268" s="836"/>
      <c r="F268" s="790"/>
      <c r="G268" s="836"/>
      <c r="H268" s="790"/>
      <c r="I268" s="790"/>
      <c r="J268" s="837"/>
      <c r="O268" s="325"/>
      <c r="P268" s="326"/>
      <c r="Q268" s="327"/>
      <c r="R268" s="327"/>
      <c r="S268" s="327"/>
      <c r="T268" s="327"/>
      <c r="U268" s="318"/>
      <c r="V268" s="318"/>
    </row>
    <row r="269" spans="1:22" ht="15.6" hidden="1" outlineLevel="2">
      <c r="A269" s="318"/>
      <c r="B269" s="778"/>
      <c r="C269" s="778"/>
      <c r="D269" s="778"/>
      <c r="E269" s="778" t="s">
        <v>949</v>
      </c>
      <c r="F269" s="345"/>
      <c r="G269" s="778"/>
      <c r="H269" s="345"/>
      <c r="I269" s="345"/>
      <c r="J269" s="832"/>
      <c r="O269" s="325"/>
      <c r="P269" s="326"/>
      <c r="Q269" s="327"/>
      <c r="R269" s="327"/>
      <c r="S269" s="327"/>
      <c r="T269" s="327"/>
      <c r="U269" s="318"/>
      <c r="V269" s="318"/>
    </row>
    <row r="270" spans="1:22" ht="15.6" hidden="1" outlineLevel="2">
      <c r="A270" s="318"/>
      <c r="B270" s="781"/>
      <c r="C270" s="781"/>
      <c r="D270" s="781"/>
      <c r="E270" s="781" t="s">
        <v>498</v>
      </c>
      <c r="F270" s="781" t="s">
        <v>917</v>
      </c>
      <c r="G270" s="781" t="s">
        <v>918</v>
      </c>
      <c r="H270" s="781" t="s">
        <v>907</v>
      </c>
      <c r="I270" s="781" t="s">
        <v>919</v>
      </c>
      <c r="J270" s="781" t="s">
        <v>78</v>
      </c>
      <c r="O270" s="325"/>
      <c r="P270" s="326"/>
      <c r="Q270" s="327"/>
      <c r="R270" s="327"/>
      <c r="S270" s="327"/>
      <c r="T270" s="327"/>
      <c r="U270" s="318"/>
      <c r="V270" s="318"/>
    </row>
    <row r="271" spans="1:22" ht="15.6" hidden="1" outlineLevel="2">
      <c r="A271" s="318">
        <v>1</v>
      </c>
      <c r="B271" t="str">
        <f>+B$67</f>
        <v xml:space="preserve">Carson City </v>
      </c>
      <c r="C271" s="424"/>
      <c r="D271" s="424">
        <f>$D$50</f>
        <v>8966</v>
      </c>
      <c r="E271" s="849">
        <f t="shared" ref="E271" si="91">+E282+E292</f>
        <v>0</v>
      </c>
      <c r="F271" s="849">
        <f>+F282+F292</f>
        <v>68650.881756287345</v>
      </c>
      <c r="G271" s="849">
        <f t="shared" ref="G271:I271" si="92">+G282+G292</f>
        <v>43036.799999999996</v>
      </c>
      <c r="H271" s="849">
        <f t="shared" si="92"/>
        <v>8069.4</v>
      </c>
      <c r="I271" s="849">
        <f t="shared" si="92"/>
        <v>1075.92</v>
      </c>
      <c r="J271" s="847">
        <f t="shared" ref="J271:J277" si="93">SUM(E271:I271)</f>
        <v>120833.00175628734</v>
      </c>
      <c r="O271" s="325"/>
      <c r="P271" s="326"/>
      <c r="Q271" s="327"/>
      <c r="R271" s="327"/>
      <c r="S271" s="327"/>
      <c r="T271" s="327"/>
      <c r="U271" s="318"/>
      <c r="V271" s="318"/>
    </row>
    <row r="272" spans="1:22" ht="15.6" hidden="1" outlineLevel="2">
      <c r="A272" s="318">
        <f>1+A271</f>
        <v>2</v>
      </c>
      <c r="B272" t="str">
        <f>+$B$68</f>
        <v>Churchill</v>
      </c>
      <c r="C272" s="4"/>
      <c r="D272" s="4">
        <f t="shared" ref="D272:D276" si="94">$D$50</f>
        <v>8966</v>
      </c>
      <c r="E272" s="813">
        <f t="shared" ref="E272:I272" si="95">+E283+E293</f>
        <v>0</v>
      </c>
      <c r="F272" s="813">
        <f t="shared" si="95"/>
        <v>0</v>
      </c>
      <c r="G272" s="813">
        <f t="shared" si="95"/>
        <v>0</v>
      </c>
      <c r="H272" s="813">
        <f t="shared" si="95"/>
        <v>0</v>
      </c>
      <c r="I272" s="813">
        <f t="shared" si="95"/>
        <v>0</v>
      </c>
      <c r="J272" s="813">
        <f t="shared" si="93"/>
        <v>0</v>
      </c>
      <c r="O272" s="325"/>
      <c r="P272" s="326"/>
      <c r="Q272" s="327"/>
      <c r="R272" s="327"/>
      <c r="S272" s="327"/>
      <c r="T272" s="327"/>
      <c r="U272" s="318"/>
      <c r="V272" s="318"/>
    </row>
    <row r="273" spans="1:22" ht="15.6" hidden="1" outlineLevel="2">
      <c r="A273" s="318">
        <f t="shared" ref="A273:A276" si="96">1+A272</f>
        <v>3</v>
      </c>
      <c r="B273" t="str">
        <f>+$B$69</f>
        <v>Clark</v>
      </c>
      <c r="C273" s="4"/>
      <c r="D273" s="4">
        <f t="shared" si="94"/>
        <v>8966</v>
      </c>
      <c r="E273" s="813">
        <f t="shared" ref="E273:I273" si="97">+E284+E294</f>
        <v>0</v>
      </c>
      <c r="F273" s="813">
        <f t="shared" si="97"/>
        <v>102976.32263443101</v>
      </c>
      <c r="G273" s="813">
        <f t="shared" si="97"/>
        <v>0</v>
      </c>
      <c r="H273" s="813">
        <f t="shared" si="97"/>
        <v>0</v>
      </c>
      <c r="I273" s="813">
        <f t="shared" si="97"/>
        <v>0</v>
      </c>
      <c r="J273" s="813">
        <f t="shared" si="93"/>
        <v>102976.32263443101</v>
      </c>
      <c r="O273" s="325"/>
      <c r="P273" s="326"/>
      <c r="Q273" s="327"/>
      <c r="R273" s="327"/>
      <c r="S273" s="327"/>
      <c r="T273" s="327"/>
      <c r="U273" s="318"/>
      <c r="V273" s="318"/>
    </row>
    <row r="274" spans="1:22" ht="15.6" hidden="1" outlineLevel="2">
      <c r="A274" s="318">
        <f t="shared" si="96"/>
        <v>4</v>
      </c>
      <c r="B274" t="str">
        <f>+$B$70</f>
        <v>Elko</v>
      </c>
      <c r="C274" s="4"/>
      <c r="D274" s="4">
        <f t="shared" si="94"/>
        <v>8966</v>
      </c>
      <c r="E274" s="813">
        <f t="shared" ref="E274:I274" si="98">+E285+E295</f>
        <v>0</v>
      </c>
      <c r="F274" s="813">
        <f t="shared" si="98"/>
        <v>17162.720439071836</v>
      </c>
      <c r="G274" s="813">
        <f t="shared" si="98"/>
        <v>0</v>
      </c>
      <c r="H274" s="813">
        <f t="shared" si="98"/>
        <v>0</v>
      </c>
      <c r="I274" s="813">
        <f t="shared" si="98"/>
        <v>0</v>
      </c>
      <c r="J274" s="813">
        <f t="shared" si="93"/>
        <v>17162.720439071836</v>
      </c>
      <c r="O274" s="325"/>
      <c r="P274" s="326"/>
      <c r="Q274" s="327"/>
      <c r="R274" s="327"/>
      <c r="S274" s="327"/>
      <c r="T274" s="327"/>
      <c r="U274" s="318"/>
      <c r="V274" s="318"/>
    </row>
    <row r="275" spans="1:22" ht="15.6" hidden="1" outlineLevel="2">
      <c r="A275" s="318">
        <f t="shared" si="96"/>
        <v>5</v>
      </c>
      <c r="B275" t="str">
        <f>+$B$72</f>
        <v>Washoe</v>
      </c>
      <c r="C275" s="4"/>
      <c r="D275" s="4">
        <f t="shared" si="94"/>
        <v>8966</v>
      </c>
      <c r="E275" s="824">
        <f t="shared" ref="E275:I275" si="99">+E286+E296</f>
        <v>0</v>
      </c>
      <c r="F275" s="824">
        <f t="shared" si="99"/>
        <v>34325.440878143672</v>
      </c>
      <c r="G275" s="824">
        <f t="shared" si="99"/>
        <v>0</v>
      </c>
      <c r="H275" s="824">
        <f t="shared" si="99"/>
        <v>0</v>
      </c>
      <c r="I275" s="824">
        <f t="shared" si="99"/>
        <v>0</v>
      </c>
      <c r="J275" s="813">
        <f t="shared" si="93"/>
        <v>34325.440878143672</v>
      </c>
      <c r="O275" s="325"/>
      <c r="P275" s="326"/>
      <c r="Q275" s="327"/>
      <c r="R275" s="327"/>
      <c r="S275" s="327"/>
      <c r="T275" s="327"/>
      <c r="U275" s="318"/>
      <c r="V275" s="318"/>
    </row>
    <row r="276" spans="1:22" ht="15.6" hidden="1" outlineLevel="2">
      <c r="A276" s="318">
        <f t="shared" si="96"/>
        <v>6</v>
      </c>
      <c r="B276" t="str">
        <f>+$B$73</f>
        <v>White Pine</v>
      </c>
      <c r="C276" s="4"/>
      <c r="D276" s="4">
        <f t="shared" si="94"/>
        <v>8966</v>
      </c>
      <c r="E276" s="824">
        <f t="shared" ref="E276:I276" si="100">+E287+E297</f>
        <v>0</v>
      </c>
      <c r="F276" s="824">
        <f t="shared" si="100"/>
        <v>0</v>
      </c>
      <c r="G276" s="824">
        <f t="shared" si="100"/>
        <v>0</v>
      </c>
      <c r="H276" s="824">
        <f t="shared" si="100"/>
        <v>0</v>
      </c>
      <c r="I276" s="824">
        <f t="shared" si="100"/>
        <v>0</v>
      </c>
      <c r="J276" s="824">
        <f t="shared" si="93"/>
        <v>0</v>
      </c>
      <c r="O276" s="325"/>
      <c r="P276" s="326"/>
      <c r="Q276" s="327"/>
      <c r="R276" s="327"/>
      <c r="S276" s="327"/>
      <c r="T276" s="327"/>
      <c r="U276" s="318"/>
      <c r="V276" s="318"/>
    </row>
    <row r="277" spans="1:22" ht="15.6" hidden="1" outlineLevel="2">
      <c r="A277" s="318"/>
      <c r="B277" s="825" t="s">
        <v>78</v>
      </c>
      <c r="C277" s="825"/>
      <c r="D277" s="825"/>
      <c r="E277" s="848">
        <f>SUM(E271:E276)</f>
        <v>0</v>
      </c>
      <c r="F277" s="848">
        <f>SUM(F271:F276)</f>
        <v>223115.36570793387</v>
      </c>
      <c r="G277" s="848">
        <f t="shared" ref="G277" si="101">SUM(G271:G276)</f>
        <v>43036.799999999996</v>
      </c>
      <c r="H277" s="848">
        <f t="shared" ref="H277" si="102">SUM(H271:H276)</f>
        <v>8069.4</v>
      </c>
      <c r="I277" s="848">
        <f t="shared" ref="I277" si="103">SUM(I271:I276)</f>
        <v>1075.92</v>
      </c>
      <c r="J277" s="850">
        <f t="shared" si="93"/>
        <v>275297.4857079339</v>
      </c>
      <c r="O277" s="325"/>
      <c r="P277" s="326"/>
      <c r="Q277" s="327"/>
      <c r="R277" s="327"/>
      <c r="S277" s="327"/>
      <c r="T277" s="327"/>
      <c r="U277" s="318"/>
      <c r="V277" s="318"/>
    </row>
    <row r="278" spans="1:22" ht="15.6" hidden="1" outlineLevel="2">
      <c r="A278" s="318"/>
      <c r="J278" s="818"/>
      <c r="O278" s="325"/>
      <c r="P278" s="326"/>
      <c r="Q278" s="327"/>
      <c r="R278" s="327"/>
      <c r="S278" s="327"/>
      <c r="T278" s="327"/>
      <c r="U278" s="318"/>
      <c r="V278" s="318"/>
    </row>
    <row r="279" spans="1:22" ht="15.6" hidden="1" outlineLevel="2">
      <c r="A279" s="318"/>
      <c r="E279" s="778" t="s">
        <v>957</v>
      </c>
      <c r="F279" s="345"/>
      <c r="G279" s="778"/>
      <c r="H279" s="778"/>
      <c r="I279" s="778"/>
      <c r="J279" s="345"/>
      <c r="O279" s="325"/>
      <c r="P279" s="326"/>
      <c r="Q279" s="327"/>
      <c r="R279" s="327"/>
      <c r="S279" s="327"/>
      <c r="T279" s="327"/>
      <c r="U279" s="318"/>
      <c r="V279" s="318"/>
    </row>
    <row r="280" spans="1:22" ht="15.6" hidden="1" outlineLevel="2">
      <c r="A280" s="318"/>
      <c r="E280" s="781" t="s">
        <v>498</v>
      </c>
      <c r="F280" s="781" t="s">
        <v>917</v>
      </c>
      <c r="G280" s="781" t="s">
        <v>918</v>
      </c>
      <c r="H280" s="781" t="s">
        <v>907</v>
      </c>
      <c r="I280" s="781" t="s">
        <v>919</v>
      </c>
      <c r="J280" s="814"/>
      <c r="O280" s="325"/>
      <c r="P280" s="326"/>
      <c r="Q280" s="327"/>
      <c r="R280" s="327"/>
      <c r="S280" s="327"/>
      <c r="T280" s="327"/>
      <c r="U280" s="318"/>
      <c r="V280" s="318"/>
    </row>
    <row r="281" spans="1:22" ht="15.6" hidden="1" outlineLevel="2">
      <c r="A281" s="318"/>
      <c r="E281" s="814"/>
      <c r="F281" s="811">
        <f>+F246</f>
        <v>0.38284007225232736</v>
      </c>
      <c r="G281" s="811">
        <f t="shared" ref="G281:I281" si="104">+G246</f>
        <v>0.24</v>
      </c>
      <c r="H281" s="811">
        <f t="shared" si="104"/>
        <v>0.03</v>
      </c>
      <c r="I281" s="811">
        <f t="shared" si="104"/>
        <v>0.12</v>
      </c>
      <c r="J281" s="781" t="s">
        <v>78</v>
      </c>
      <c r="O281" s="325"/>
      <c r="P281" s="326"/>
      <c r="Q281" s="327"/>
      <c r="R281" s="327"/>
      <c r="S281" s="327"/>
      <c r="T281" s="327"/>
      <c r="U281" s="318"/>
      <c r="V281" s="318"/>
    </row>
    <row r="282" spans="1:22" ht="15.6" hidden="1" outlineLevel="2">
      <c r="A282" s="318">
        <v>1</v>
      </c>
      <c r="B282" t="str">
        <f>+B$67</f>
        <v xml:space="preserve">Carson City </v>
      </c>
      <c r="C282" s="4"/>
      <c r="D282" s="4">
        <f t="shared" ref="D282:D287" si="105">$D$50</f>
        <v>8966</v>
      </c>
      <c r="E282" s="816"/>
      <c r="F282" s="867">
        <f t="shared" ref="F282:I287" si="106">F$246*F210*$D282</f>
        <v>68650.881756287345</v>
      </c>
      <c r="G282" s="867">
        <f t="shared" si="106"/>
        <v>43036.799999999996</v>
      </c>
      <c r="H282" s="867">
        <f t="shared" si="106"/>
        <v>8069.4</v>
      </c>
      <c r="I282" s="867">
        <f t="shared" si="106"/>
        <v>1075.92</v>
      </c>
      <c r="J282" s="847">
        <f t="shared" ref="J282:J288" si="107">SUM(E282:I282)</f>
        <v>120833.00175628734</v>
      </c>
      <c r="O282" s="325"/>
      <c r="P282" s="326"/>
      <c r="Q282" s="327"/>
      <c r="R282" s="327"/>
      <c r="S282" s="327"/>
      <c r="T282" s="327"/>
      <c r="U282" s="318"/>
      <c r="V282" s="318"/>
    </row>
    <row r="283" spans="1:22" ht="15.6" hidden="1" outlineLevel="2">
      <c r="A283" s="318">
        <f>1+A282</f>
        <v>2</v>
      </c>
      <c r="B283" t="str">
        <f>+$B$68</f>
        <v>Churchill</v>
      </c>
      <c r="C283" s="4"/>
      <c r="D283" s="4">
        <f t="shared" si="105"/>
        <v>8966</v>
      </c>
      <c r="E283" s="816"/>
      <c r="F283" s="844">
        <f t="shared" si="106"/>
        <v>0</v>
      </c>
      <c r="G283" s="844">
        <f t="shared" si="106"/>
        <v>0</v>
      </c>
      <c r="H283" s="844">
        <f t="shared" si="106"/>
        <v>0</v>
      </c>
      <c r="I283" s="844">
        <f t="shared" si="106"/>
        <v>0</v>
      </c>
      <c r="J283" s="813">
        <f t="shared" si="107"/>
        <v>0</v>
      </c>
      <c r="O283" s="325"/>
      <c r="P283" s="326"/>
      <c r="Q283" s="327"/>
      <c r="R283" s="327"/>
      <c r="S283" s="327"/>
      <c r="T283" s="327"/>
      <c r="U283" s="318"/>
      <c r="V283" s="318"/>
    </row>
    <row r="284" spans="1:22" ht="15.6" hidden="1" outlineLevel="2">
      <c r="A284" s="318">
        <f t="shared" ref="A284:A287" si="108">1+A283</f>
        <v>3</v>
      </c>
      <c r="B284" t="str">
        <f>+$B$69</f>
        <v>Clark</v>
      </c>
      <c r="C284" s="4"/>
      <c r="D284" s="4">
        <f t="shared" si="105"/>
        <v>8966</v>
      </c>
      <c r="E284" s="816"/>
      <c r="F284" s="844">
        <f t="shared" si="106"/>
        <v>102976.32263443101</v>
      </c>
      <c r="G284" s="844">
        <f t="shared" si="106"/>
        <v>0</v>
      </c>
      <c r="H284" s="844">
        <f t="shared" si="106"/>
        <v>0</v>
      </c>
      <c r="I284" s="844">
        <f t="shared" si="106"/>
        <v>0</v>
      </c>
      <c r="J284" s="813">
        <f t="shared" si="107"/>
        <v>102976.32263443101</v>
      </c>
      <c r="O284" s="325"/>
      <c r="P284" s="326"/>
      <c r="Q284" s="327"/>
      <c r="R284" s="327"/>
      <c r="S284" s="327"/>
      <c r="T284" s="327"/>
      <c r="U284" s="318"/>
      <c r="V284" s="318"/>
    </row>
    <row r="285" spans="1:22" ht="15.6" hidden="1" outlineLevel="2">
      <c r="A285" s="318">
        <f t="shared" si="108"/>
        <v>4</v>
      </c>
      <c r="B285" t="str">
        <f>+$B$70</f>
        <v>Elko</v>
      </c>
      <c r="C285" s="4"/>
      <c r="D285" s="4">
        <f t="shared" si="105"/>
        <v>8966</v>
      </c>
      <c r="E285" s="816"/>
      <c r="F285" s="844">
        <f t="shared" si="106"/>
        <v>17162.720439071836</v>
      </c>
      <c r="G285" s="844">
        <f t="shared" si="106"/>
        <v>0</v>
      </c>
      <c r="H285" s="844">
        <f t="shared" si="106"/>
        <v>0</v>
      </c>
      <c r="I285" s="844">
        <f t="shared" si="106"/>
        <v>0</v>
      </c>
      <c r="J285" s="813">
        <f t="shared" si="107"/>
        <v>17162.720439071836</v>
      </c>
      <c r="O285" s="325"/>
      <c r="P285" s="326"/>
      <c r="Q285" s="327"/>
      <c r="R285" s="327"/>
      <c r="S285" s="327"/>
      <c r="T285" s="327"/>
      <c r="U285" s="318"/>
      <c r="V285" s="318"/>
    </row>
    <row r="286" spans="1:22" ht="15.6" hidden="1" outlineLevel="2">
      <c r="A286" s="318">
        <f t="shared" si="108"/>
        <v>5</v>
      </c>
      <c r="B286" t="str">
        <f>+$B$72</f>
        <v>Washoe</v>
      </c>
      <c r="C286" s="4"/>
      <c r="D286" s="4">
        <f t="shared" si="105"/>
        <v>8966</v>
      </c>
      <c r="E286" s="816"/>
      <c r="F286" s="844">
        <f t="shared" si="106"/>
        <v>34325.440878143672</v>
      </c>
      <c r="G286" s="844">
        <f t="shared" si="106"/>
        <v>0</v>
      </c>
      <c r="H286" s="844">
        <f t="shared" si="106"/>
        <v>0</v>
      </c>
      <c r="I286" s="844">
        <f t="shared" si="106"/>
        <v>0</v>
      </c>
      <c r="J286" s="813">
        <f t="shared" si="107"/>
        <v>34325.440878143672</v>
      </c>
      <c r="O286" s="325"/>
      <c r="P286" s="326"/>
      <c r="Q286" s="327"/>
      <c r="R286" s="327"/>
      <c r="S286" s="327"/>
      <c r="T286" s="327"/>
      <c r="U286" s="318"/>
      <c r="V286" s="318"/>
    </row>
    <row r="287" spans="1:22" ht="15.6" hidden="1" outlineLevel="2">
      <c r="A287" s="318">
        <f t="shared" si="108"/>
        <v>6</v>
      </c>
      <c r="B287" t="str">
        <f>+$B$73</f>
        <v>White Pine</v>
      </c>
      <c r="C287" s="4"/>
      <c r="D287" s="4">
        <f t="shared" si="105"/>
        <v>8966</v>
      </c>
      <c r="E287" s="816"/>
      <c r="F287" s="845">
        <f t="shared" si="106"/>
        <v>0</v>
      </c>
      <c r="G287" s="845">
        <f t="shared" si="106"/>
        <v>0</v>
      </c>
      <c r="H287" s="845">
        <f t="shared" si="106"/>
        <v>0</v>
      </c>
      <c r="I287" s="845">
        <f t="shared" si="106"/>
        <v>0</v>
      </c>
      <c r="J287" s="824">
        <f t="shared" si="107"/>
        <v>0</v>
      </c>
      <c r="O287" s="325"/>
      <c r="P287" s="326"/>
      <c r="Q287" s="327"/>
      <c r="R287" s="327"/>
      <c r="S287" s="327"/>
      <c r="T287" s="327"/>
      <c r="U287" s="318"/>
      <c r="V287" s="318"/>
    </row>
    <row r="288" spans="1:22" ht="15.6" hidden="1" outlineLevel="2">
      <c r="A288" s="318"/>
      <c r="B288" s="825" t="s">
        <v>78</v>
      </c>
      <c r="C288" s="825"/>
      <c r="D288" s="825"/>
      <c r="E288" s="853"/>
      <c r="F288" s="852">
        <f t="shared" ref="F288" si="109">SUM(F282:F287)</f>
        <v>223115.36570793387</v>
      </c>
      <c r="G288" s="852">
        <f t="shared" ref="G288" si="110">SUM(G282:G287)</f>
        <v>43036.799999999996</v>
      </c>
      <c r="H288" s="852">
        <f t="shared" ref="H288" si="111">SUM(H282:H287)</f>
        <v>8069.4</v>
      </c>
      <c r="I288" s="852">
        <f t="shared" ref="I288" si="112">SUM(I282:I287)</f>
        <v>1075.92</v>
      </c>
      <c r="J288" s="848">
        <f t="shared" si="107"/>
        <v>275297.4857079339</v>
      </c>
      <c r="O288" s="325"/>
      <c r="P288" s="326"/>
      <c r="Q288" s="327"/>
      <c r="R288" s="327"/>
      <c r="S288" s="327"/>
      <c r="T288" s="327"/>
      <c r="U288" s="318"/>
      <c r="V288" s="318"/>
    </row>
    <row r="289" spans="1:22" ht="15.6" hidden="1" outlineLevel="2">
      <c r="A289" s="318"/>
      <c r="O289" s="325"/>
      <c r="P289" s="326"/>
      <c r="Q289" s="327"/>
      <c r="R289" s="327"/>
      <c r="S289" s="327"/>
      <c r="T289" s="327"/>
      <c r="U289" s="318"/>
      <c r="V289" s="318"/>
    </row>
    <row r="290" spans="1:22" ht="15.6" hidden="1" outlineLevel="2">
      <c r="A290" s="318"/>
      <c r="E290" s="778" t="s">
        <v>958</v>
      </c>
      <c r="F290" s="1"/>
      <c r="G290" s="345"/>
      <c r="H290" s="345"/>
      <c r="I290" s="345"/>
      <c r="O290" s="325"/>
      <c r="P290" s="326"/>
      <c r="Q290" s="327"/>
      <c r="R290" s="327"/>
      <c r="S290" s="327"/>
      <c r="T290" s="327"/>
      <c r="U290" s="318"/>
      <c r="V290" s="318"/>
    </row>
    <row r="291" spans="1:22" ht="15.6" hidden="1" outlineLevel="2">
      <c r="A291" s="318"/>
      <c r="E291" s="781" t="s">
        <v>498</v>
      </c>
      <c r="F291" s="826" t="s">
        <v>917</v>
      </c>
      <c r="G291" s="781" t="s">
        <v>918</v>
      </c>
      <c r="H291" s="781" t="s">
        <v>907</v>
      </c>
      <c r="I291" s="781" t="s">
        <v>919</v>
      </c>
      <c r="J291" s="826" t="s">
        <v>78</v>
      </c>
      <c r="O291" s="325"/>
      <c r="P291" s="326"/>
      <c r="Q291" s="327"/>
      <c r="R291" s="327"/>
      <c r="S291" s="327"/>
      <c r="T291" s="327"/>
      <c r="U291" s="318"/>
      <c r="V291" s="318"/>
    </row>
    <row r="292" spans="1:22" ht="15.6" hidden="1" outlineLevel="2">
      <c r="A292" s="318">
        <v>1</v>
      </c>
      <c r="B292" t="str">
        <f>+B$67</f>
        <v xml:space="preserve">Carson City </v>
      </c>
      <c r="C292" s="4"/>
      <c r="D292" s="4">
        <f t="shared" ref="D292:D297" si="113">$D$50</f>
        <v>8966</v>
      </c>
      <c r="E292" s="868">
        <f t="shared" ref="E292:I297" si="114">+$E177*E199</f>
        <v>0</v>
      </c>
      <c r="F292" s="868">
        <f t="shared" si="114"/>
        <v>0</v>
      </c>
      <c r="G292" s="868">
        <f t="shared" si="114"/>
        <v>0</v>
      </c>
      <c r="H292" s="868">
        <f t="shared" si="114"/>
        <v>0</v>
      </c>
      <c r="I292" s="868">
        <f t="shared" si="114"/>
        <v>0</v>
      </c>
      <c r="J292" s="851">
        <f t="shared" ref="J292:J298" si="115">SUM(E292:I292)</f>
        <v>0</v>
      </c>
      <c r="O292" s="325"/>
      <c r="P292" s="326"/>
      <c r="Q292" s="327"/>
      <c r="R292" s="327"/>
      <c r="S292" s="327"/>
      <c r="T292" s="327"/>
      <c r="U292" s="318"/>
      <c r="V292" s="318"/>
    </row>
    <row r="293" spans="1:22" ht="15.6" hidden="1" outlineLevel="2">
      <c r="A293" s="318">
        <f>1+A292</f>
        <v>2</v>
      </c>
      <c r="B293" t="str">
        <f>+$B$68</f>
        <v>Churchill</v>
      </c>
      <c r="C293" s="4"/>
      <c r="D293" s="4">
        <f t="shared" si="113"/>
        <v>8966</v>
      </c>
      <c r="E293" s="828">
        <f t="shared" si="114"/>
        <v>0</v>
      </c>
      <c r="F293" s="828">
        <f t="shared" si="114"/>
        <v>0</v>
      </c>
      <c r="G293" s="828">
        <f t="shared" si="114"/>
        <v>0</v>
      </c>
      <c r="H293" s="828">
        <f t="shared" si="114"/>
        <v>0</v>
      </c>
      <c r="I293" s="828">
        <f t="shared" si="114"/>
        <v>0</v>
      </c>
      <c r="J293" s="818">
        <f t="shared" si="115"/>
        <v>0</v>
      </c>
      <c r="O293" s="325"/>
      <c r="P293" s="326"/>
      <c r="Q293" s="327"/>
      <c r="R293" s="327"/>
      <c r="S293" s="327"/>
      <c r="T293" s="327"/>
      <c r="U293" s="318"/>
      <c r="V293" s="318"/>
    </row>
    <row r="294" spans="1:22" ht="15.6" hidden="1" outlineLevel="2">
      <c r="A294" s="318">
        <f t="shared" ref="A294:A297" si="116">1+A293</f>
        <v>3</v>
      </c>
      <c r="B294" t="str">
        <f>+$B$69</f>
        <v>Clark</v>
      </c>
      <c r="C294" s="4"/>
      <c r="D294" s="4">
        <f t="shared" si="113"/>
        <v>8966</v>
      </c>
      <c r="E294" s="828">
        <f t="shared" si="114"/>
        <v>0</v>
      </c>
      <c r="F294" s="828">
        <f t="shared" si="114"/>
        <v>0</v>
      </c>
      <c r="G294" s="828">
        <f t="shared" si="114"/>
        <v>0</v>
      </c>
      <c r="H294" s="828">
        <f t="shared" si="114"/>
        <v>0</v>
      </c>
      <c r="I294" s="828">
        <f t="shared" si="114"/>
        <v>0</v>
      </c>
      <c r="J294" s="818">
        <f t="shared" si="115"/>
        <v>0</v>
      </c>
      <c r="O294" s="325"/>
      <c r="P294" s="326"/>
      <c r="Q294" s="327"/>
      <c r="R294" s="327"/>
      <c r="S294" s="327"/>
      <c r="T294" s="327"/>
      <c r="U294" s="318"/>
      <c r="V294" s="318"/>
    </row>
    <row r="295" spans="1:22" ht="15.6" hidden="1" outlineLevel="2">
      <c r="A295" s="318">
        <f t="shared" si="116"/>
        <v>4</v>
      </c>
      <c r="B295" t="str">
        <f>+$B$70</f>
        <v>Elko</v>
      </c>
      <c r="C295" s="4"/>
      <c r="D295" s="4">
        <f t="shared" si="113"/>
        <v>8966</v>
      </c>
      <c r="E295" s="828">
        <f t="shared" si="114"/>
        <v>0</v>
      </c>
      <c r="F295" s="828">
        <f t="shared" si="114"/>
        <v>0</v>
      </c>
      <c r="G295" s="828">
        <f t="shared" si="114"/>
        <v>0</v>
      </c>
      <c r="H295" s="828">
        <f t="shared" si="114"/>
        <v>0</v>
      </c>
      <c r="I295" s="828">
        <f t="shared" si="114"/>
        <v>0</v>
      </c>
      <c r="J295" s="818">
        <f t="shared" si="115"/>
        <v>0</v>
      </c>
      <c r="O295" s="325"/>
      <c r="P295" s="326"/>
      <c r="Q295" s="327"/>
      <c r="R295" s="327"/>
      <c r="S295" s="327"/>
      <c r="T295" s="327"/>
      <c r="U295" s="318"/>
      <c r="V295" s="318"/>
    </row>
    <row r="296" spans="1:22" ht="15.6" hidden="1" outlineLevel="2">
      <c r="A296" s="318">
        <f t="shared" si="116"/>
        <v>5</v>
      </c>
      <c r="B296" t="str">
        <f>+$B$72</f>
        <v>Washoe</v>
      </c>
      <c r="C296" s="4"/>
      <c r="D296" s="4">
        <f t="shared" si="113"/>
        <v>8966</v>
      </c>
      <c r="E296" s="828">
        <f t="shared" si="114"/>
        <v>0</v>
      </c>
      <c r="F296" s="828">
        <f t="shared" si="114"/>
        <v>0</v>
      </c>
      <c r="G296" s="828">
        <f t="shared" si="114"/>
        <v>0</v>
      </c>
      <c r="H296" s="828">
        <f t="shared" si="114"/>
        <v>0</v>
      </c>
      <c r="I296" s="828">
        <f t="shared" si="114"/>
        <v>0</v>
      </c>
      <c r="J296" s="818">
        <f t="shared" si="115"/>
        <v>0</v>
      </c>
      <c r="O296" s="325"/>
      <c r="P296" s="326"/>
      <c r="Q296" s="327"/>
      <c r="R296" s="327"/>
      <c r="S296" s="327"/>
      <c r="T296" s="327"/>
      <c r="U296" s="318"/>
      <c r="V296" s="318"/>
    </row>
    <row r="297" spans="1:22" ht="15.6" hidden="1" outlineLevel="2">
      <c r="A297" s="318">
        <f t="shared" si="116"/>
        <v>6</v>
      </c>
      <c r="B297" t="str">
        <f>+$B$73</f>
        <v>White Pine</v>
      </c>
      <c r="C297" s="4"/>
      <c r="D297" s="4">
        <f t="shared" si="113"/>
        <v>8966</v>
      </c>
      <c r="E297" s="829">
        <f t="shared" si="114"/>
        <v>0</v>
      </c>
      <c r="F297" s="829">
        <f t="shared" si="114"/>
        <v>0</v>
      </c>
      <c r="G297" s="829">
        <f t="shared" si="114"/>
        <v>0</v>
      </c>
      <c r="H297" s="829">
        <f t="shared" si="114"/>
        <v>0</v>
      </c>
      <c r="I297" s="829">
        <f t="shared" si="114"/>
        <v>0</v>
      </c>
      <c r="J297" s="818">
        <f t="shared" si="115"/>
        <v>0</v>
      </c>
      <c r="O297" s="325"/>
      <c r="P297" s="326"/>
      <c r="Q297" s="327"/>
      <c r="R297" s="327"/>
      <c r="S297" s="327"/>
      <c r="T297" s="327"/>
      <c r="U297" s="318"/>
      <c r="V297" s="318"/>
    </row>
    <row r="298" spans="1:22" ht="15.6" hidden="1" outlineLevel="2">
      <c r="A298" s="318"/>
      <c r="B298" s="825" t="s">
        <v>78</v>
      </c>
      <c r="C298" s="825"/>
      <c r="D298" s="825"/>
      <c r="E298" s="852">
        <f>SUM(E292:E297)</f>
        <v>0</v>
      </c>
      <c r="F298" s="852">
        <f t="shared" ref="F298" si="117">SUM(F292:F297)</f>
        <v>0</v>
      </c>
      <c r="G298" s="852">
        <f t="shared" ref="G298" si="118">SUM(G292:G297)</f>
        <v>0</v>
      </c>
      <c r="H298" s="852">
        <f t="shared" ref="H298" si="119">SUM(H292:H297)</f>
        <v>0</v>
      </c>
      <c r="I298" s="852">
        <f t="shared" ref="I298" si="120">SUM(I292:I297)</f>
        <v>0</v>
      </c>
      <c r="J298" s="852">
        <f t="shared" si="115"/>
        <v>0</v>
      </c>
      <c r="O298" s="325"/>
      <c r="P298" s="326"/>
      <c r="Q298" s="327"/>
      <c r="R298" s="327"/>
      <c r="S298" s="327"/>
      <c r="T298" s="327"/>
      <c r="U298" s="318"/>
      <c r="V298" s="318"/>
    </row>
    <row r="299" spans="1:22" ht="15.6" hidden="1" outlineLevel="2">
      <c r="A299" s="318"/>
      <c r="O299" s="325"/>
      <c r="P299" s="326"/>
      <c r="Q299" s="327"/>
      <c r="R299" s="327"/>
      <c r="S299" s="327"/>
      <c r="T299" s="327"/>
      <c r="U299" s="318"/>
      <c r="V299" s="318"/>
    </row>
    <row r="300" spans="1:22" ht="15.6" hidden="1" outlineLevel="2">
      <c r="A300" s="318"/>
      <c r="B300" s="825" t="s">
        <v>953</v>
      </c>
      <c r="C300" s="825"/>
      <c r="D300" s="825"/>
      <c r="E300" s="852">
        <f>+E288+E298</f>
        <v>0</v>
      </c>
      <c r="F300" s="852">
        <f t="shared" ref="F300:I300" si="121">+F288+F298</f>
        <v>223115.36570793387</v>
      </c>
      <c r="G300" s="852">
        <f t="shared" si="121"/>
        <v>43036.799999999996</v>
      </c>
      <c r="H300" s="852">
        <f t="shared" si="121"/>
        <v>8069.4</v>
      </c>
      <c r="I300" s="852">
        <f t="shared" si="121"/>
        <v>1075.92</v>
      </c>
      <c r="J300" s="854">
        <f>SUM(E300:I300)</f>
        <v>275297.4857079339</v>
      </c>
      <c r="O300" s="325"/>
      <c r="P300" s="326"/>
      <c r="Q300" s="327"/>
      <c r="R300" s="327"/>
      <c r="S300" s="327"/>
      <c r="T300" s="327"/>
      <c r="U300" s="318"/>
      <c r="V300" s="318"/>
    </row>
    <row r="301" spans="1:22" ht="15.6" hidden="1" outlineLevel="2">
      <c r="A301" s="318"/>
      <c r="O301" s="325"/>
      <c r="P301" s="326"/>
      <c r="Q301" s="327"/>
      <c r="R301" s="327"/>
      <c r="S301" s="327"/>
      <c r="T301" s="327"/>
      <c r="U301" s="318"/>
      <c r="V301" s="318"/>
    </row>
    <row r="302" spans="1:22" ht="15.6" hidden="1" outlineLevel="2">
      <c r="A302" s="318"/>
      <c r="O302" s="325"/>
      <c r="P302" s="326"/>
      <c r="Q302" s="327"/>
      <c r="R302" s="327"/>
      <c r="S302" s="327"/>
      <c r="T302" s="327"/>
      <c r="U302" s="318"/>
      <c r="V302" s="318"/>
    </row>
    <row r="303" spans="1:22" ht="15.6" hidden="1" outlineLevel="2">
      <c r="A303" s="318"/>
      <c r="O303" s="318"/>
      <c r="P303" s="328"/>
      <c r="Q303" s="318"/>
      <c r="R303" s="318"/>
      <c r="S303" s="318"/>
      <c r="T303" s="318"/>
      <c r="U303" s="318"/>
      <c r="V303" s="318"/>
    </row>
    <row r="304" spans="1:22" ht="15.6" hidden="1" outlineLevel="2">
      <c r="A304" s="318"/>
      <c r="B304" s="841" t="s">
        <v>362</v>
      </c>
      <c r="C304" s="841"/>
      <c r="D304" s="841"/>
      <c r="E304" s="842"/>
      <c r="F304" s="842"/>
      <c r="G304" s="842"/>
      <c r="H304" s="842"/>
      <c r="I304" s="842"/>
      <c r="J304" s="842"/>
      <c r="O304" s="318"/>
      <c r="P304" s="328"/>
      <c r="Q304" s="318"/>
      <c r="R304" s="318"/>
      <c r="S304" s="318"/>
      <c r="T304" s="318"/>
      <c r="U304" s="318"/>
      <c r="V304" s="318"/>
    </row>
    <row r="305" spans="1:22" ht="15.6" hidden="1" outlineLevel="2">
      <c r="A305" s="318"/>
      <c r="B305" s="836" t="s">
        <v>927</v>
      </c>
      <c r="C305" s="836"/>
      <c r="D305" s="836"/>
      <c r="E305" s="790"/>
      <c r="F305" s="790"/>
      <c r="G305" s="836"/>
      <c r="H305" s="790"/>
      <c r="I305" s="790"/>
      <c r="J305" s="837"/>
      <c r="O305" s="318"/>
      <c r="P305" s="328"/>
      <c r="Q305" s="318"/>
      <c r="R305" s="318"/>
      <c r="S305" s="318"/>
      <c r="T305" s="318"/>
      <c r="U305" s="318"/>
      <c r="V305" s="318"/>
    </row>
    <row r="306" spans="1:22" ht="15.6" hidden="1" outlineLevel="2">
      <c r="A306" s="318"/>
      <c r="B306" s="778"/>
      <c r="C306" s="778"/>
      <c r="D306" s="778"/>
      <c r="E306" s="778" t="s">
        <v>949</v>
      </c>
      <c r="F306" s="345"/>
      <c r="G306" s="778"/>
      <c r="H306" s="345"/>
      <c r="I306" s="345"/>
      <c r="J306" s="832"/>
      <c r="O306" s="318"/>
      <c r="P306" s="328"/>
      <c r="Q306" s="318"/>
      <c r="R306" s="318"/>
      <c r="S306" s="318"/>
      <c r="T306" s="318"/>
      <c r="U306" s="318"/>
      <c r="V306" s="318"/>
    </row>
    <row r="307" spans="1:22" ht="15.6" hidden="1" outlineLevel="2">
      <c r="A307" s="318"/>
      <c r="B307" s="781"/>
      <c r="C307" s="781"/>
      <c r="D307" s="781"/>
      <c r="E307" s="781" t="s">
        <v>498</v>
      </c>
      <c r="F307" s="781" t="s">
        <v>917</v>
      </c>
      <c r="G307" s="781" t="s">
        <v>918</v>
      </c>
      <c r="H307" s="781" t="s">
        <v>907</v>
      </c>
      <c r="I307" s="781" t="s">
        <v>919</v>
      </c>
      <c r="J307" s="781" t="s">
        <v>78</v>
      </c>
      <c r="O307" s="318"/>
      <c r="P307" s="328"/>
      <c r="Q307" s="318"/>
      <c r="R307" s="318"/>
      <c r="S307" s="318"/>
      <c r="T307" s="318"/>
      <c r="U307" s="318"/>
      <c r="V307" s="318"/>
    </row>
    <row r="308" spans="1:22" ht="15.6" hidden="1" outlineLevel="2">
      <c r="A308" s="318">
        <v>1</v>
      </c>
      <c r="B308" t="str">
        <f>+B$67</f>
        <v xml:space="preserve">Carson City </v>
      </c>
      <c r="C308" s="424"/>
      <c r="D308" s="424">
        <f>E217</f>
        <v>0</v>
      </c>
      <c r="E308" s="849">
        <f>+E321+E331</f>
        <v>0</v>
      </c>
      <c r="F308" s="849">
        <f t="shared" ref="F308:I308" si="122">+F321+F331</f>
        <v>0</v>
      </c>
      <c r="G308" s="849">
        <f t="shared" si="122"/>
        <v>0</v>
      </c>
      <c r="H308" s="849">
        <f t="shared" si="122"/>
        <v>0</v>
      </c>
      <c r="I308" s="849">
        <f t="shared" si="122"/>
        <v>0</v>
      </c>
      <c r="J308" s="847">
        <f t="shared" ref="J308:J315" si="123">SUM(E308:I308)</f>
        <v>0</v>
      </c>
      <c r="O308" s="318"/>
      <c r="P308" s="328"/>
      <c r="Q308" s="318"/>
      <c r="R308" s="318"/>
      <c r="S308" s="318"/>
      <c r="T308" s="318"/>
      <c r="U308" s="318"/>
      <c r="V308" s="318"/>
    </row>
    <row r="309" spans="1:22" ht="15.6" hidden="1" outlineLevel="2">
      <c r="A309" s="318">
        <f>1+A308</f>
        <v>2</v>
      </c>
      <c r="B309" t="str">
        <f>+$B$68</f>
        <v>Churchill</v>
      </c>
      <c r="C309" s="4"/>
      <c r="D309" s="4">
        <f t="shared" ref="D309:D313" si="124">E218</f>
        <v>0</v>
      </c>
      <c r="E309" s="813">
        <f t="shared" ref="E309:I309" si="125">+E322+E332</f>
        <v>0</v>
      </c>
      <c r="F309" s="813">
        <f t="shared" si="125"/>
        <v>0</v>
      </c>
      <c r="G309" s="813">
        <f t="shared" si="125"/>
        <v>0</v>
      </c>
      <c r="H309" s="813">
        <f t="shared" si="125"/>
        <v>0</v>
      </c>
      <c r="I309" s="813">
        <f t="shared" si="125"/>
        <v>0</v>
      </c>
      <c r="J309" s="813">
        <f t="shared" si="123"/>
        <v>0</v>
      </c>
      <c r="O309" s="318"/>
      <c r="P309" s="328"/>
      <c r="Q309" s="318"/>
      <c r="R309" s="318"/>
      <c r="S309" s="318"/>
      <c r="T309" s="318"/>
      <c r="U309" s="318"/>
      <c r="V309" s="318"/>
    </row>
    <row r="310" spans="1:22" ht="15.6" hidden="1" outlineLevel="2">
      <c r="A310" s="318">
        <f t="shared" ref="A310:A313" si="126">1+A309</f>
        <v>3</v>
      </c>
      <c r="B310" t="str">
        <f>+$B$69</f>
        <v>Clark</v>
      </c>
      <c r="C310" s="4"/>
      <c r="D310" s="4" t="str">
        <f t="shared" si="124"/>
        <v>General</v>
      </c>
      <c r="E310" s="813" t="e">
        <f t="shared" ref="E310:I310" si="127">+E323+E333</f>
        <v>#VALUE!</v>
      </c>
      <c r="F310" s="813" t="e">
        <f t="shared" si="127"/>
        <v>#VALUE!</v>
      </c>
      <c r="G310" s="813" t="e">
        <f t="shared" si="127"/>
        <v>#VALUE!</v>
      </c>
      <c r="H310" s="813" t="e">
        <f t="shared" si="127"/>
        <v>#VALUE!</v>
      </c>
      <c r="I310" s="813" t="e">
        <f t="shared" si="127"/>
        <v>#VALUE!</v>
      </c>
      <c r="J310" s="813" t="e">
        <f t="shared" si="123"/>
        <v>#VALUE!</v>
      </c>
      <c r="O310" s="318"/>
      <c r="P310" s="328"/>
      <c r="Q310" s="318"/>
      <c r="R310" s="318"/>
      <c r="S310" s="318"/>
      <c r="T310" s="318"/>
      <c r="U310" s="318"/>
      <c r="V310" s="318"/>
    </row>
    <row r="311" spans="1:22" ht="15.6" hidden="1" outlineLevel="2">
      <c r="A311" s="318">
        <f t="shared" si="126"/>
        <v>4</v>
      </c>
      <c r="B311" t="str">
        <f>+$B$70</f>
        <v>Elko</v>
      </c>
      <c r="C311" s="4"/>
      <c r="D311" s="4">
        <f t="shared" si="124"/>
        <v>100</v>
      </c>
      <c r="E311" s="813">
        <f>+E324+E334</f>
        <v>797433.33333333326</v>
      </c>
      <c r="F311" s="813">
        <f t="shared" ref="F311:I311" si="128">+F324+F334</f>
        <v>3907771.4722998859</v>
      </c>
      <c r="G311" s="813">
        <f t="shared" si="128"/>
        <v>1425172.8533333335</v>
      </c>
      <c r="H311" s="813">
        <f t="shared" si="128"/>
        <v>824705.55333333334</v>
      </c>
      <c r="I311" s="813">
        <f t="shared" si="128"/>
        <v>962023.57333333336</v>
      </c>
      <c r="J311" s="813">
        <f t="shared" si="123"/>
        <v>7917106.7856332194</v>
      </c>
      <c r="O311" s="318"/>
      <c r="P311" s="328"/>
      <c r="Q311" s="318"/>
      <c r="R311" s="318"/>
      <c r="S311" s="318"/>
      <c r="T311" s="318"/>
      <c r="U311" s="318"/>
      <c r="V311" s="318"/>
    </row>
    <row r="312" spans="1:22" ht="15.6" hidden="1" outlineLevel="2">
      <c r="A312" s="318">
        <f t="shared" si="126"/>
        <v>5</v>
      </c>
      <c r="B312" t="str">
        <f>+$B$72</f>
        <v>Washoe</v>
      </c>
      <c r="C312" s="4"/>
      <c r="D312" s="4">
        <f t="shared" si="124"/>
        <v>0</v>
      </c>
      <c r="E312" s="824">
        <f t="shared" ref="E312:I312" si="129">+E325+E335</f>
        <v>0</v>
      </c>
      <c r="F312" s="824">
        <f t="shared" si="129"/>
        <v>0</v>
      </c>
      <c r="G312" s="824">
        <f t="shared" si="129"/>
        <v>0</v>
      </c>
      <c r="H312" s="824">
        <f t="shared" si="129"/>
        <v>0</v>
      </c>
      <c r="I312" s="824">
        <f t="shared" si="129"/>
        <v>0</v>
      </c>
      <c r="J312" s="813">
        <f t="shared" si="123"/>
        <v>0</v>
      </c>
      <c r="O312" s="318"/>
      <c r="P312" s="328"/>
      <c r="Q312" s="318"/>
      <c r="R312" s="318"/>
      <c r="S312" s="318"/>
      <c r="T312" s="318"/>
      <c r="U312" s="318"/>
      <c r="V312" s="318"/>
    </row>
    <row r="313" spans="1:22" ht="15.6" hidden="1" outlineLevel="2">
      <c r="A313" s="318">
        <f t="shared" si="126"/>
        <v>6</v>
      </c>
      <c r="B313" t="str">
        <f>+$B$73</f>
        <v>White Pine</v>
      </c>
      <c r="C313" s="4"/>
      <c r="D313" s="4">
        <f t="shared" si="124"/>
        <v>0</v>
      </c>
      <c r="E313" s="824" t="e">
        <f t="shared" ref="E313:I313" si="130">+E326+E336</f>
        <v>#VALUE!</v>
      </c>
      <c r="F313" s="824">
        <f t="shared" si="130"/>
        <v>0</v>
      </c>
      <c r="G313" s="824">
        <f t="shared" si="130"/>
        <v>0</v>
      </c>
      <c r="H313" s="824">
        <f t="shared" si="130"/>
        <v>0</v>
      </c>
      <c r="I313" s="824">
        <f t="shared" si="130"/>
        <v>0</v>
      </c>
      <c r="J313" s="824" t="e">
        <f t="shared" si="123"/>
        <v>#VALUE!</v>
      </c>
      <c r="O313" s="318"/>
      <c r="P313" s="328"/>
      <c r="Q313" s="318"/>
      <c r="R313" s="318"/>
      <c r="S313" s="318"/>
      <c r="T313" s="318"/>
      <c r="U313" s="318"/>
      <c r="V313" s="318"/>
    </row>
    <row r="314" spans="1:22" ht="15.6" hidden="1" outlineLevel="2">
      <c r="A314" s="318"/>
      <c r="B314" s="825" t="s">
        <v>440</v>
      </c>
      <c r="C314" s="825"/>
      <c r="D314" s="825"/>
      <c r="E314" s="848" t="e">
        <f>SUM(E308:E313)</f>
        <v>#VALUE!</v>
      </c>
      <c r="F314" s="848" t="e">
        <f>SUM(F308:F313)</f>
        <v>#VALUE!</v>
      </c>
      <c r="G314" s="848" t="e">
        <f t="shared" ref="G314" si="131">SUM(G308:G313)</f>
        <v>#VALUE!</v>
      </c>
      <c r="H314" s="848" t="e">
        <f t="shared" ref="H314" si="132">SUM(H308:H313)</f>
        <v>#VALUE!</v>
      </c>
      <c r="I314" s="848" t="e">
        <f t="shared" ref="I314" si="133">SUM(I308:I313)</f>
        <v>#VALUE!</v>
      </c>
      <c r="J314" s="850" t="e">
        <f t="shared" si="123"/>
        <v>#VALUE!</v>
      </c>
      <c r="O314" s="318"/>
      <c r="P314" s="328"/>
      <c r="Q314" s="318"/>
      <c r="R314" s="318"/>
      <c r="S314" s="318"/>
      <c r="T314" s="318"/>
      <c r="U314" s="318"/>
      <c r="V314" s="318"/>
    </row>
    <row r="315" spans="1:22" ht="15.6" hidden="1" outlineLevel="2">
      <c r="A315" s="318"/>
      <c r="B315" s="1" t="s">
        <v>437</v>
      </c>
      <c r="E315" s="818" t="str">
        <f>+E245</f>
        <v>General</v>
      </c>
      <c r="F315" s="818" t="str">
        <f t="shared" ref="F315:I315" si="134">+F245</f>
        <v>SpEd</v>
      </c>
      <c r="G315" s="818" t="str">
        <f t="shared" si="134"/>
        <v>EL</v>
      </c>
      <c r="H315" s="818" t="str">
        <f t="shared" si="134"/>
        <v>AR</v>
      </c>
      <c r="I315" s="818" t="str">
        <f t="shared" si="134"/>
        <v>G&amp;T</v>
      </c>
      <c r="J315" s="818">
        <f t="shared" si="123"/>
        <v>0</v>
      </c>
      <c r="O315" s="318"/>
      <c r="P315" s="328"/>
      <c r="Q315" s="318"/>
      <c r="R315" s="318"/>
      <c r="S315" s="318"/>
      <c r="T315" s="318"/>
      <c r="U315" s="318"/>
      <c r="V315" s="318"/>
    </row>
    <row r="316" spans="1:22" ht="15.6" hidden="1" outlineLevel="2">
      <c r="A316" s="318"/>
      <c r="B316" s="825" t="s">
        <v>956</v>
      </c>
      <c r="C316" s="835"/>
      <c r="D316" s="835"/>
      <c r="E316" s="852" t="e">
        <f t="shared" ref="E316" si="135">+E314/E315</f>
        <v>#VALUE!</v>
      </c>
      <c r="F316" s="852" t="e">
        <f t="shared" ref="F316" si="136">+F314/F315</f>
        <v>#VALUE!</v>
      </c>
      <c r="G316" s="852" t="e">
        <f t="shared" ref="G316" si="137">+G314/G315</f>
        <v>#VALUE!</v>
      </c>
      <c r="H316" s="852" t="e">
        <f t="shared" ref="H316" si="138">+H314/H315</f>
        <v>#VALUE!</v>
      </c>
      <c r="I316" s="852" t="e">
        <f t="shared" ref="I316" si="139">+I314/I315</f>
        <v>#VALUE!</v>
      </c>
      <c r="J316" s="852" t="e">
        <f>+J314/J315</f>
        <v>#VALUE!</v>
      </c>
      <c r="O316" s="318"/>
      <c r="P316" s="328"/>
      <c r="Q316" s="318"/>
      <c r="R316" s="318"/>
      <c r="S316" s="318"/>
      <c r="T316" s="318"/>
      <c r="U316" s="318"/>
      <c r="V316" s="318"/>
    </row>
    <row r="317" spans="1:22" ht="15.6" hidden="1" outlineLevel="2">
      <c r="A317" s="318"/>
      <c r="B317" s="1"/>
      <c r="J317" s="818"/>
      <c r="O317" s="318"/>
      <c r="P317" s="328"/>
      <c r="Q317" s="318"/>
      <c r="R317" s="318"/>
      <c r="S317" s="318"/>
      <c r="T317" s="318"/>
      <c r="U317" s="318"/>
      <c r="V317" s="318"/>
    </row>
    <row r="318" spans="1:22" ht="15.6" hidden="1" outlineLevel="2">
      <c r="A318" s="318"/>
      <c r="E318" s="778" t="s">
        <v>957</v>
      </c>
      <c r="F318" s="345"/>
      <c r="G318" s="778"/>
      <c r="H318" s="778"/>
      <c r="I318" s="778"/>
      <c r="J318" s="345"/>
      <c r="O318" s="318"/>
      <c r="P318" s="328"/>
      <c r="Q318" s="318"/>
      <c r="R318" s="318"/>
      <c r="S318" s="318"/>
      <c r="T318" s="318"/>
      <c r="U318" s="318"/>
      <c r="V318" s="318"/>
    </row>
    <row r="319" spans="1:22" ht="15.6" hidden="1" outlineLevel="2">
      <c r="A319" s="318"/>
      <c r="E319" s="781" t="s">
        <v>498</v>
      </c>
      <c r="F319" s="781" t="s">
        <v>917</v>
      </c>
      <c r="G319" s="781" t="s">
        <v>918</v>
      </c>
      <c r="H319" s="781" t="s">
        <v>907</v>
      </c>
      <c r="I319" s="781" t="s">
        <v>919</v>
      </c>
      <c r="J319" s="814"/>
      <c r="O319" s="318"/>
      <c r="P319" s="328"/>
      <c r="Q319" s="318"/>
      <c r="R319" s="318"/>
      <c r="S319" s="318"/>
      <c r="T319" s="318"/>
      <c r="U319" s="318"/>
      <c r="V319" s="318"/>
    </row>
    <row r="320" spans="1:22" ht="15.6" hidden="1" outlineLevel="2">
      <c r="A320" s="318"/>
      <c r="B320" s="781" t="s">
        <v>951</v>
      </c>
      <c r="C320" s="781"/>
      <c r="D320" s="781"/>
      <c r="E320" s="858">
        <v>0</v>
      </c>
      <c r="F320" s="857">
        <f>+F249</f>
        <v>11021.2</v>
      </c>
      <c r="G320" s="857">
        <f t="shared" ref="G320:I320" si="140">+G249</f>
        <v>3454.56</v>
      </c>
      <c r="H320" s="857">
        <f t="shared" si="140"/>
        <v>647.73</v>
      </c>
      <c r="I320" s="857">
        <f t="shared" si="140"/>
        <v>863.64</v>
      </c>
      <c r="J320" s="781" t="s">
        <v>78</v>
      </c>
      <c r="O320" s="318"/>
      <c r="P320" s="328"/>
      <c r="Q320" s="318"/>
      <c r="R320" s="318"/>
      <c r="S320" s="318"/>
      <c r="T320" s="318"/>
      <c r="U320" s="318"/>
      <c r="V320" s="318"/>
    </row>
    <row r="321" spans="1:22" ht="15.6" hidden="1" outlineLevel="2">
      <c r="A321" s="318">
        <v>1</v>
      </c>
      <c r="B321" t="str">
        <f>+B$67</f>
        <v xml:space="preserve">Carson City </v>
      </c>
      <c r="C321" s="424"/>
      <c r="D321" s="424">
        <f>E217</f>
        <v>0</v>
      </c>
      <c r="E321" s="816"/>
      <c r="F321" s="843">
        <f t="shared" ref="F321:I326" si="141">F$246*F250*$D321</f>
        <v>0</v>
      </c>
      <c r="G321" s="843">
        <f t="shared" si="141"/>
        <v>0</v>
      </c>
      <c r="H321" s="843">
        <f t="shared" si="141"/>
        <v>0</v>
      </c>
      <c r="I321" s="843">
        <f t="shared" si="141"/>
        <v>0</v>
      </c>
      <c r="J321" s="847">
        <f t="shared" ref="J321:J327" si="142">SUM(E321:I321)</f>
        <v>0</v>
      </c>
      <c r="O321" s="318"/>
      <c r="P321" s="328"/>
      <c r="Q321" s="318"/>
      <c r="R321" s="318"/>
      <c r="S321" s="318"/>
      <c r="T321" s="318"/>
      <c r="U321" s="318"/>
      <c r="V321" s="318"/>
    </row>
    <row r="322" spans="1:22" ht="15.6" hidden="1" outlineLevel="2">
      <c r="A322" s="318">
        <f>1+A321</f>
        <v>2</v>
      </c>
      <c r="B322" t="str">
        <f>+$B$68</f>
        <v>Churchill</v>
      </c>
      <c r="C322" s="4"/>
      <c r="D322" s="4">
        <f t="shared" ref="D322:D326" si="143">E218</f>
        <v>0</v>
      </c>
      <c r="E322" s="816"/>
      <c r="F322" s="844">
        <f t="shared" si="141"/>
        <v>0</v>
      </c>
      <c r="G322" s="844">
        <f t="shared" si="141"/>
        <v>0</v>
      </c>
      <c r="H322" s="844">
        <f t="shared" si="141"/>
        <v>0</v>
      </c>
      <c r="I322" s="844">
        <f t="shared" si="141"/>
        <v>0</v>
      </c>
      <c r="J322" s="813">
        <f t="shared" si="142"/>
        <v>0</v>
      </c>
      <c r="O322" s="318"/>
      <c r="P322" s="328"/>
      <c r="Q322" s="318"/>
      <c r="R322" s="318"/>
      <c r="S322" s="318"/>
      <c r="T322" s="318"/>
      <c r="U322" s="318"/>
      <c r="V322" s="318"/>
    </row>
    <row r="323" spans="1:22" ht="15.6" hidden="1" outlineLevel="2">
      <c r="A323" s="318">
        <f t="shared" ref="A323:A326" si="144">1+A322</f>
        <v>3</v>
      </c>
      <c r="B323" t="str">
        <f>+$B$69</f>
        <v>Clark</v>
      </c>
      <c r="C323" s="4"/>
      <c r="D323" s="4" t="str">
        <f t="shared" si="143"/>
        <v>General</v>
      </c>
      <c r="E323" s="816"/>
      <c r="F323" s="844" t="e">
        <f t="shared" si="141"/>
        <v>#VALUE!</v>
      </c>
      <c r="G323" s="844" t="e">
        <f t="shared" si="141"/>
        <v>#VALUE!</v>
      </c>
      <c r="H323" s="844" t="e">
        <f t="shared" si="141"/>
        <v>#VALUE!</v>
      </c>
      <c r="I323" s="844" t="e">
        <f t="shared" si="141"/>
        <v>#VALUE!</v>
      </c>
      <c r="J323" s="813" t="e">
        <f t="shared" si="142"/>
        <v>#VALUE!</v>
      </c>
      <c r="O323" s="318"/>
      <c r="P323" s="328"/>
      <c r="Q323" s="318"/>
      <c r="R323" s="318"/>
      <c r="S323" s="318"/>
      <c r="T323" s="318"/>
      <c r="U323" s="318"/>
      <c r="V323" s="318"/>
    </row>
    <row r="324" spans="1:22" ht="15.6" hidden="1" outlineLevel="2">
      <c r="A324" s="318">
        <f t="shared" si="144"/>
        <v>4</v>
      </c>
      <c r="B324" t="str">
        <f>+$B$70</f>
        <v>Elko</v>
      </c>
      <c r="C324" s="4"/>
      <c r="D324" s="4">
        <f t="shared" si="143"/>
        <v>100</v>
      </c>
      <c r="E324" s="816"/>
      <c r="F324" s="844">
        <f t="shared" si="141"/>
        <v>2805048.7040168052</v>
      </c>
      <c r="G324" s="844">
        <f t="shared" si="141"/>
        <v>551185.92000000004</v>
      </c>
      <c r="H324" s="844">
        <f t="shared" si="141"/>
        <v>12918.419999999998</v>
      </c>
      <c r="I324" s="844">
        <f t="shared" si="141"/>
        <v>68898.240000000005</v>
      </c>
      <c r="J324" s="813">
        <f t="shared" si="142"/>
        <v>3438051.2840168052</v>
      </c>
      <c r="O324" s="318"/>
      <c r="P324" s="328"/>
      <c r="Q324" s="318"/>
      <c r="R324" s="318"/>
      <c r="S324" s="318"/>
      <c r="T324" s="318"/>
      <c r="U324" s="318"/>
      <c r="V324" s="318"/>
    </row>
    <row r="325" spans="1:22" ht="15.6" hidden="1" outlineLevel="2">
      <c r="A325" s="318">
        <f t="shared" si="144"/>
        <v>5</v>
      </c>
      <c r="B325" t="str">
        <f>+$B$72</f>
        <v>Washoe</v>
      </c>
      <c r="C325" s="4"/>
      <c r="D325" s="4">
        <f t="shared" si="143"/>
        <v>0</v>
      </c>
      <c r="E325" s="816"/>
      <c r="F325" s="844">
        <f t="shared" si="141"/>
        <v>0</v>
      </c>
      <c r="G325" s="844">
        <f t="shared" si="141"/>
        <v>0</v>
      </c>
      <c r="H325" s="844">
        <f t="shared" si="141"/>
        <v>0</v>
      </c>
      <c r="I325" s="844">
        <f t="shared" si="141"/>
        <v>0</v>
      </c>
      <c r="J325" s="813">
        <f t="shared" si="142"/>
        <v>0</v>
      </c>
      <c r="O325" s="318"/>
      <c r="P325" s="328"/>
      <c r="Q325" s="318"/>
      <c r="R325" s="318"/>
      <c r="S325" s="318"/>
      <c r="T325" s="318"/>
      <c r="U325" s="318"/>
      <c r="V325" s="318"/>
    </row>
    <row r="326" spans="1:22" ht="15.6" hidden="1" outlineLevel="2">
      <c r="A326" s="318">
        <f t="shared" si="144"/>
        <v>6</v>
      </c>
      <c r="B326" t="str">
        <f>+$B$73</f>
        <v>White Pine</v>
      </c>
      <c r="C326" s="4"/>
      <c r="D326" s="4">
        <f t="shared" si="143"/>
        <v>0</v>
      </c>
      <c r="E326" s="816"/>
      <c r="F326" s="845">
        <f t="shared" si="141"/>
        <v>0</v>
      </c>
      <c r="G326" s="845">
        <f t="shared" si="141"/>
        <v>0</v>
      </c>
      <c r="H326" s="845">
        <f t="shared" si="141"/>
        <v>0</v>
      </c>
      <c r="I326" s="845">
        <f t="shared" si="141"/>
        <v>0</v>
      </c>
      <c r="J326" s="824">
        <f t="shared" si="142"/>
        <v>0</v>
      </c>
      <c r="O326" s="318"/>
      <c r="P326" s="328"/>
      <c r="Q326" s="318"/>
      <c r="R326" s="318"/>
      <c r="S326" s="318"/>
      <c r="T326" s="318"/>
      <c r="U326" s="318"/>
      <c r="V326" s="318"/>
    </row>
    <row r="327" spans="1:22" ht="15.6" hidden="1" outlineLevel="2">
      <c r="A327" s="318"/>
      <c r="B327" s="825" t="s">
        <v>78</v>
      </c>
      <c r="C327" s="825"/>
      <c r="D327" s="825"/>
      <c r="E327" s="853"/>
      <c r="F327" s="852" t="e">
        <f t="shared" ref="F327" si="145">SUM(F321:F326)</f>
        <v>#VALUE!</v>
      </c>
      <c r="G327" s="852" t="e">
        <f t="shared" ref="G327" si="146">SUM(G321:G326)</f>
        <v>#VALUE!</v>
      </c>
      <c r="H327" s="852" t="e">
        <f t="shared" ref="H327" si="147">SUM(H321:H326)</f>
        <v>#VALUE!</v>
      </c>
      <c r="I327" s="852" t="e">
        <f t="shared" ref="I327" si="148">SUM(I321:I326)</f>
        <v>#VALUE!</v>
      </c>
      <c r="J327" s="848" t="e">
        <f t="shared" si="142"/>
        <v>#VALUE!</v>
      </c>
      <c r="O327" s="318"/>
      <c r="P327" s="328"/>
      <c r="Q327" s="318"/>
      <c r="R327" s="318"/>
      <c r="S327" s="318"/>
      <c r="T327" s="318"/>
      <c r="U327" s="318"/>
      <c r="V327" s="318"/>
    </row>
    <row r="328" spans="1:22" ht="15.6" hidden="1" outlineLevel="2">
      <c r="A328" s="318"/>
      <c r="O328" s="318"/>
      <c r="P328" s="328"/>
      <c r="Q328" s="318"/>
      <c r="R328" s="318"/>
      <c r="S328" s="318"/>
      <c r="T328" s="318"/>
      <c r="U328" s="318"/>
      <c r="V328" s="318"/>
    </row>
    <row r="329" spans="1:22" ht="15.6" hidden="1" outlineLevel="2">
      <c r="A329" s="318"/>
      <c r="E329" s="778" t="s">
        <v>958</v>
      </c>
      <c r="F329" s="1"/>
      <c r="G329" s="345"/>
      <c r="H329" s="345"/>
      <c r="I329" s="345"/>
      <c r="O329" s="318"/>
      <c r="P329" s="328"/>
      <c r="Q329" s="318"/>
      <c r="R329" s="318"/>
      <c r="S329" s="318"/>
      <c r="T329" s="318"/>
      <c r="U329" s="318"/>
      <c r="V329" s="318"/>
    </row>
    <row r="330" spans="1:22" ht="15.6" hidden="1" outlineLevel="2">
      <c r="A330" s="318"/>
      <c r="E330" s="781" t="s">
        <v>498</v>
      </c>
      <c r="F330" s="826" t="s">
        <v>917</v>
      </c>
      <c r="G330" s="781" t="s">
        <v>918</v>
      </c>
      <c r="H330" s="781" t="s">
        <v>907</v>
      </c>
      <c r="I330" s="781" t="s">
        <v>919</v>
      </c>
      <c r="J330" s="826" t="s">
        <v>78</v>
      </c>
      <c r="O330" s="318"/>
      <c r="P330" s="328"/>
      <c r="Q330" s="318"/>
      <c r="R330" s="318"/>
      <c r="S330" s="318"/>
      <c r="T330" s="318"/>
      <c r="U330" s="318"/>
      <c r="V330" s="318"/>
    </row>
    <row r="331" spans="1:22" ht="15.6" hidden="1" outlineLevel="2">
      <c r="A331" s="318">
        <v>1</v>
      </c>
      <c r="B331" t="str">
        <f>+B$67</f>
        <v xml:space="preserve">Carson City </v>
      </c>
      <c r="C331" s="424"/>
      <c r="D331" s="424">
        <f>E217</f>
        <v>0</v>
      </c>
      <c r="E331" s="827">
        <f t="shared" ref="E331:I336" si="149">+$E217*E239</f>
        <v>0</v>
      </c>
      <c r="F331" s="827">
        <f t="shared" si="149"/>
        <v>0</v>
      </c>
      <c r="G331" s="827">
        <f t="shared" si="149"/>
        <v>0</v>
      </c>
      <c r="H331" s="827">
        <f t="shared" si="149"/>
        <v>0</v>
      </c>
      <c r="I331" s="827">
        <f t="shared" si="149"/>
        <v>0</v>
      </c>
      <c r="J331" s="851">
        <f t="shared" ref="J331:J337" si="150">SUM(E331:I331)</f>
        <v>0</v>
      </c>
      <c r="O331" s="318"/>
      <c r="P331" s="328"/>
      <c r="Q331" s="318"/>
      <c r="R331" s="318"/>
      <c r="S331" s="318"/>
      <c r="T331" s="318"/>
      <c r="U331" s="318"/>
      <c r="V331" s="318"/>
    </row>
    <row r="332" spans="1:22" ht="15.6" hidden="1" outlineLevel="2">
      <c r="A332" s="318">
        <f>1+A331</f>
        <v>2</v>
      </c>
      <c r="B332" t="str">
        <f>+$B$68</f>
        <v>Churchill</v>
      </c>
      <c r="C332" s="4"/>
      <c r="D332" s="4">
        <f t="shared" ref="D332:D336" si="151">E218</f>
        <v>0</v>
      </c>
      <c r="E332" s="828">
        <f t="shared" si="149"/>
        <v>0</v>
      </c>
      <c r="F332" s="828">
        <f t="shared" si="149"/>
        <v>0</v>
      </c>
      <c r="G332" s="828">
        <f t="shared" si="149"/>
        <v>0</v>
      </c>
      <c r="H332" s="828">
        <f t="shared" si="149"/>
        <v>0</v>
      </c>
      <c r="I332" s="828">
        <f t="shared" si="149"/>
        <v>0</v>
      </c>
      <c r="J332" s="818">
        <f t="shared" si="150"/>
        <v>0</v>
      </c>
      <c r="O332" s="318"/>
      <c r="P332" s="328"/>
      <c r="Q332" s="318"/>
      <c r="R332" s="318"/>
      <c r="S332" s="318"/>
      <c r="T332" s="318"/>
      <c r="U332" s="318"/>
      <c r="V332" s="318"/>
    </row>
    <row r="333" spans="1:22" ht="15.6" hidden="1" outlineLevel="2">
      <c r="A333" s="318">
        <f t="shared" ref="A333:A336" si="152">1+A332</f>
        <v>3</v>
      </c>
      <c r="B333" t="str">
        <f>+$B$69</f>
        <v>Clark</v>
      </c>
      <c r="C333" s="4"/>
      <c r="D333" s="4" t="str">
        <f t="shared" si="151"/>
        <v>General</v>
      </c>
      <c r="E333" s="828" t="e">
        <f t="shared" si="149"/>
        <v>#VALUE!</v>
      </c>
      <c r="F333" s="828" t="e">
        <f t="shared" si="149"/>
        <v>#VALUE!</v>
      </c>
      <c r="G333" s="828" t="e">
        <f t="shared" si="149"/>
        <v>#VALUE!</v>
      </c>
      <c r="H333" s="828" t="e">
        <f t="shared" si="149"/>
        <v>#VALUE!</v>
      </c>
      <c r="I333" s="828" t="e">
        <f t="shared" si="149"/>
        <v>#VALUE!</v>
      </c>
      <c r="J333" s="818" t="e">
        <f t="shared" si="150"/>
        <v>#VALUE!</v>
      </c>
      <c r="O333" s="318"/>
      <c r="P333" s="328"/>
      <c r="Q333" s="318"/>
      <c r="R333" s="318"/>
      <c r="S333" s="318"/>
      <c r="T333" s="318"/>
      <c r="U333" s="318"/>
      <c r="V333" s="318"/>
    </row>
    <row r="334" spans="1:22" ht="15.6" hidden="1" outlineLevel="2">
      <c r="A334" s="318">
        <f t="shared" si="152"/>
        <v>4</v>
      </c>
      <c r="B334" t="str">
        <f>+$B$70</f>
        <v>Elko</v>
      </c>
      <c r="C334" s="4"/>
      <c r="D334" s="4">
        <f t="shared" si="151"/>
        <v>100</v>
      </c>
      <c r="E334" s="828">
        <f t="shared" si="149"/>
        <v>797433.33333333326</v>
      </c>
      <c r="F334" s="828">
        <f t="shared" si="149"/>
        <v>1102722.7682830808</v>
      </c>
      <c r="G334" s="828">
        <f t="shared" si="149"/>
        <v>873986.93333333335</v>
      </c>
      <c r="H334" s="828">
        <f t="shared" si="149"/>
        <v>811787.1333333333</v>
      </c>
      <c r="I334" s="828">
        <f t="shared" si="149"/>
        <v>893125.33333333337</v>
      </c>
      <c r="J334" s="818">
        <f t="shared" si="150"/>
        <v>4479055.5016164137</v>
      </c>
      <c r="O334" s="318"/>
      <c r="P334" s="328"/>
      <c r="Q334" s="318"/>
      <c r="R334" s="318"/>
      <c r="S334" s="318"/>
      <c r="T334" s="318"/>
      <c r="U334" s="318"/>
      <c r="V334" s="318"/>
    </row>
    <row r="335" spans="1:22" ht="15.6" hidden="1" outlineLevel="2">
      <c r="A335" s="318">
        <f t="shared" si="152"/>
        <v>5</v>
      </c>
      <c r="B335" t="str">
        <f>+$B$72</f>
        <v>Washoe</v>
      </c>
      <c r="C335" s="4"/>
      <c r="D335" s="4">
        <f t="shared" si="151"/>
        <v>0</v>
      </c>
      <c r="E335" s="828">
        <f t="shared" si="149"/>
        <v>0</v>
      </c>
      <c r="F335" s="828">
        <f t="shared" si="149"/>
        <v>0</v>
      </c>
      <c r="G335" s="828">
        <f t="shared" si="149"/>
        <v>0</v>
      </c>
      <c r="H335" s="828">
        <f t="shared" si="149"/>
        <v>0</v>
      </c>
      <c r="I335" s="828">
        <f t="shared" si="149"/>
        <v>0</v>
      </c>
      <c r="J335" s="818">
        <f t="shared" si="150"/>
        <v>0</v>
      </c>
      <c r="O335" s="318"/>
      <c r="P335" s="328"/>
      <c r="Q335" s="318"/>
      <c r="R335" s="318"/>
      <c r="S335" s="318"/>
      <c r="T335" s="318"/>
      <c r="U335" s="318"/>
      <c r="V335" s="318"/>
    </row>
    <row r="336" spans="1:22" ht="15.6" hidden="1" outlineLevel="2">
      <c r="A336" s="318">
        <f t="shared" si="152"/>
        <v>6</v>
      </c>
      <c r="B336" t="str">
        <f>+$B$73</f>
        <v>White Pine</v>
      </c>
      <c r="C336" s="4"/>
      <c r="D336" s="4">
        <f t="shared" si="151"/>
        <v>0</v>
      </c>
      <c r="E336" s="829" t="e">
        <f t="shared" si="149"/>
        <v>#VALUE!</v>
      </c>
      <c r="F336" s="829">
        <f t="shared" si="149"/>
        <v>0</v>
      </c>
      <c r="G336" s="829">
        <f t="shared" si="149"/>
        <v>0</v>
      </c>
      <c r="H336" s="829">
        <f t="shared" si="149"/>
        <v>0</v>
      </c>
      <c r="I336" s="829">
        <f t="shared" si="149"/>
        <v>0</v>
      </c>
      <c r="J336" s="818" t="e">
        <f t="shared" si="150"/>
        <v>#VALUE!</v>
      </c>
      <c r="O336" s="318"/>
      <c r="P336" s="328"/>
      <c r="Q336" s="318"/>
      <c r="R336" s="318"/>
      <c r="S336" s="318"/>
      <c r="T336" s="318"/>
      <c r="U336" s="318"/>
      <c r="V336" s="318"/>
    </row>
    <row r="337" spans="1:22" ht="15.6" hidden="1" outlineLevel="2">
      <c r="A337" s="318"/>
      <c r="B337" s="825" t="s">
        <v>78</v>
      </c>
      <c r="C337" s="825"/>
      <c r="D337" s="825"/>
      <c r="E337" s="852" t="e">
        <f>SUM(E331:E336)</f>
        <v>#VALUE!</v>
      </c>
      <c r="F337" s="852" t="e">
        <f t="shared" ref="F337" si="153">SUM(F331:F336)</f>
        <v>#VALUE!</v>
      </c>
      <c r="G337" s="852" t="e">
        <f t="shared" ref="G337" si="154">SUM(G331:G336)</f>
        <v>#VALUE!</v>
      </c>
      <c r="H337" s="852" t="e">
        <f t="shared" ref="H337" si="155">SUM(H331:H336)</f>
        <v>#VALUE!</v>
      </c>
      <c r="I337" s="852" t="e">
        <f t="shared" ref="I337" si="156">SUM(I331:I336)</f>
        <v>#VALUE!</v>
      </c>
      <c r="J337" s="852" t="e">
        <f t="shared" si="150"/>
        <v>#VALUE!</v>
      </c>
      <c r="O337" s="318"/>
      <c r="P337" s="328"/>
      <c r="Q337" s="318"/>
      <c r="R337" s="318"/>
      <c r="S337" s="318"/>
      <c r="T337" s="318"/>
      <c r="U337" s="318"/>
      <c r="V337" s="318"/>
    </row>
    <row r="338" spans="1:22" ht="15.6" hidden="1" outlineLevel="2">
      <c r="A338" s="318"/>
      <c r="O338" s="318"/>
      <c r="P338" s="328"/>
      <c r="Q338" s="318"/>
      <c r="R338" s="318"/>
      <c r="S338" s="318"/>
      <c r="T338" s="318"/>
      <c r="U338" s="318"/>
      <c r="V338" s="318"/>
    </row>
    <row r="339" spans="1:22" ht="15.6" hidden="1" outlineLevel="2">
      <c r="A339" s="318"/>
      <c r="B339" s="825" t="s">
        <v>953</v>
      </c>
      <c r="C339" s="825"/>
      <c r="D339" s="825"/>
      <c r="E339" s="852" t="e">
        <f>+E327+E337</f>
        <v>#VALUE!</v>
      </c>
      <c r="F339" s="852" t="e">
        <f t="shared" ref="F339:I339" si="157">+F327+F337</f>
        <v>#VALUE!</v>
      </c>
      <c r="G339" s="852" t="e">
        <f t="shared" si="157"/>
        <v>#VALUE!</v>
      </c>
      <c r="H339" s="852" t="e">
        <f t="shared" si="157"/>
        <v>#VALUE!</v>
      </c>
      <c r="I339" s="852" t="e">
        <f t="shared" si="157"/>
        <v>#VALUE!</v>
      </c>
      <c r="J339" s="854" t="e">
        <f>SUM(E339:I339)</f>
        <v>#VALUE!</v>
      </c>
      <c r="O339" s="318"/>
      <c r="P339" s="328"/>
      <c r="Q339" s="318"/>
      <c r="R339" s="318"/>
      <c r="S339" s="318"/>
      <c r="T339" s="318"/>
      <c r="U339" s="318"/>
      <c r="V339" s="318"/>
    </row>
    <row r="340" spans="1:22" ht="15.6" hidden="1" outlineLevel="2">
      <c r="A340" s="318"/>
      <c r="O340" s="318"/>
      <c r="P340" s="328"/>
      <c r="Q340" s="318"/>
      <c r="R340" s="318"/>
      <c r="S340" s="318"/>
      <c r="T340" s="318"/>
      <c r="U340" s="318"/>
      <c r="V340" s="318"/>
    </row>
    <row r="341" spans="1:22" ht="15.6" hidden="1" outlineLevel="2">
      <c r="A341" s="318"/>
      <c r="O341" s="318"/>
      <c r="P341" s="328"/>
      <c r="Q341" s="318"/>
      <c r="R341" s="318"/>
      <c r="S341" s="318"/>
      <c r="T341" s="318"/>
      <c r="U341" s="318"/>
      <c r="V341" s="318"/>
    </row>
    <row r="342" spans="1:22" ht="15.6" hidden="1" outlineLevel="2">
      <c r="A342" s="318"/>
      <c r="O342" s="318"/>
      <c r="P342" s="328"/>
      <c r="Q342" s="318"/>
      <c r="R342" s="318"/>
      <c r="S342" s="318"/>
      <c r="T342" s="318"/>
      <c r="U342" s="318"/>
      <c r="V342" s="318"/>
    </row>
    <row r="343" spans="1:22" ht="15.6" hidden="1" outlineLevel="1" collapsed="1">
      <c r="A343" s="318"/>
      <c r="O343" s="318"/>
      <c r="P343" s="328"/>
      <c r="Q343" s="318"/>
      <c r="R343" s="318"/>
      <c r="S343" s="318"/>
      <c r="T343" s="318"/>
      <c r="U343" s="318"/>
      <c r="V343" s="318"/>
    </row>
    <row r="344" spans="1:22" ht="15.6" collapsed="1">
      <c r="A344" s="318"/>
      <c r="K344" s="811"/>
      <c r="L344" s="811"/>
      <c r="M344" s="811"/>
      <c r="N344" s="1279"/>
      <c r="O344" s="1280"/>
      <c r="P344" s="328"/>
      <c r="Q344" s="318"/>
      <c r="R344" s="318"/>
      <c r="S344" s="318"/>
      <c r="T344" s="318"/>
      <c r="U344" s="318"/>
      <c r="V344" s="318"/>
    </row>
    <row r="345" spans="1:22" ht="15.6">
      <c r="A345" s="318"/>
      <c r="J345" s="1052"/>
      <c r="N345" s="424"/>
      <c r="O345" s="424"/>
      <c r="P345" s="328"/>
      <c r="Q345" s="318"/>
      <c r="R345" s="318"/>
      <c r="S345" s="318"/>
      <c r="T345" s="318"/>
      <c r="U345" s="318"/>
      <c r="V345" s="318"/>
    </row>
    <row r="346" spans="1:22" ht="15.6">
      <c r="A346" s="318"/>
      <c r="J346" s="1052"/>
      <c r="N346" s="424"/>
      <c r="O346" s="424"/>
      <c r="P346" s="328"/>
      <c r="Q346" s="318"/>
      <c r="R346" s="318"/>
      <c r="S346" s="318"/>
      <c r="T346" s="318"/>
      <c r="U346" s="318"/>
      <c r="V346" s="318"/>
    </row>
    <row r="347" spans="1:22" ht="15.6">
      <c r="A347" s="318"/>
      <c r="J347" s="1052"/>
      <c r="N347" s="424"/>
      <c r="O347" s="424"/>
      <c r="P347" s="328"/>
      <c r="Q347" s="318"/>
      <c r="R347" s="318"/>
      <c r="S347" s="318"/>
      <c r="T347" s="318"/>
      <c r="U347" s="318"/>
      <c r="V347" s="318"/>
    </row>
    <row r="348" spans="1:22" ht="15.6">
      <c r="A348" s="318"/>
      <c r="J348" s="1052"/>
      <c r="N348" s="424"/>
      <c r="O348" s="424"/>
      <c r="P348" s="328"/>
      <c r="Q348" s="318"/>
      <c r="R348" s="318"/>
      <c r="S348" s="318"/>
      <c r="T348" s="318"/>
      <c r="U348" s="318"/>
      <c r="V348" s="318"/>
    </row>
    <row r="349" spans="1:22" ht="15.6">
      <c r="A349" s="318"/>
      <c r="O349" s="318"/>
      <c r="P349" s="328"/>
      <c r="Q349" s="318"/>
      <c r="R349" s="318"/>
      <c r="S349" s="318"/>
      <c r="T349" s="318"/>
      <c r="U349" s="318"/>
      <c r="V349" s="318"/>
    </row>
    <row r="350" spans="1:22" ht="15.6">
      <c r="A350" s="318"/>
      <c r="O350" s="318"/>
      <c r="P350" s="328"/>
      <c r="Q350" s="318"/>
      <c r="R350" s="318"/>
      <c r="S350" s="318"/>
      <c r="T350" s="318"/>
      <c r="U350" s="318"/>
      <c r="V350" s="318"/>
    </row>
    <row r="351" spans="1:22" ht="15.6">
      <c r="A351" s="318"/>
      <c r="O351" s="318"/>
      <c r="P351" s="328"/>
      <c r="Q351" s="318"/>
      <c r="R351" s="318"/>
      <c r="S351" s="318"/>
      <c r="T351" s="318"/>
      <c r="U351" s="318"/>
      <c r="V351" s="318"/>
    </row>
    <row r="352" spans="1:22" ht="15.6">
      <c r="A352" s="318"/>
      <c r="O352" s="318"/>
      <c r="P352" s="328"/>
      <c r="Q352" s="318"/>
      <c r="R352" s="318"/>
      <c r="S352" s="318"/>
      <c r="T352" s="318"/>
      <c r="U352" s="318"/>
      <c r="V352" s="318"/>
    </row>
    <row r="353" spans="1:22" ht="15.6">
      <c r="A353" s="318"/>
      <c r="O353" s="318"/>
      <c r="P353" s="328"/>
      <c r="Q353" s="318"/>
      <c r="R353" s="318"/>
      <c r="S353" s="318"/>
      <c r="T353" s="318"/>
      <c r="U353" s="318"/>
      <c r="V353" s="318"/>
    </row>
    <row r="354" spans="1:22" ht="15.6">
      <c r="A354" s="318"/>
      <c r="O354" s="318"/>
      <c r="P354" s="328"/>
      <c r="Q354" s="318"/>
      <c r="R354" s="318"/>
      <c r="S354" s="318"/>
      <c r="T354" s="318"/>
      <c r="U354" s="318"/>
      <c r="V354" s="318"/>
    </row>
    <row r="355" spans="1:22" ht="15.6">
      <c r="A355" s="318"/>
      <c r="O355" s="318"/>
      <c r="P355" s="328"/>
      <c r="Q355" s="318"/>
      <c r="R355" s="318"/>
      <c r="S355" s="318"/>
      <c r="T355" s="318"/>
      <c r="U355" s="318"/>
      <c r="V355" s="318"/>
    </row>
    <row r="356" spans="1:22" ht="15.6">
      <c r="A356" s="318"/>
      <c r="O356" s="318"/>
      <c r="P356" s="328"/>
      <c r="Q356" s="318"/>
      <c r="R356" s="318"/>
      <c r="S356" s="318"/>
      <c r="T356" s="318"/>
      <c r="U356" s="318"/>
      <c r="V356" s="318"/>
    </row>
    <row r="357" spans="1:22" ht="15.6">
      <c r="A357" s="318"/>
      <c r="O357" s="318"/>
      <c r="P357" s="328"/>
      <c r="Q357" s="318"/>
      <c r="R357" s="318"/>
      <c r="S357" s="318"/>
      <c r="T357" s="318"/>
      <c r="U357" s="318"/>
      <c r="V357" s="318"/>
    </row>
    <row r="358" spans="1:22" ht="15.6">
      <c r="A358" s="318"/>
      <c r="O358" s="318"/>
      <c r="P358" s="328"/>
      <c r="Q358" s="318"/>
      <c r="R358" s="318"/>
      <c r="S358" s="318"/>
      <c r="T358" s="318"/>
      <c r="U358" s="318"/>
      <c r="V358" s="318"/>
    </row>
    <row r="359" spans="1:22" ht="15.6">
      <c r="A359" s="318"/>
      <c r="O359" s="318"/>
      <c r="P359" s="328"/>
      <c r="Q359" s="318"/>
      <c r="R359" s="318"/>
      <c r="S359" s="318"/>
      <c r="T359" s="318"/>
      <c r="U359" s="318"/>
      <c r="V359" s="318"/>
    </row>
    <row r="360" spans="1:22" ht="15.6">
      <c r="A360" s="318"/>
      <c r="O360" s="318"/>
      <c r="P360" s="328"/>
      <c r="Q360" s="318"/>
      <c r="R360" s="318"/>
      <c r="S360" s="318"/>
      <c r="T360" s="318"/>
      <c r="U360" s="318"/>
      <c r="V360" s="318"/>
    </row>
    <row r="361" spans="1:22" ht="15.6">
      <c r="A361" s="318"/>
      <c r="O361" s="318"/>
      <c r="P361" s="328"/>
      <c r="Q361" s="318"/>
      <c r="R361" s="318"/>
      <c r="S361" s="318"/>
      <c r="T361" s="318"/>
      <c r="U361" s="318"/>
      <c r="V361" s="318"/>
    </row>
    <row r="362" spans="1:22" ht="15.6">
      <c r="A362" s="318"/>
      <c r="O362" s="318"/>
      <c r="P362" s="328"/>
      <c r="Q362" s="318"/>
      <c r="R362" s="318"/>
      <c r="S362" s="318"/>
      <c r="T362" s="318"/>
      <c r="U362" s="318"/>
      <c r="V362" s="318"/>
    </row>
    <row r="363" spans="1:22" ht="15.6">
      <c r="A363" s="318"/>
      <c r="O363" s="318"/>
      <c r="P363" s="328"/>
      <c r="Q363" s="318"/>
      <c r="R363" s="318"/>
      <c r="S363" s="318"/>
      <c r="T363" s="318"/>
      <c r="U363" s="318"/>
      <c r="V363" s="318"/>
    </row>
    <row r="364" spans="1:22" ht="15.6">
      <c r="A364" s="318"/>
      <c r="O364" s="318"/>
      <c r="P364" s="328"/>
      <c r="Q364" s="318"/>
      <c r="R364" s="318"/>
      <c r="S364" s="318"/>
      <c r="T364" s="318"/>
      <c r="U364" s="318"/>
      <c r="V364" s="318"/>
    </row>
    <row r="365" spans="1:22" ht="15.6">
      <c r="A365" s="318"/>
      <c r="O365" s="318"/>
      <c r="P365" s="328"/>
      <c r="Q365" s="318"/>
      <c r="R365" s="318"/>
      <c r="S365" s="318"/>
      <c r="T365" s="318"/>
      <c r="U365" s="318"/>
      <c r="V365" s="318"/>
    </row>
    <row r="366" spans="1:22" ht="15.6">
      <c r="A366" s="318"/>
      <c r="O366" s="318"/>
      <c r="P366" s="328"/>
      <c r="Q366" s="318"/>
      <c r="R366" s="318"/>
      <c r="S366" s="318"/>
      <c r="T366" s="318"/>
      <c r="U366" s="318"/>
      <c r="V366" s="318"/>
    </row>
    <row r="367" spans="1:22" ht="15.6">
      <c r="A367" s="318"/>
      <c r="O367" s="318"/>
      <c r="P367" s="328"/>
      <c r="Q367" s="318"/>
      <c r="R367" s="318"/>
      <c r="S367" s="318"/>
      <c r="T367" s="318"/>
      <c r="U367" s="318"/>
      <c r="V367" s="318"/>
    </row>
    <row r="368" spans="1:22" ht="15.6">
      <c r="A368" s="318"/>
      <c r="O368" s="318"/>
      <c r="P368" s="328"/>
      <c r="Q368" s="318"/>
      <c r="R368" s="318"/>
      <c r="S368" s="318"/>
      <c r="T368" s="318"/>
      <c r="U368" s="318"/>
      <c r="V368" s="318"/>
    </row>
    <row r="369" spans="1:22" ht="15.6">
      <c r="A369" s="318"/>
      <c r="O369" s="318"/>
      <c r="P369" s="328"/>
      <c r="Q369" s="318"/>
      <c r="R369" s="318"/>
      <c r="S369" s="318"/>
      <c r="T369" s="318"/>
      <c r="U369" s="318"/>
      <c r="V369" s="318"/>
    </row>
    <row r="370" spans="1:22" ht="15.6">
      <c r="A370" s="318"/>
      <c r="O370" s="318"/>
      <c r="P370" s="328"/>
      <c r="Q370" s="318"/>
      <c r="R370" s="318"/>
      <c r="S370" s="318"/>
      <c r="T370" s="318"/>
      <c r="U370" s="318"/>
      <c r="V370" s="318"/>
    </row>
    <row r="371" spans="1:22" ht="15.6">
      <c r="A371" s="318"/>
      <c r="O371" s="318"/>
      <c r="P371" s="328"/>
      <c r="Q371" s="318"/>
      <c r="R371" s="318"/>
      <c r="S371" s="318"/>
      <c r="T371" s="318"/>
      <c r="U371" s="318"/>
      <c r="V371" s="318"/>
    </row>
    <row r="372" spans="1:22" ht="15.6">
      <c r="A372" s="318"/>
      <c r="O372" s="318"/>
      <c r="P372" s="328"/>
      <c r="Q372" s="318"/>
      <c r="R372" s="318"/>
      <c r="S372" s="318"/>
      <c r="T372" s="318"/>
      <c r="U372" s="318"/>
      <c r="V372" s="318"/>
    </row>
    <row r="373" spans="1:22" ht="15.6">
      <c r="A373" s="318"/>
      <c r="O373" s="318"/>
      <c r="P373" s="328"/>
      <c r="Q373" s="318"/>
      <c r="R373" s="318"/>
      <c r="S373" s="318"/>
      <c r="T373" s="318"/>
      <c r="U373" s="318"/>
      <c r="V373" s="318"/>
    </row>
    <row r="374" spans="1:22" ht="15.6">
      <c r="A374" s="318"/>
      <c r="O374" s="318"/>
      <c r="P374" s="328"/>
      <c r="Q374" s="318"/>
      <c r="R374" s="318"/>
      <c r="S374" s="318"/>
      <c r="T374" s="318"/>
      <c r="U374" s="318"/>
      <c r="V374" s="318"/>
    </row>
    <row r="375" spans="1:22" ht="15.6">
      <c r="A375" s="318"/>
      <c r="O375" s="318"/>
      <c r="P375" s="328"/>
      <c r="Q375" s="318"/>
      <c r="R375" s="318"/>
      <c r="S375" s="318"/>
      <c r="T375" s="318"/>
      <c r="U375" s="318"/>
      <c r="V375" s="318"/>
    </row>
    <row r="376" spans="1:22" ht="15.6">
      <c r="A376" s="318"/>
      <c r="O376" s="318"/>
      <c r="P376" s="328"/>
      <c r="Q376" s="318"/>
      <c r="R376" s="318"/>
      <c r="S376" s="318"/>
      <c r="T376" s="318"/>
      <c r="U376" s="318"/>
      <c r="V376" s="318"/>
    </row>
    <row r="377" spans="1:22" ht="15.6">
      <c r="A377" s="318"/>
      <c r="O377" s="318"/>
      <c r="P377" s="328"/>
      <c r="Q377" s="318"/>
      <c r="R377" s="318"/>
      <c r="S377" s="318"/>
      <c r="T377" s="318"/>
      <c r="U377" s="318"/>
      <c r="V377" s="318"/>
    </row>
    <row r="378" spans="1:22" ht="15.6">
      <c r="A378" s="318"/>
      <c r="O378" s="318"/>
      <c r="P378" s="328"/>
      <c r="Q378" s="318"/>
      <c r="R378" s="318"/>
      <c r="S378" s="318"/>
      <c r="T378" s="318"/>
      <c r="U378" s="318"/>
      <c r="V378" s="318"/>
    </row>
    <row r="379" spans="1:22" ht="15.6">
      <c r="A379" s="318"/>
      <c r="O379" s="318"/>
      <c r="P379" s="328"/>
      <c r="Q379" s="318"/>
      <c r="R379" s="318"/>
      <c r="S379" s="318"/>
      <c r="T379" s="318"/>
      <c r="U379" s="318"/>
      <c r="V379" s="318"/>
    </row>
    <row r="380" spans="1:22" ht="15.6">
      <c r="A380" s="318"/>
      <c r="O380" s="318"/>
      <c r="P380" s="328"/>
      <c r="Q380" s="318"/>
      <c r="R380" s="318"/>
      <c r="S380" s="318"/>
      <c r="T380" s="318"/>
      <c r="U380" s="318"/>
      <c r="V380" s="318"/>
    </row>
    <row r="381" spans="1:22" ht="15.6">
      <c r="A381" s="318"/>
      <c r="O381" s="318"/>
      <c r="P381" s="328"/>
      <c r="Q381" s="318"/>
      <c r="R381" s="318"/>
      <c r="S381" s="318"/>
      <c r="T381" s="318"/>
      <c r="U381" s="318"/>
      <c r="V381" s="318"/>
    </row>
    <row r="382" spans="1:22" ht="15.6">
      <c r="A382" s="318"/>
      <c r="O382" s="318"/>
      <c r="P382" s="328"/>
      <c r="Q382" s="318"/>
      <c r="R382" s="318"/>
      <c r="S382" s="318"/>
      <c r="T382" s="318"/>
      <c r="U382" s="318"/>
      <c r="V382" s="318"/>
    </row>
    <row r="383" spans="1:22" ht="15.6">
      <c r="A383" s="318"/>
      <c r="O383" s="318"/>
      <c r="P383" s="328"/>
      <c r="Q383" s="318"/>
      <c r="R383" s="318"/>
      <c r="S383" s="318"/>
      <c r="T383" s="318"/>
      <c r="U383" s="318"/>
      <c r="V383" s="318"/>
    </row>
    <row r="384" spans="1:22" ht="15.6">
      <c r="A384" s="318"/>
      <c r="O384" s="318"/>
      <c r="P384" s="328"/>
      <c r="Q384" s="318"/>
      <c r="R384" s="318"/>
      <c r="S384" s="318"/>
      <c r="T384" s="318"/>
      <c r="U384" s="318"/>
      <c r="V384" s="318"/>
    </row>
    <row r="385" spans="1:22" ht="15.6">
      <c r="A385" s="318"/>
      <c r="O385" s="318"/>
      <c r="P385" s="328"/>
      <c r="Q385" s="318"/>
      <c r="R385" s="318"/>
      <c r="S385" s="318"/>
      <c r="T385" s="318"/>
      <c r="U385" s="318"/>
      <c r="V385" s="318"/>
    </row>
    <row r="386" spans="1:22" ht="15.6">
      <c r="A386" s="318"/>
      <c r="O386" s="318"/>
      <c r="P386" s="328"/>
      <c r="Q386" s="318"/>
      <c r="R386" s="318"/>
      <c r="S386" s="318"/>
      <c r="T386" s="318"/>
      <c r="U386" s="318"/>
      <c r="V386" s="318"/>
    </row>
    <row r="387" spans="1:22" ht="15.6">
      <c r="A387" s="318"/>
      <c r="O387" s="318"/>
      <c r="P387" s="328"/>
      <c r="Q387" s="318"/>
      <c r="R387" s="318"/>
      <c r="S387" s="318"/>
      <c r="T387" s="318"/>
      <c r="U387" s="318"/>
      <c r="V387" s="318"/>
    </row>
    <row r="388" spans="1:22" ht="15.6">
      <c r="A388" s="318"/>
      <c r="O388" s="318"/>
      <c r="P388" s="328"/>
      <c r="Q388" s="318"/>
      <c r="R388" s="318"/>
      <c r="S388" s="318"/>
      <c r="T388" s="318"/>
      <c r="U388" s="318"/>
      <c r="V388" s="318"/>
    </row>
    <row r="389" spans="1:22" ht="15.6">
      <c r="A389" s="318"/>
      <c r="O389" s="318"/>
      <c r="P389" s="328"/>
      <c r="Q389" s="318"/>
      <c r="R389" s="318"/>
      <c r="S389" s="318"/>
      <c r="T389" s="318"/>
      <c r="U389" s="318"/>
      <c r="V389" s="318"/>
    </row>
    <row r="390" spans="1:22" ht="15.6">
      <c r="A390" s="318"/>
      <c r="O390" s="318"/>
      <c r="P390" s="328"/>
      <c r="Q390" s="318"/>
      <c r="R390" s="318"/>
      <c r="S390" s="318"/>
      <c r="T390" s="318"/>
      <c r="U390" s="318"/>
      <c r="V390" s="318"/>
    </row>
    <row r="391" spans="1:22" ht="15.6">
      <c r="A391" s="318"/>
      <c r="O391" s="318"/>
      <c r="P391" s="328"/>
      <c r="Q391" s="318"/>
      <c r="R391" s="318"/>
      <c r="S391" s="318"/>
      <c r="T391" s="318"/>
      <c r="U391" s="318"/>
      <c r="V391" s="318"/>
    </row>
    <row r="392" spans="1:22" ht="15.6">
      <c r="A392" s="318"/>
      <c r="O392" s="318"/>
      <c r="P392" s="328"/>
      <c r="Q392" s="318"/>
      <c r="R392" s="318"/>
      <c r="S392" s="318"/>
      <c r="T392" s="318"/>
      <c r="U392" s="318"/>
      <c r="V392" s="318"/>
    </row>
    <row r="393" spans="1:22" ht="15.6">
      <c r="A393" s="318"/>
      <c r="O393" s="318"/>
      <c r="P393" s="328"/>
      <c r="Q393" s="318"/>
      <c r="R393" s="318"/>
      <c r="S393" s="318"/>
      <c r="T393" s="318"/>
      <c r="U393" s="318"/>
      <c r="V393" s="318"/>
    </row>
    <row r="394" spans="1:22" ht="15.6">
      <c r="A394" s="318"/>
      <c r="O394" s="318"/>
      <c r="P394" s="328"/>
      <c r="Q394" s="318"/>
      <c r="R394" s="318"/>
      <c r="S394" s="318"/>
      <c r="T394" s="318"/>
      <c r="U394" s="318"/>
      <c r="V394" s="318"/>
    </row>
    <row r="395" spans="1:22" ht="15.6">
      <c r="A395" s="318"/>
      <c r="O395" s="318"/>
      <c r="P395" s="328"/>
      <c r="Q395" s="318"/>
      <c r="R395" s="318"/>
      <c r="S395" s="318"/>
      <c r="T395" s="318"/>
      <c r="U395" s="318"/>
      <c r="V395" s="318"/>
    </row>
    <row r="396" spans="1:22" ht="15.6">
      <c r="A396" s="318"/>
      <c r="O396" s="318"/>
      <c r="P396" s="328"/>
      <c r="Q396" s="318"/>
      <c r="R396" s="318"/>
      <c r="S396" s="318"/>
      <c r="T396" s="318"/>
      <c r="U396" s="318"/>
      <c r="V396" s="318"/>
    </row>
    <row r="397" spans="1:22" ht="15.6">
      <c r="A397" s="318"/>
      <c r="O397" s="318"/>
      <c r="P397" s="328"/>
      <c r="Q397" s="318"/>
      <c r="R397" s="318"/>
      <c r="S397" s="318"/>
      <c r="T397" s="318"/>
      <c r="U397" s="318"/>
      <c r="V397" s="318"/>
    </row>
    <row r="398" spans="1:22" ht="15.6">
      <c r="A398" s="318"/>
      <c r="O398" s="318"/>
      <c r="P398" s="328"/>
      <c r="Q398" s="318"/>
      <c r="R398" s="318"/>
      <c r="S398" s="318"/>
      <c r="T398" s="318"/>
      <c r="U398" s="318"/>
      <c r="V398" s="318"/>
    </row>
    <row r="399" spans="1:22" ht="15.6">
      <c r="A399" s="318"/>
      <c r="O399" s="318"/>
      <c r="P399" s="328"/>
      <c r="Q399" s="318"/>
      <c r="R399" s="318"/>
      <c r="S399" s="318"/>
      <c r="T399" s="318"/>
      <c r="U399" s="318"/>
      <c r="V399" s="318"/>
    </row>
    <row r="400" spans="1:22" ht="15.6">
      <c r="A400" s="318"/>
      <c r="B400" s="865" t="s">
        <v>959</v>
      </c>
      <c r="C400" s="866"/>
      <c r="D400" s="866"/>
      <c r="E400" s="866"/>
      <c r="F400" s="866"/>
      <c r="G400" s="866"/>
      <c r="H400" s="866"/>
      <c r="I400" s="866"/>
      <c r="J400" s="866"/>
      <c r="O400" s="318"/>
      <c r="P400" s="328"/>
      <c r="Q400" s="318"/>
      <c r="R400" s="318"/>
      <c r="S400" s="318"/>
      <c r="T400" s="318"/>
      <c r="U400" s="318"/>
      <c r="V400" s="318"/>
    </row>
    <row r="401" spans="1:22" ht="15.6">
      <c r="A401" s="318"/>
      <c r="B401" s="330" t="s">
        <v>960</v>
      </c>
      <c r="C401" s="330"/>
      <c r="D401" s="318"/>
      <c r="E401" s="318"/>
      <c r="F401" s="318"/>
      <c r="G401" s="318"/>
      <c r="H401" s="318"/>
      <c r="I401" s="318"/>
      <c r="O401" s="318"/>
      <c r="P401" s="328"/>
      <c r="Q401" s="318"/>
      <c r="R401" s="318"/>
      <c r="S401" s="318"/>
      <c r="T401" s="318"/>
      <c r="U401" s="318"/>
      <c r="V401" s="318"/>
    </row>
    <row r="402" spans="1:22" ht="15.6">
      <c r="A402" s="318"/>
      <c r="B402" s="323">
        <v>6980</v>
      </c>
      <c r="C402" s="323"/>
      <c r="D402" s="330" t="s">
        <v>961</v>
      </c>
      <c r="E402" s="330"/>
      <c r="F402" s="318"/>
      <c r="G402" s="318"/>
      <c r="H402" s="318"/>
      <c r="I402" s="318"/>
      <c r="O402" s="318"/>
      <c r="P402" s="328"/>
      <c r="Q402" s="318"/>
      <c r="R402" s="318"/>
      <c r="S402" s="318"/>
      <c r="T402" s="318"/>
      <c r="U402" s="318"/>
      <c r="V402" s="318"/>
    </row>
    <row r="403" spans="1:22" ht="15.6">
      <c r="A403" s="318"/>
      <c r="B403" s="318"/>
      <c r="C403" s="318"/>
      <c r="D403" s="318"/>
      <c r="E403" s="318"/>
      <c r="F403" s="330" t="s">
        <v>839</v>
      </c>
      <c r="G403" s="318"/>
      <c r="H403" s="318"/>
      <c r="I403" s="330" t="s">
        <v>839</v>
      </c>
      <c r="O403" s="318"/>
      <c r="P403" s="328"/>
      <c r="Q403" s="318"/>
      <c r="R403" s="318"/>
      <c r="S403" s="318"/>
      <c r="T403" s="318"/>
      <c r="U403" s="318"/>
      <c r="V403" s="318"/>
    </row>
    <row r="404" spans="1:22" ht="15.6">
      <c r="A404" s="318"/>
      <c r="B404" s="802" t="s">
        <v>962</v>
      </c>
      <c r="C404" s="802"/>
      <c r="D404" s="803"/>
      <c r="F404" s="802" t="s">
        <v>963</v>
      </c>
      <c r="G404" s="796"/>
      <c r="H404" s="318"/>
      <c r="I404" s="783" t="s">
        <v>964</v>
      </c>
      <c r="J404" s="770"/>
      <c r="O404" s="318"/>
      <c r="P404" s="328"/>
      <c r="Q404" s="318"/>
      <c r="R404" s="318"/>
      <c r="S404" s="318"/>
      <c r="T404" s="318"/>
      <c r="U404" s="318"/>
      <c r="V404" s="318"/>
    </row>
    <row r="405" spans="1:22" ht="15.6">
      <c r="A405" s="318"/>
      <c r="B405" s="778" t="s">
        <v>965</v>
      </c>
      <c r="C405" s="778"/>
      <c r="D405" s="781" t="s">
        <v>929</v>
      </c>
      <c r="E405" s="781"/>
      <c r="F405" s="779" t="s">
        <v>840</v>
      </c>
      <c r="G405" s="781" t="s">
        <v>929</v>
      </c>
      <c r="H405" s="780"/>
      <c r="I405" s="779" t="s">
        <v>840</v>
      </c>
      <c r="J405" s="781" t="s">
        <v>929</v>
      </c>
      <c r="O405" s="318"/>
      <c r="P405" s="328"/>
      <c r="Q405" s="318"/>
      <c r="R405" s="318"/>
      <c r="S405" s="318"/>
      <c r="T405" s="318"/>
      <c r="U405" s="318"/>
      <c r="V405" s="318"/>
    </row>
    <row r="406" spans="1:22" ht="15.6">
      <c r="A406" s="318"/>
      <c r="B406" s="796" t="s">
        <v>866</v>
      </c>
      <c r="C406" s="796"/>
      <c r="D406" s="794">
        <v>7763.23</v>
      </c>
      <c r="E406" s="323"/>
      <c r="F406" s="796" t="s">
        <v>866</v>
      </c>
      <c r="G406" s="794">
        <v>6980</v>
      </c>
      <c r="H406" s="318"/>
      <c r="I406" s="784" t="s">
        <v>866</v>
      </c>
      <c r="J406" s="798">
        <v>7494.32</v>
      </c>
      <c r="O406" s="318"/>
      <c r="P406" s="328"/>
      <c r="Q406" s="318"/>
      <c r="R406" s="318"/>
      <c r="S406" s="318"/>
      <c r="T406" s="318"/>
      <c r="U406" s="318"/>
      <c r="V406" s="318"/>
    </row>
    <row r="407" spans="1:22" ht="15.6">
      <c r="A407" s="318"/>
      <c r="B407" s="796" t="s">
        <v>867</v>
      </c>
      <c r="C407" s="796"/>
      <c r="D407" s="795">
        <v>8093.24</v>
      </c>
      <c r="E407" s="320"/>
      <c r="F407" s="796" t="s">
        <v>867</v>
      </c>
      <c r="G407" s="795">
        <v>7169</v>
      </c>
      <c r="H407" s="318"/>
      <c r="I407" s="784" t="s">
        <v>867</v>
      </c>
      <c r="J407" s="799">
        <v>8093.33</v>
      </c>
      <c r="O407" s="318"/>
      <c r="P407" s="328"/>
      <c r="Q407" s="318"/>
      <c r="R407" s="318"/>
      <c r="S407" s="318"/>
      <c r="T407" s="318"/>
      <c r="U407" s="318"/>
      <c r="V407" s="318"/>
    </row>
    <row r="408" spans="1:22" ht="15.6">
      <c r="A408" s="318"/>
      <c r="B408" s="796" t="s">
        <v>868</v>
      </c>
      <c r="C408" s="796"/>
      <c r="D408" s="795">
        <v>7264.25</v>
      </c>
      <c r="E408" s="320"/>
      <c r="F408" s="796" t="s">
        <v>868</v>
      </c>
      <c r="G408" s="795">
        <v>7197</v>
      </c>
      <c r="H408" s="318"/>
      <c r="I408" s="784" t="s">
        <v>868</v>
      </c>
      <c r="J408" s="799">
        <v>7197.34</v>
      </c>
      <c r="O408" s="318"/>
      <c r="P408" s="328"/>
      <c r="Q408" s="318"/>
      <c r="R408" s="318"/>
      <c r="S408" s="318"/>
      <c r="T408" s="318"/>
      <c r="U408" s="318"/>
      <c r="V408" s="318"/>
    </row>
    <row r="409" spans="1:22" ht="15.6">
      <c r="A409" s="318"/>
      <c r="B409" s="796" t="s">
        <v>966</v>
      </c>
      <c r="C409" s="796"/>
      <c r="D409" s="795">
        <v>9177.26</v>
      </c>
      <c r="E409" s="320"/>
      <c r="F409" s="796" t="s">
        <v>966</v>
      </c>
      <c r="G409" s="795">
        <v>6980</v>
      </c>
      <c r="H409" s="318"/>
      <c r="I409" s="784" t="s">
        <v>869</v>
      </c>
      <c r="J409" s="799">
        <v>7715.35</v>
      </c>
      <c r="O409" s="318"/>
      <c r="P409" s="328"/>
      <c r="Q409" s="318"/>
      <c r="R409" s="318"/>
      <c r="S409" s="318"/>
      <c r="T409" s="318"/>
      <c r="U409" s="318"/>
      <c r="V409" s="318"/>
    </row>
    <row r="410" spans="1:22" ht="15.6">
      <c r="A410" s="318"/>
      <c r="B410" s="796" t="s">
        <v>869</v>
      </c>
      <c r="C410" s="796"/>
      <c r="D410" s="795">
        <v>9279.27</v>
      </c>
      <c r="E410" s="320"/>
      <c r="F410" s="796" t="s">
        <v>869</v>
      </c>
      <c r="G410" s="795">
        <v>7169</v>
      </c>
      <c r="H410" s="318"/>
      <c r="I410" s="784" t="s">
        <v>870</v>
      </c>
      <c r="J410" s="799">
        <v>6980.36</v>
      </c>
      <c r="O410" s="318"/>
      <c r="P410" s="328"/>
      <c r="Q410" s="318"/>
      <c r="R410" s="318"/>
      <c r="S410" s="318"/>
      <c r="T410" s="318"/>
      <c r="U410" s="318"/>
      <c r="V410" s="318"/>
    </row>
    <row r="411" spans="1:22" ht="15.6">
      <c r="A411" s="318"/>
      <c r="B411" s="796" t="s">
        <v>967</v>
      </c>
      <c r="C411" s="796"/>
      <c r="D411" s="795">
        <v>22360.28</v>
      </c>
      <c r="E411" s="320"/>
      <c r="F411" s="796" t="s">
        <v>967</v>
      </c>
      <c r="G411" s="795">
        <v>7169</v>
      </c>
      <c r="H411" s="318"/>
      <c r="I411" s="784" t="s">
        <v>871</v>
      </c>
      <c r="J411" s="799">
        <v>10367</v>
      </c>
      <c r="O411" s="318"/>
      <c r="P411" s="328"/>
      <c r="Q411" s="318"/>
      <c r="R411" s="318"/>
      <c r="S411" s="318"/>
      <c r="T411" s="318"/>
      <c r="U411" s="318"/>
      <c r="V411" s="318"/>
    </row>
    <row r="412" spans="1:22" ht="15.6">
      <c r="A412" s="318"/>
      <c r="B412" s="796" t="s">
        <v>968</v>
      </c>
      <c r="C412" s="796"/>
      <c r="D412" s="795">
        <v>33746.29</v>
      </c>
      <c r="E412" s="320"/>
      <c r="F412" s="796" t="s">
        <v>968</v>
      </c>
      <c r="G412" s="797">
        <v>7169</v>
      </c>
      <c r="H412" s="320"/>
      <c r="I412" s="784" t="s">
        <v>969</v>
      </c>
      <c r="J412" s="800">
        <v>6980</v>
      </c>
      <c r="O412" s="318"/>
      <c r="P412" s="328"/>
      <c r="Q412" s="318"/>
      <c r="R412" s="318"/>
      <c r="S412" s="318"/>
      <c r="T412" s="318"/>
      <c r="U412" s="318"/>
      <c r="V412" s="318"/>
    </row>
    <row r="413" spans="1:22" ht="15.6">
      <c r="A413" s="318"/>
      <c r="B413" s="796" t="s">
        <v>970</v>
      </c>
      <c r="C413" s="796"/>
      <c r="D413" s="795">
        <v>9713.2999999999993</v>
      </c>
      <c r="E413" s="320"/>
      <c r="F413" s="796" t="s">
        <v>970</v>
      </c>
      <c r="G413" s="797">
        <v>7169</v>
      </c>
      <c r="H413" s="320"/>
      <c r="O413" s="318"/>
      <c r="P413" s="328"/>
      <c r="Q413" s="318"/>
      <c r="R413" s="318"/>
      <c r="S413" s="318"/>
      <c r="T413" s="318"/>
      <c r="U413" s="318"/>
      <c r="V413" s="318"/>
    </row>
    <row r="414" spans="1:22" ht="15.6">
      <c r="A414" s="318"/>
      <c r="B414" s="796" t="s">
        <v>971</v>
      </c>
      <c r="C414" s="796"/>
      <c r="D414" s="795">
        <v>10547.31</v>
      </c>
      <c r="E414" s="320"/>
      <c r="F414" s="796" t="s">
        <v>971</v>
      </c>
      <c r="G414" s="797">
        <v>7169</v>
      </c>
      <c r="H414" s="320"/>
      <c r="I414" s="776" t="s">
        <v>972</v>
      </c>
      <c r="J414" s="777"/>
      <c r="O414" s="318"/>
      <c r="P414" s="328"/>
      <c r="Q414" s="318"/>
      <c r="R414" s="318"/>
      <c r="S414" s="318"/>
      <c r="T414" s="318"/>
      <c r="U414" s="318"/>
      <c r="V414" s="318"/>
    </row>
    <row r="415" spans="1:22" ht="15.6">
      <c r="A415" s="318"/>
      <c r="B415" s="796" t="s">
        <v>973</v>
      </c>
      <c r="C415" s="796"/>
      <c r="D415" s="795">
        <v>13725.32</v>
      </c>
      <c r="E415" s="320"/>
      <c r="F415" s="796" t="s">
        <v>973</v>
      </c>
      <c r="G415" s="797">
        <v>7169</v>
      </c>
      <c r="H415" s="320"/>
      <c r="I415" s="784" t="s">
        <v>917</v>
      </c>
      <c r="J415" s="801" t="s">
        <v>974</v>
      </c>
      <c r="O415" s="318"/>
      <c r="P415" s="328"/>
      <c r="Q415" s="318"/>
      <c r="R415" s="318"/>
      <c r="S415" s="318"/>
      <c r="T415" s="318"/>
      <c r="U415" s="318"/>
      <c r="V415" s="318"/>
    </row>
    <row r="416" spans="1:22" ht="15.6">
      <c r="A416" s="318"/>
      <c r="B416" s="796" t="s">
        <v>975</v>
      </c>
      <c r="C416" s="796"/>
      <c r="D416" s="795">
        <v>8532.33</v>
      </c>
      <c r="E416" s="320"/>
      <c r="F416" s="796" t="s">
        <v>975</v>
      </c>
      <c r="G416" s="797">
        <v>6980</v>
      </c>
      <c r="H416" s="320"/>
      <c r="I416" s="784" t="s">
        <v>855</v>
      </c>
      <c r="J416" s="784">
        <v>0.24</v>
      </c>
      <c r="O416" s="318"/>
      <c r="P416" s="328"/>
      <c r="Q416" s="318"/>
      <c r="R416" s="318"/>
      <c r="S416" s="318"/>
      <c r="T416" s="318"/>
      <c r="U416" s="318"/>
      <c r="V416" s="318"/>
    </row>
    <row r="417" spans="1:22" ht="15.6">
      <c r="A417" s="318"/>
      <c r="B417" s="796" t="s">
        <v>976</v>
      </c>
      <c r="C417" s="796"/>
      <c r="D417" s="795">
        <v>12286.34</v>
      </c>
      <c r="E417" s="320"/>
      <c r="F417" s="796" t="s">
        <v>976</v>
      </c>
      <c r="G417" s="797">
        <v>7169</v>
      </c>
      <c r="H417" s="320"/>
      <c r="I417" s="784" t="s">
        <v>977</v>
      </c>
      <c r="J417" s="784">
        <v>0.03</v>
      </c>
      <c r="K417" t="s">
        <v>1225</v>
      </c>
      <c r="O417" s="318"/>
      <c r="P417" s="328"/>
      <c r="Q417" s="318"/>
      <c r="R417" s="318"/>
      <c r="S417" s="318"/>
      <c r="T417" s="318"/>
      <c r="U417" s="318"/>
      <c r="V417" s="318"/>
    </row>
    <row r="418" spans="1:22" ht="15.6">
      <c r="A418" s="318"/>
      <c r="B418" s="796" t="s">
        <v>978</v>
      </c>
      <c r="C418" s="796"/>
      <c r="D418" s="795">
        <v>8764.35</v>
      </c>
      <c r="E418" s="320"/>
      <c r="F418" s="796" t="s">
        <v>978</v>
      </c>
      <c r="G418" s="797">
        <v>7169</v>
      </c>
      <c r="H418" s="320"/>
      <c r="I418" s="784" t="s">
        <v>856</v>
      </c>
      <c r="J418" s="784">
        <v>0.12</v>
      </c>
      <c r="O418" s="318"/>
      <c r="P418" s="328"/>
      <c r="Q418" s="318"/>
      <c r="R418" s="318"/>
      <c r="S418" s="318"/>
      <c r="T418" s="318"/>
      <c r="U418" s="318"/>
      <c r="V418" s="318"/>
    </row>
    <row r="419" spans="1:22" ht="15.6">
      <c r="A419" s="318"/>
      <c r="B419" s="796" t="s">
        <v>979</v>
      </c>
      <c r="C419" s="796"/>
      <c r="D419" s="795">
        <v>11794.36</v>
      </c>
      <c r="E419" s="320"/>
      <c r="F419" s="796" t="s">
        <v>979</v>
      </c>
      <c r="G419" s="797">
        <v>7169</v>
      </c>
      <c r="H419" s="320"/>
      <c r="O419" s="318"/>
      <c r="P419" s="328"/>
      <c r="Q419" s="318"/>
      <c r="R419" s="318"/>
      <c r="S419" s="318"/>
      <c r="T419" s="318"/>
      <c r="U419" s="318"/>
      <c r="V419" s="318"/>
    </row>
    <row r="420" spans="1:22" ht="15.6">
      <c r="A420" s="318"/>
      <c r="B420" s="796" t="s">
        <v>980</v>
      </c>
      <c r="C420" s="796"/>
      <c r="D420" s="795">
        <v>23274.37</v>
      </c>
      <c r="E420" s="320"/>
      <c r="F420" s="796" t="s">
        <v>980</v>
      </c>
      <c r="G420" s="797">
        <v>6980</v>
      </c>
      <c r="H420" s="320"/>
      <c r="O420" s="318"/>
      <c r="P420" s="328"/>
      <c r="Q420" s="318"/>
      <c r="R420" s="318"/>
      <c r="S420" s="318"/>
      <c r="T420" s="318"/>
      <c r="U420" s="318"/>
      <c r="V420" s="318"/>
    </row>
    <row r="421" spans="1:22" ht="15.6">
      <c r="A421" s="318"/>
      <c r="B421" s="796" t="s">
        <v>870</v>
      </c>
      <c r="C421" s="796"/>
      <c r="D421" s="795">
        <v>7222.38</v>
      </c>
      <c r="E421" s="320"/>
      <c r="F421" s="796" t="s">
        <v>870</v>
      </c>
      <c r="G421" s="797">
        <v>6980</v>
      </c>
      <c r="H421" s="320"/>
      <c r="I421" s="318"/>
      <c r="O421" s="318"/>
      <c r="P421" s="328"/>
      <c r="Q421" s="318"/>
      <c r="R421" s="318"/>
      <c r="S421" s="318"/>
      <c r="T421" s="318"/>
      <c r="U421" s="318"/>
      <c r="V421" s="318"/>
    </row>
    <row r="422" spans="1:22" ht="15.6">
      <c r="A422" s="318"/>
      <c r="B422" s="796" t="s">
        <v>871</v>
      </c>
      <c r="C422" s="796"/>
      <c r="D422" s="794">
        <v>11298</v>
      </c>
      <c r="E422" s="323"/>
      <c r="F422" s="796" t="s">
        <v>871</v>
      </c>
      <c r="G422" s="797">
        <v>7169</v>
      </c>
      <c r="H422" s="320"/>
      <c r="I422" s="318"/>
      <c r="O422" s="318"/>
      <c r="P422" s="328"/>
      <c r="Q422" s="318"/>
      <c r="R422" s="318"/>
      <c r="S422" s="318"/>
      <c r="T422" s="318"/>
      <c r="U422" s="318"/>
      <c r="V422" s="318"/>
    </row>
    <row r="423" spans="1:22" ht="15.6">
      <c r="A423" s="318"/>
      <c r="B423" s="318"/>
      <c r="C423" s="318"/>
      <c r="D423" s="318"/>
      <c r="E423" s="318"/>
      <c r="H423" s="318"/>
      <c r="I423" s="318"/>
      <c r="O423" s="318"/>
      <c r="P423" s="328"/>
      <c r="Q423" s="318"/>
      <c r="R423" s="318"/>
      <c r="S423" s="318"/>
      <c r="T423" s="318"/>
      <c r="U423" s="318"/>
      <c r="V423" s="318"/>
    </row>
    <row r="424" spans="1:22" ht="15.6">
      <c r="A424" s="318"/>
      <c r="B424" s="318"/>
      <c r="C424" s="318"/>
      <c r="D424" s="318"/>
      <c r="E424" s="318"/>
      <c r="F424" s="318"/>
      <c r="G424" s="318"/>
      <c r="H424" s="318"/>
      <c r="I424" s="318"/>
      <c r="O424" s="318"/>
      <c r="P424" s="328"/>
      <c r="Q424" s="318"/>
      <c r="R424" s="318"/>
      <c r="S424" s="318"/>
      <c r="T424" s="318"/>
      <c r="U424" s="318"/>
      <c r="V424" s="318"/>
    </row>
    <row r="425" spans="1:22" ht="15.6">
      <c r="A425" s="318"/>
      <c r="B425" s="791" t="s">
        <v>981</v>
      </c>
      <c r="C425" s="791"/>
      <c r="D425" s="792"/>
      <c r="E425" s="792"/>
      <c r="F425" s="792"/>
      <c r="G425" s="792"/>
      <c r="H425" s="792"/>
      <c r="I425" s="792"/>
      <c r="J425" s="793"/>
      <c r="O425" s="318"/>
      <c r="P425" s="328"/>
      <c r="Q425" s="318"/>
      <c r="R425" s="318"/>
      <c r="S425" s="318"/>
      <c r="T425" s="318"/>
      <c r="U425" s="318"/>
      <c r="V425" s="318"/>
    </row>
    <row r="426" spans="1:22" ht="15.6">
      <c r="A426" s="318"/>
      <c r="B426" s="330" t="s">
        <v>960</v>
      </c>
      <c r="C426" s="330"/>
      <c r="D426" s="318"/>
      <c r="E426" s="318"/>
      <c r="F426" s="318"/>
      <c r="G426" s="318"/>
      <c r="H426" s="318"/>
      <c r="I426" s="318"/>
      <c r="O426" s="318"/>
      <c r="P426" s="328"/>
      <c r="Q426" s="318"/>
      <c r="R426" s="318"/>
      <c r="S426" s="318"/>
      <c r="T426" s="318"/>
      <c r="U426" s="318"/>
      <c r="V426" s="318"/>
    </row>
    <row r="427" spans="1:22" ht="15.6">
      <c r="A427" s="318"/>
      <c r="B427" s="323">
        <v>7074</v>
      </c>
      <c r="C427" s="323"/>
      <c r="D427" s="330" t="s">
        <v>982</v>
      </c>
      <c r="E427" s="330"/>
      <c r="F427" s="318"/>
      <c r="G427" s="318"/>
      <c r="H427" s="318"/>
      <c r="I427" s="318"/>
      <c r="O427" s="329"/>
      <c r="P427" s="328"/>
      <c r="Q427" s="318"/>
      <c r="R427" s="318"/>
      <c r="S427" s="318"/>
      <c r="T427" s="318"/>
      <c r="U427" s="318"/>
      <c r="V427" s="318"/>
    </row>
    <row r="428" spans="1:22" ht="15.6">
      <c r="A428" s="318"/>
      <c r="B428" s="318"/>
      <c r="C428" s="318"/>
      <c r="D428" s="318"/>
      <c r="E428" s="318"/>
      <c r="F428" s="330" t="s">
        <v>839</v>
      </c>
      <c r="G428" s="318"/>
      <c r="H428" s="318"/>
      <c r="I428" s="330" t="s">
        <v>839</v>
      </c>
      <c r="O428" s="329"/>
      <c r="P428" s="328"/>
      <c r="Q428" s="318"/>
      <c r="R428" s="318"/>
      <c r="S428" s="318"/>
      <c r="T428" s="318"/>
      <c r="U428" s="318"/>
      <c r="V428" s="318"/>
    </row>
    <row r="429" spans="1:22" ht="15.6">
      <c r="A429" s="318"/>
      <c r="B429" s="330" t="s">
        <v>983</v>
      </c>
      <c r="C429" s="330"/>
      <c r="F429" s="330" t="s">
        <v>984</v>
      </c>
      <c r="G429" s="318"/>
      <c r="H429" s="318"/>
      <c r="I429" s="330" t="s">
        <v>985</v>
      </c>
      <c r="O429" s="329"/>
      <c r="P429" s="328"/>
      <c r="Q429" s="318"/>
      <c r="R429" s="318"/>
      <c r="S429" s="318"/>
      <c r="T429" s="318"/>
      <c r="U429" s="318"/>
      <c r="V429" s="318"/>
    </row>
    <row r="430" spans="1:22" ht="15.6">
      <c r="A430" s="318"/>
      <c r="B430" s="778" t="s">
        <v>965</v>
      </c>
      <c r="C430" s="778"/>
      <c r="D430" s="781" t="s">
        <v>929</v>
      </c>
      <c r="E430" s="781"/>
      <c r="F430" s="779" t="s">
        <v>840</v>
      </c>
      <c r="G430" s="781" t="s">
        <v>929</v>
      </c>
      <c r="H430" s="780"/>
      <c r="I430" s="779" t="s">
        <v>840</v>
      </c>
      <c r="J430" s="781" t="s">
        <v>929</v>
      </c>
      <c r="O430" s="329"/>
      <c r="P430" s="328"/>
      <c r="Q430" s="318"/>
      <c r="R430" s="318"/>
      <c r="S430" s="318"/>
      <c r="T430" s="318"/>
      <c r="U430" s="318"/>
      <c r="V430" s="318"/>
    </row>
    <row r="431" spans="1:22" ht="15.6">
      <c r="A431" s="318"/>
      <c r="B431" s="796" t="s">
        <v>866</v>
      </c>
      <c r="C431" s="796"/>
      <c r="D431" s="794">
        <v>7753</v>
      </c>
      <c r="E431" s="323"/>
      <c r="F431" s="796" t="s">
        <v>866</v>
      </c>
      <c r="G431" s="794">
        <v>7074</v>
      </c>
      <c r="H431" s="318"/>
      <c r="I431" s="784" t="s">
        <v>866</v>
      </c>
      <c r="J431" s="798">
        <v>7594</v>
      </c>
      <c r="O431" s="318"/>
      <c r="P431" s="328"/>
      <c r="Q431" s="318"/>
      <c r="R431" s="318"/>
      <c r="S431" s="318"/>
      <c r="T431" s="318"/>
      <c r="U431" s="318"/>
      <c r="V431" s="318"/>
    </row>
    <row r="432" spans="1:22" ht="15.6">
      <c r="A432" s="318"/>
      <c r="B432" s="796" t="s">
        <v>867</v>
      </c>
      <c r="C432" s="796"/>
      <c r="D432" s="795">
        <v>8197</v>
      </c>
      <c r="E432" s="320"/>
      <c r="F432" s="796" t="s">
        <v>867</v>
      </c>
      <c r="G432" s="795">
        <v>7265</v>
      </c>
      <c r="H432" s="318"/>
      <c r="I432" s="784" t="s">
        <v>867</v>
      </c>
      <c r="J432" s="799">
        <v>8197</v>
      </c>
      <c r="O432" s="330"/>
      <c r="P432" s="318"/>
      <c r="Q432" s="318"/>
      <c r="R432" s="318"/>
      <c r="S432" s="318"/>
      <c r="T432" s="318"/>
      <c r="U432" s="318"/>
      <c r="V432" s="318"/>
    </row>
    <row r="433" spans="1:22" ht="15.6">
      <c r="A433" s="318"/>
      <c r="B433" s="796" t="s">
        <v>868</v>
      </c>
      <c r="C433" s="796"/>
      <c r="D433" s="795">
        <v>7361</v>
      </c>
      <c r="E433" s="320"/>
      <c r="F433" s="796" t="s">
        <v>868</v>
      </c>
      <c r="G433" s="795">
        <v>7293</v>
      </c>
      <c r="H433" s="318"/>
      <c r="I433" s="784" t="s">
        <v>868</v>
      </c>
      <c r="J433" s="799">
        <v>7293</v>
      </c>
      <c r="P433" s="318"/>
      <c r="Q433" s="318"/>
      <c r="R433" s="318"/>
      <c r="S433" s="318"/>
      <c r="T433" s="318"/>
      <c r="U433" s="318"/>
      <c r="V433" s="318"/>
    </row>
    <row r="434" spans="1:22" ht="15.6">
      <c r="A434" s="318"/>
      <c r="B434" s="796" t="s">
        <v>966</v>
      </c>
      <c r="C434" s="796"/>
      <c r="D434" s="795">
        <v>9165</v>
      </c>
      <c r="E434" s="320"/>
      <c r="F434" s="796" t="s">
        <v>966</v>
      </c>
      <c r="G434" s="795">
        <v>7074</v>
      </c>
      <c r="H434" s="318"/>
      <c r="I434" s="784" t="s">
        <v>869</v>
      </c>
      <c r="J434" s="799">
        <v>7818</v>
      </c>
      <c r="P434" s="318"/>
      <c r="Q434" s="318"/>
      <c r="R434" s="318"/>
      <c r="S434" s="318"/>
      <c r="T434" s="318"/>
      <c r="U434" s="318"/>
      <c r="V434" s="318"/>
    </row>
    <row r="435" spans="1:22" ht="15.6">
      <c r="A435" s="322">
        <f t="shared" ref="A435:A451" si="158">ROW()-39</f>
        <v>396</v>
      </c>
      <c r="B435" s="796" t="s">
        <v>869</v>
      </c>
      <c r="C435" s="796"/>
      <c r="D435" s="795">
        <v>9267</v>
      </c>
      <c r="E435" s="320"/>
      <c r="F435" s="796" t="s">
        <v>869</v>
      </c>
      <c r="G435" s="795">
        <v>7265</v>
      </c>
      <c r="H435" s="318"/>
      <c r="I435" s="784" t="s">
        <v>870</v>
      </c>
      <c r="J435" s="799">
        <v>7074</v>
      </c>
      <c r="P435" s="318"/>
      <c r="Q435" s="318"/>
      <c r="R435" s="318"/>
      <c r="S435" s="318"/>
      <c r="T435" s="318"/>
      <c r="U435" s="318"/>
      <c r="V435" s="318"/>
    </row>
    <row r="436" spans="1:22" ht="15.6">
      <c r="A436" s="322">
        <f t="shared" si="158"/>
        <v>397</v>
      </c>
      <c r="B436" s="796" t="s">
        <v>967</v>
      </c>
      <c r="C436" s="796"/>
      <c r="D436" s="795">
        <v>22331</v>
      </c>
      <c r="E436" s="320"/>
      <c r="F436" s="796" t="s">
        <v>967</v>
      </c>
      <c r="G436" s="795">
        <v>7265</v>
      </c>
      <c r="H436" s="318"/>
      <c r="I436" s="784" t="s">
        <v>871</v>
      </c>
      <c r="J436" s="799">
        <v>10501</v>
      </c>
      <c r="P436" s="318"/>
      <c r="Q436" s="318"/>
      <c r="R436" s="318"/>
      <c r="S436" s="318"/>
      <c r="T436" s="318"/>
      <c r="U436" s="318"/>
      <c r="V436" s="318"/>
    </row>
    <row r="437" spans="1:22" ht="15.6">
      <c r="A437" s="322">
        <f t="shared" si="158"/>
        <v>398</v>
      </c>
      <c r="B437" s="796" t="s">
        <v>968</v>
      </c>
      <c r="C437" s="796"/>
      <c r="D437" s="795">
        <v>33701</v>
      </c>
      <c r="E437" s="320"/>
      <c r="F437" s="796" t="s">
        <v>968</v>
      </c>
      <c r="G437" s="797">
        <v>7265</v>
      </c>
      <c r="H437" s="320"/>
      <c r="I437" s="784" t="s">
        <v>969</v>
      </c>
      <c r="J437" s="800">
        <f>+B427</f>
        <v>7074</v>
      </c>
      <c r="P437" s="318"/>
      <c r="Q437" s="318"/>
      <c r="R437" s="318"/>
      <c r="S437" s="318"/>
      <c r="T437" s="318"/>
      <c r="U437" s="318"/>
      <c r="V437" s="318"/>
    </row>
    <row r="438" spans="1:22" ht="15.6">
      <c r="A438" s="322">
        <f t="shared" si="158"/>
        <v>399</v>
      </c>
      <c r="B438" s="796" t="s">
        <v>970</v>
      </c>
      <c r="C438" s="796"/>
      <c r="D438" s="795">
        <v>9701</v>
      </c>
      <c r="E438" s="320"/>
      <c r="F438" s="796" t="s">
        <v>970</v>
      </c>
      <c r="G438" s="797">
        <v>7265</v>
      </c>
      <c r="H438" s="320"/>
      <c r="P438" s="318"/>
      <c r="Q438" s="318"/>
      <c r="R438" s="318"/>
      <c r="S438" s="318"/>
      <c r="T438" s="318"/>
      <c r="U438" s="318"/>
      <c r="V438" s="318"/>
    </row>
    <row r="439" spans="1:22" ht="15.6">
      <c r="A439" s="322">
        <f t="shared" si="158"/>
        <v>400</v>
      </c>
      <c r="B439" s="796" t="s">
        <v>971</v>
      </c>
      <c r="C439" s="796"/>
      <c r="D439" s="795">
        <v>10683</v>
      </c>
      <c r="E439" s="320"/>
      <c r="F439" s="796" t="s">
        <v>971</v>
      </c>
      <c r="G439" s="797">
        <v>7265</v>
      </c>
      <c r="H439" s="320"/>
      <c r="I439" s="776" t="s">
        <v>972</v>
      </c>
      <c r="J439" s="777"/>
      <c r="P439" s="318"/>
      <c r="Q439" s="318"/>
      <c r="R439" s="318"/>
      <c r="S439" s="318"/>
      <c r="T439" s="318"/>
      <c r="U439" s="318"/>
      <c r="V439" s="318"/>
    </row>
    <row r="440" spans="1:22" ht="15.6">
      <c r="A440" s="322">
        <f t="shared" si="158"/>
        <v>401</v>
      </c>
      <c r="B440" s="796" t="s">
        <v>973</v>
      </c>
      <c r="C440" s="796"/>
      <c r="D440" s="795">
        <v>13707</v>
      </c>
      <c r="E440" s="320"/>
      <c r="F440" s="796" t="s">
        <v>973</v>
      </c>
      <c r="G440" s="797">
        <v>7265</v>
      </c>
      <c r="H440" s="320"/>
      <c r="I440" s="784" t="s">
        <v>917</v>
      </c>
      <c r="J440" s="801" t="s">
        <v>974</v>
      </c>
      <c r="P440" s="318"/>
      <c r="Q440" s="318"/>
      <c r="R440" s="318"/>
      <c r="S440" s="318"/>
      <c r="T440" s="318"/>
      <c r="U440" s="318"/>
      <c r="V440" s="318"/>
    </row>
    <row r="441" spans="1:22" ht="15.6">
      <c r="A441" s="322">
        <f t="shared" si="158"/>
        <v>402</v>
      </c>
      <c r="B441" s="796" t="s">
        <v>975</v>
      </c>
      <c r="C441" s="796"/>
      <c r="D441" s="795">
        <v>8644</v>
      </c>
      <c r="E441" s="320"/>
      <c r="F441" s="796" t="s">
        <v>975</v>
      </c>
      <c r="G441" s="797">
        <v>7074</v>
      </c>
      <c r="H441" s="320"/>
      <c r="I441" s="784" t="s">
        <v>855</v>
      </c>
      <c r="J441" s="784">
        <v>0.23</v>
      </c>
      <c r="P441" s="318"/>
      <c r="Q441" s="318"/>
      <c r="R441" s="318"/>
      <c r="S441" s="318"/>
      <c r="T441" s="318"/>
      <c r="U441" s="318"/>
      <c r="V441" s="318"/>
    </row>
    <row r="442" spans="1:22" ht="15.6">
      <c r="A442" s="322">
        <f t="shared" si="158"/>
        <v>403</v>
      </c>
      <c r="B442" s="796" t="s">
        <v>976</v>
      </c>
      <c r="C442" s="796"/>
      <c r="D442" s="795">
        <v>12447</v>
      </c>
      <c r="E442" s="320"/>
      <c r="F442" s="796" t="s">
        <v>976</v>
      </c>
      <c r="G442" s="797">
        <v>7265</v>
      </c>
      <c r="H442" s="320"/>
      <c r="I442" s="784" t="s">
        <v>977</v>
      </c>
      <c r="J442" s="784">
        <v>0.03</v>
      </c>
      <c r="K442" t="s">
        <v>1225</v>
      </c>
      <c r="P442" s="318"/>
      <c r="Q442" s="318"/>
      <c r="R442" s="318"/>
      <c r="S442" s="318"/>
      <c r="T442" s="318"/>
      <c r="U442" s="318"/>
      <c r="V442" s="318"/>
    </row>
    <row r="443" spans="1:22" ht="15.6">
      <c r="A443" s="322">
        <f t="shared" si="158"/>
        <v>404</v>
      </c>
      <c r="B443" s="796" t="s">
        <v>978</v>
      </c>
      <c r="C443" s="796"/>
      <c r="D443" s="795">
        <v>8881</v>
      </c>
      <c r="E443" s="320"/>
      <c r="F443" s="796" t="s">
        <v>978</v>
      </c>
      <c r="G443" s="797">
        <v>7265</v>
      </c>
      <c r="H443" s="320"/>
      <c r="I443" s="784" t="s">
        <v>856</v>
      </c>
      <c r="J443" s="784">
        <v>0.12</v>
      </c>
      <c r="P443" s="318"/>
      <c r="Q443" s="318"/>
      <c r="R443" s="318"/>
      <c r="S443" s="318"/>
      <c r="T443" s="318"/>
      <c r="U443" s="318"/>
      <c r="V443" s="318"/>
    </row>
    <row r="444" spans="1:22" ht="15.6">
      <c r="A444" s="322">
        <f t="shared" si="158"/>
        <v>405</v>
      </c>
      <c r="B444" s="796" t="s">
        <v>979</v>
      </c>
      <c r="C444" s="796"/>
      <c r="D444" s="795">
        <v>11779</v>
      </c>
      <c r="E444" s="320"/>
      <c r="F444" s="796" t="s">
        <v>979</v>
      </c>
      <c r="G444" s="797">
        <v>7265</v>
      </c>
      <c r="H444" s="320"/>
      <c r="P444" s="318"/>
      <c r="Q444" s="318"/>
      <c r="R444" s="318"/>
      <c r="S444" s="318"/>
      <c r="T444" s="318"/>
      <c r="U444" s="318"/>
      <c r="V444" s="318"/>
    </row>
    <row r="445" spans="1:22" ht="15.6">
      <c r="A445" s="322">
        <f t="shared" si="158"/>
        <v>406</v>
      </c>
      <c r="B445" s="796" t="s">
        <v>980</v>
      </c>
      <c r="C445" s="796"/>
      <c r="D445" s="795">
        <v>23243</v>
      </c>
      <c r="E445" s="320"/>
      <c r="F445" s="796" t="s">
        <v>980</v>
      </c>
      <c r="G445" s="797">
        <v>7074</v>
      </c>
      <c r="H445" s="320"/>
      <c r="P445" s="318"/>
      <c r="Q445" s="318"/>
      <c r="R445" s="318"/>
      <c r="S445" s="318"/>
      <c r="T445" s="318"/>
      <c r="U445" s="318"/>
      <c r="V445" s="318"/>
    </row>
    <row r="446" spans="1:22" ht="15.6">
      <c r="A446" s="322">
        <f t="shared" si="158"/>
        <v>407</v>
      </c>
      <c r="B446" s="796" t="s">
        <v>870</v>
      </c>
      <c r="C446" s="796"/>
      <c r="D446" s="795">
        <v>7318</v>
      </c>
      <c r="E446" s="320"/>
      <c r="F446" s="796" t="s">
        <v>870</v>
      </c>
      <c r="G446" s="797">
        <v>7074</v>
      </c>
      <c r="H446" s="320"/>
      <c r="I446" s="318"/>
      <c r="P446" s="318"/>
      <c r="Q446" s="318"/>
      <c r="R446" s="318"/>
      <c r="S446" s="318"/>
      <c r="T446" s="318"/>
      <c r="U446" s="318"/>
      <c r="V446" s="318"/>
    </row>
    <row r="447" spans="1:22" ht="15.6">
      <c r="A447" s="322">
        <f t="shared" si="158"/>
        <v>408</v>
      </c>
      <c r="B447" s="796" t="s">
        <v>871</v>
      </c>
      <c r="C447" s="796"/>
      <c r="D447" s="794">
        <v>11444.55</v>
      </c>
      <c r="E447" s="323"/>
      <c r="F447" s="796" t="s">
        <v>871</v>
      </c>
      <c r="G447" s="797">
        <v>7265</v>
      </c>
      <c r="H447" s="320"/>
      <c r="I447" s="318"/>
      <c r="P447" s="318"/>
      <c r="Q447" s="318"/>
      <c r="R447" s="318"/>
      <c r="S447" s="318"/>
      <c r="T447" s="318"/>
      <c r="U447" s="318"/>
      <c r="V447" s="318"/>
    </row>
    <row r="448" spans="1:22" ht="15.6">
      <c r="A448" s="322">
        <f t="shared" si="158"/>
        <v>409</v>
      </c>
      <c r="B448" s="318"/>
      <c r="C448" s="318"/>
      <c r="D448" s="318"/>
      <c r="E448" s="318"/>
      <c r="F448" s="318" t="s">
        <v>969</v>
      </c>
      <c r="G448" s="782">
        <f>+B427</f>
        <v>7074</v>
      </c>
      <c r="H448" s="318"/>
      <c r="I448" s="318"/>
      <c r="P448" s="318"/>
      <c r="Q448" s="318"/>
      <c r="R448" s="318"/>
      <c r="S448" s="318"/>
      <c r="T448" s="318"/>
      <c r="U448" s="318"/>
      <c r="V448" s="318"/>
    </row>
    <row r="449" spans="1:22" ht="15.6">
      <c r="A449" s="322">
        <f t="shared" si="158"/>
        <v>410</v>
      </c>
      <c r="P449" s="318"/>
      <c r="Q449" s="318"/>
      <c r="R449" s="318"/>
      <c r="S449" s="318"/>
      <c r="T449" s="318"/>
      <c r="U449" s="318"/>
      <c r="V449" s="318"/>
    </row>
    <row r="450" spans="1:22" ht="15.6">
      <c r="A450" s="322">
        <f t="shared" si="158"/>
        <v>411</v>
      </c>
      <c r="P450" s="318"/>
      <c r="Q450" s="318"/>
      <c r="R450" s="318"/>
      <c r="S450" s="318"/>
      <c r="T450" s="318"/>
      <c r="U450" s="318"/>
      <c r="V450" s="318"/>
    </row>
    <row r="451" spans="1:22" ht="15.6">
      <c r="A451" s="322">
        <f t="shared" si="158"/>
        <v>412</v>
      </c>
      <c r="P451" s="318"/>
      <c r="Q451" s="318"/>
      <c r="R451" s="318"/>
      <c r="S451" s="318"/>
      <c r="T451" s="318"/>
      <c r="U451" s="318"/>
      <c r="V451" s="318"/>
    </row>
    <row r="452" spans="1:22" ht="15.6">
      <c r="A452" s="318"/>
      <c r="P452" s="318"/>
      <c r="Q452" s="318"/>
      <c r="R452" s="318"/>
      <c r="S452" s="318"/>
      <c r="T452" s="318"/>
      <c r="U452" s="318"/>
      <c r="V452" s="318"/>
    </row>
    <row r="453" spans="1:22" ht="15.6">
      <c r="A453" s="318"/>
      <c r="O453" s="331"/>
      <c r="P453" s="318"/>
      <c r="Q453" s="318"/>
      <c r="R453" s="318"/>
      <c r="S453" s="318"/>
      <c r="T453" s="318"/>
      <c r="U453" s="318"/>
      <c r="V453" s="318"/>
    </row>
    <row r="454" spans="1:22" ht="15.6">
      <c r="A454" s="318"/>
      <c r="O454" s="318"/>
      <c r="P454" s="318"/>
      <c r="Q454" s="318"/>
      <c r="R454" s="318"/>
      <c r="S454" s="318"/>
      <c r="T454" s="318"/>
      <c r="U454" s="318"/>
      <c r="V454" s="318"/>
    </row>
    <row r="455" spans="1:22">
      <c r="P455" s="983"/>
    </row>
  </sheetData>
  <mergeCells count="1">
    <mergeCell ref="S45:T45"/>
  </mergeCells>
  <conditionalFormatting sqref="B12:C20">
    <cfRule type="expression" dxfId="8" priority="4" stopIfTrue="1">
      <formula>MOD(ROW(),2)=0</formula>
    </cfRule>
  </conditionalFormatting>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00000000-0004-0000-1200-000000000000}"/>
    <hyperlink ref="B41" r:id="rId1" xr:uid="{00000000-0004-0000-1200-000001000000}"/>
    <hyperlink ref="B10" r:id="rId2" display="Final adjusted base PPR, SB 503 EN (2023)" xr:uid="{00000000-0004-0000-1200-000002000000}"/>
    <hyperlink ref="B25" r:id="rId3" display="Additional weighted PPR, SB 503 EN (2023)" xr:uid="{00000000-0004-0000-1200-000003000000}"/>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O37"/>
  <sheetViews>
    <sheetView workbookViewId="0">
      <selection activeCell="B11" sqref="B11"/>
    </sheetView>
  </sheetViews>
  <sheetFormatPr defaultColWidth="8.6640625" defaultRowHeight="13.2"/>
  <cols>
    <col min="1" max="1" width="4.6640625" style="5" customWidth="1"/>
    <col min="2" max="2" width="8.6640625" style="5"/>
    <col min="3" max="3" width="11.6640625" style="5" customWidth="1"/>
    <col min="4" max="4" width="10.6640625" style="5" customWidth="1"/>
    <col min="5" max="8" width="8.6640625" style="5"/>
    <col min="9" max="9" width="14.33203125" style="5" customWidth="1"/>
    <col min="10" max="10" width="8.6640625" style="5"/>
    <col min="11" max="11" width="13.5546875" style="5" customWidth="1"/>
    <col min="12" max="12" width="8.6640625" style="5"/>
    <col min="13" max="13" width="8.33203125" style="5" customWidth="1"/>
    <col min="14" max="16384" width="8.6640625" style="5"/>
  </cols>
  <sheetData>
    <row r="1" spans="1:15" ht="15.6">
      <c r="A1" s="20" t="s">
        <v>834</v>
      </c>
      <c r="B1" s="20"/>
      <c r="C1" s="20"/>
      <c r="D1" s="20"/>
      <c r="E1" s="20"/>
    </row>
    <row r="2" spans="1:15" ht="15.6">
      <c r="A2" s="1863" t="str">
        <f>SchoolName</f>
        <v>Game Changers Sports Academy</v>
      </c>
      <c r="B2" s="1863"/>
      <c r="C2" s="1863"/>
      <c r="D2" s="1863"/>
      <c r="E2" s="1863"/>
    </row>
    <row r="3" spans="1:15">
      <c r="A3" s="9" t="s">
        <v>325</v>
      </c>
    </row>
    <row r="4" spans="1:15">
      <c r="A4" s="8" t="s">
        <v>5</v>
      </c>
    </row>
    <row r="5" spans="1:15">
      <c r="A5" s="7" t="str">
        <f ca="1">CELL("filename")</f>
        <v>https://myccmortgage-my.sharepoint.com/personal/dolly_alexander_myccmortgage_com/Documents/Documents/GCSA Hylo Park/[Attachment 24 Financial Budget Template.xlsx]Cover &amp; Loc</v>
      </c>
    </row>
    <row r="6" spans="1:15">
      <c r="A6" s="6"/>
      <c r="B6" s="6"/>
      <c r="C6" s="6"/>
      <c r="D6" s="6"/>
      <c r="E6" s="6"/>
      <c r="F6" s="6"/>
      <c r="G6" s="6"/>
      <c r="H6" s="6"/>
      <c r="I6" s="6"/>
      <c r="J6" s="6"/>
      <c r="K6" s="6"/>
      <c r="L6" s="6"/>
      <c r="M6" s="6"/>
      <c r="N6" s="6"/>
      <c r="O6" s="6"/>
    </row>
    <row r="7" spans="1:15">
      <c r="A7" s="6"/>
      <c r="B7" s="6"/>
      <c r="C7" s="6"/>
      <c r="D7" s="6"/>
      <c r="E7" s="6"/>
      <c r="F7" s="6"/>
      <c r="G7" s="6"/>
      <c r="H7" s="6"/>
      <c r="I7" s="6"/>
      <c r="J7" s="6"/>
      <c r="K7" s="6"/>
      <c r="L7" s="6"/>
      <c r="M7" s="6"/>
      <c r="N7" s="6"/>
      <c r="O7" s="6"/>
    </row>
    <row r="8" spans="1:15">
      <c r="A8" s="6"/>
      <c r="B8" s="6"/>
      <c r="C8" s="6"/>
      <c r="D8" s="6"/>
      <c r="E8" s="6"/>
      <c r="F8" s="6"/>
      <c r="G8" s="6"/>
      <c r="H8" s="6"/>
      <c r="I8" s="6"/>
      <c r="J8" s="6"/>
      <c r="K8" s="6"/>
      <c r="L8" s="6"/>
      <c r="M8" s="6"/>
      <c r="N8" s="6"/>
      <c r="O8" s="6"/>
    </row>
    <row r="9" spans="1:15">
      <c r="A9" s="6"/>
      <c r="B9" s="6"/>
      <c r="C9" s="6"/>
      <c r="D9" s="6"/>
      <c r="E9" s="6"/>
      <c r="F9" s="6"/>
      <c r="G9" s="6"/>
      <c r="H9" s="6"/>
      <c r="I9" s="6"/>
      <c r="J9" s="6"/>
      <c r="K9" s="6"/>
      <c r="L9" s="6"/>
      <c r="M9" s="6"/>
      <c r="N9" s="6"/>
      <c r="O9" s="6"/>
    </row>
    <row r="10" spans="1:15" ht="22.8">
      <c r="A10" s="6"/>
      <c r="B10" s="1281" t="s">
        <v>835</v>
      </c>
      <c r="C10" s="6"/>
      <c r="D10" s="6"/>
      <c r="E10" s="6"/>
      <c r="F10" s="6"/>
      <c r="G10" s="6"/>
      <c r="H10" s="6"/>
      <c r="I10" s="6"/>
      <c r="J10" s="6"/>
      <c r="K10" s="6"/>
      <c r="L10" s="6"/>
      <c r="M10" s="6"/>
      <c r="N10" s="6"/>
      <c r="O10" s="6"/>
    </row>
    <row r="11" spans="1:15" ht="23.4">
      <c r="A11" s="6"/>
      <c r="B11" s="1282" t="s">
        <v>836</v>
      </c>
      <c r="C11" s="6"/>
      <c r="D11" s="6"/>
      <c r="E11" s="6"/>
      <c r="F11" s="6"/>
      <c r="G11" s="6"/>
      <c r="H11" s="6"/>
      <c r="I11" s="6"/>
      <c r="J11" s="6"/>
      <c r="K11" s="6"/>
      <c r="L11" s="6"/>
      <c r="M11" s="6"/>
      <c r="N11" s="6"/>
      <c r="O11" s="6"/>
    </row>
    <row r="12" spans="1:15" ht="23.4">
      <c r="A12" s="6"/>
      <c r="B12" s="1282" t="s">
        <v>837</v>
      </c>
      <c r="C12" s="6"/>
      <c r="D12" s="6"/>
      <c r="E12" s="6"/>
      <c r="F12" s="6"/>
      <c r="G12" s="6"/>
      <c r="H12" s="6"/>
      <c r="I12" s="6"/>
      <c r="J12" s="6"/>
      <c r="K12" s="6"/>
      <c r="L12" s="6"/>
      <c r="M12" s="6"/>
      <c r="N12" s="6"/>
      <c r="O12" s="6"/>
    </row>
    <row r="13" spans="1:15">
      <c r="A13" s="6"/>
      <c r="B13" s="6"/>
      <c r="C13" s="6"/>
      <c r="D13" s="6"/>
      <c r="E13" s="6"/>
      <c r="F13" s="6"/>
      <c r="G13" s="6"/>
      <c r="H13" s="6"/>
      <c r="I13" s="6"/>
      <c r="J13" s="6"/>
      <c r="K13" s="6"/>
      <c r="L13" s="6"/>
      <c r="M13" s="6"/>
      <c r="N13" s="6"/>
      <c r="O13" s="6"/>
    </row>
    <row r="14" spans="1:15">
      <c r="A14" s="6"/>
      <c r="B14" s="6"/>
      <c r="C14" s="6"/>
      <c r="D14" s="6"/>
      <c r="E14" s="6"/>
      <c r="F14" s="6"/>
      <c r="G14" s="6"/>
      <c r="H14" s="6"/>
      <c r="I14" s="6"/>
      <c r="J14" s="6"/>
      <c r="K14" s="6"/>
      <c r="L14" s="6"/>
      <c r="M14" s="6"/>
      <c r="N14" s="6"/>
      <c r="O14" s="6"/>
    </row>
    <row r="15" spans="1:15">
      <c r="A15" s="6"/>
      <c r="B15" s="6"/>
      <c r="C15" s="6"/>
      <c r="D15" s="6"/>
      <c r="E15" s="6"/>
      <c r="F15" s="6"/>
      <c r="G15" s="6"/>
      <c r="H15" s="6"/>
      <c r="I15" s="6"/>
      <c r="J15" s="6"/>
      <c r="K15" s="6"/>
      <c r="L15" s="6"/>
      <c r="M15" s="6"/>
      <c r="N15" s="6"/>
      <c r="O15" s="6"/>
    </row>
    <row r="16" spans="1:15">
      <c r="A16" s="6"/>
      <c r="B16" s="6"/>
      <c r="C16" s="6"/>
      <c r="D16" s="6"/>
      <c r="E16" s="6"/>
      <c r="F16" s="6"/>
      <c r="G16" s="6"/>
      <c r="H16" s="6"/>
      <c r="I16" s="6"/>
      <c r="J16" s="6"/>
      <c r="K16" s="6"/>
      <c r="L16" s="6"/>
      <c r="M16" s="6"/>
      <c r="N16" s="6"/>
      <c r="O16" s="6"/>
    </row>
    <row r="17" spans="1:15">
      <c r="A17" s="6"/>
      <c r="B17" s="6"/>
      <c r="C17" s="6"/>
      <c r="D17" s="6"/>
      <c r="E17" s="6"/>
      <c r="F17" s="6"/>
      <c r="G17" s="6"/>
      <c r="H17" s="6"/>
      <c r="I17" s="6"/>
      <c r="J17" s="6"/>
      <c r="K17" s="6"/>
      <c r="L17" s="6"/>
      <c r="M17" s="6"/>
      <c r="N17" s="6"/>
      <c r="O17" s="6"/>
    </row>
    <row r="18" spans="1:15">
      <c r="A18" s="6"/>
      <c r="B18" s="6"/>
      <c r="C18" s="6"/>
      <c r="D18" s="6"/>
      <c r="E18" s="6"/>
      <c r="F18" s="6"/>
      <c r="G18" s="6"/>
      <c r="H18" s="6"/>
      <c r="I18" s="6"/>
      <c r="J18" s="6"/>
      <c r="K18" s="6"/>
      <c r="L18" s="6"/>
      <c r="M18" s="6"/>
      <c r="N18" s="6"/>
      <c r="O18" s="6"/>
    </row>
    <row r="19" spans="1:15">
      <c r="A19" s="6"/>
      <c r="B19" s="6"/>
      <c r="C19" s="6"/>
      <c r="D19" s="6"/>
      <c r="E19" s="6"/>
      <c r="F19" s="6"/>
      <c r="G19" s="6"/>
      <c r="H19" s="6"/>
      <c r="I19" s="6"/>
      <c r="J19" s="6"/>
      <c r="K19" s="6"/>
      <c r="L19" s="6"/>
      <c r="M19" s="6"/>
      <c r="N19" s="6"/>
      <c r="O19" s="6"/>
    </row>
    <row r="20" spans="1:15">
      <c r="A20" s="6"/>
      <c r="B20" s="6"/>
      <c r="C20" s="6"/>
      <c r="D20" s="6"/>
      <c r="E20" s="6"/>
      <c r="F20" s="6"/>
      <c r="G20" s="6"/>
      <c r="H20" s="6"/>
      <c r="I20" s="6"/>
      <c r="J20" s="6"/>
      <c r="K20" s="6"/>
      <c r="L20" s="6"/>
      <c r="M20" s="6"/>
      <c r="N20" s="6"/>
      <c r="O20" s="6"/>
    </row>
    <row r="21" spans="1:15">
      <c r="A21" s="6"/>
      <c r="B21" s="6"/>
      <c r="C21" s="6"/>
      <c r="D21" s="6"/>
      <c r="E21" s="6"/>
      <c r="F21" s="6"/>
      <c r="G21" s="6"/>
      <c r="H21" s="6"/>
      <c r="I21" s="6"/>
      <c r="J21" s="6"/>
      <c r="K21" s="6"/>
      <c r="L21" s="6"/>
      <c r="M21" s="6"/>
      <c r="N21" s="6"/>
      <c r="O21" s="6"/>
    </row>
    <row r="22" spans="1:15">
      <c r="A22" s="6"/>
      <c r="B22" s="6"/>
      <c r="C22" s="6"/>
      <c r="D22" s="6"/>
      <c r="E22" s="6"/>
      <c r="F22" s="6"/>
      <c r="G22" s="6"/>
      <c r="H22" s="6"/>
      <c r="I22" s="6"/>
      <c r="J22" s="6"/>
      <c r="K22" s="6"/>
      <c r="L22" s="6"/>
      <c r="M22" s="6"/>
      <c r="N22" s="6"/>
      <c r="O22" s="6"/>
    </row>
    <row r="23" spans="1:15">
      <c r="A23" s="6"/>
      <c r="B23" s="6"/>
      <c r="C23" s="6"/>
      <c r="D23" s="6"/>
      <c r="E23" s="6"/>
      <c r="F23" s="6"/>
      <c r="G23" s="6"/>
      <c r="H23" s="6"/>
      <c r="I23" s="6"/>
      <c r="J23" s="6"/>
      <c r="K23" s="6"/>
      <c r="L23" s="6"/>
      <c r="M23" s="6"/>
      <c r="N23" s="6"/>
      <c r="O23" s="6"/>
    </row>
    <row r="24" spans="1:15">
      <c r="A24" s="6"/>
      <c r="B24" s="6"/>
      <c r="C24" s="6"/>
      <c r="D24" s="6"/>
      <c r="E24" s="6"/>
      <c r="F24" s="6"/>
      <c r="G24" s="6"/>
      <c r="H24" s="6"/>
      <c r="I24" s="6"/>
      <c r="J24" s="6"/>
      <c r="K24" s="6"/>
      <c r="L24" s="6"/>
      <c r="M24" s="6"/>
      <c r="N24" s="6"/>
      <c r="O24" s="6"/>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sheetData>
  <mergeCells count="1">
    <mergeCell ref="A2:E2"/>
  </mergeCells>
  <hyperlinks>
    <hyperlink ref="B11" r:id="rId1" xr:uid="{00000000-0004-0000-1300-000000000000}"/>
    <hyperlink ref="B12" r:id="rId2" xr:uid="{00000000-0004-0000-1300-000001000000}"/>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0" tint="-0.249977111117893"/>
  </sheetPr>
  <dimension ref="A1:N43"/>
  <sheetViews>
    <sheetView topLeftCell="B1" workbookViewId="0">
      <selection activeCell="E12" sqref="E12"/>
    </sheetView>
  </sheetViews>
  <sheetFormatPr defaultColWidth="9.33203125" defaultRowHeight="13.2"/>
  <cols>
    <col min="1" max="1" width="30" style="166" customWidth="1"/>
    <col min="2" max="2" width="30.6640625" style="166" customWidth="1"/>
    <col min="3" max="4" width="9" style="166" customWidth="1"/>
    <col min="5" max="5" width="7.44140625" style="1187" customWidth="1"/>
    <col min="6" max="6" width="7" style="1187" customWidth="1"/>
    <col min="7" max="7" width="12" style="1187" customWidth="1"/>
    <col min="8" max="8" width="8.33203125" style="1187" customWidth="1"/>
    <col min="9" max="9" width="12.5546875" style="1187" customWidth="1"/>
    <col min="10" max="10" width="8.5546875" style="1187" customWidth="1"/>
    <col min="11" max="11" width="12.6640625" style="1187" customWidth="1"/>
    <col min="12" max="12" width="11.44140625" style="1187" customWidth="1"/>
    <col min="13" max="13" width="10.5546875" style="1187" customWidth="1"/>
    <col min="14" max="14" width="2.6640625" style="166" customWidth="1"/>
    <col min="15" max="16384" width="9.33203125" style="166"/>
  </cols>
  <sheetData>
    <row r="1" spans="1:14" ht="15.6">
      <c r="A1" s="169" t="s">
        <v>986</v>
      </c>
      <c r="B1" s="169"/>
      <c r="D1" s="347" t="s">
        <v>1</v>
      </c>
      <c r="H1" s="1188" t="s">
        <v>594</v>
      </c>
      <c r="I1" s="1188" t="s">
        <v>595</v>
      </c>
      <c r="J1" s="1188" t="s">
        <v>596</v>
      </c>
      <c r="K1" s="1188" t="s">
        <v>597</v>
      </c>
      <c r="L1" s="1188" t="s">
        <v>598</v>
      </c>
      <c r="M1" s="1189" t="s">
        <v>599</v>
      </c>
    </row>
    <row r="2" spans="1:14" ht="15.6">
      <c r="A2" s="170" t="str">
        <f>SchoolName</f>
        <v>Game Changers Sports Academy</v>
      </c>
      <c r="B2" s="170"/>
      <c r="H2" s="1190">
        <f>+' Enrol &amp; Rev'!G10</f>
        <v>2026</v>
      </c>
      <c r="I2" s="1191">
        <f>+H3</f>
        <v>2027</v>
      </c>
      <c r="J2" s="1191">
        <f>+I3</f>
        <v>2028</v>
      </c>
      <c r="K2" s="1191">
        <f>+J3</f>
        <v>2029</v>
      </c>
      <c r="L2" s="1191">
        <f>+K3</f>
        <v>2030</v>
      </c>
      <c r="M2" s="1192">
        <f>+L3</f>
        <v>2031</v>
      </c>
    </row>
    <row r="3" spans="1:14" ht="15.6">
      <c r="A3" s="167" t="s">
        <v>5</v>
      </c>
      <c r="H3" s="1193">
        <f t="shared" ref="H3:M3" si="0">+H2+1</f>
        <v>2027</v>
      </c>
      <c r="I3" s="1194">
        <f t="shared" si="0"/>
        <v>2028</v>
      </c>
      <c r="J3" s="1194">
        <f t="shared" si="0"/>
        <v>2029</v>
      </c>
      <c r="K3" s="1194">
        <f t="shared" si="0"/>
        <v>2030</v>
      </c>
      <c r="L3" s="1194">
        <f t="shared" si="0"/>
        <v>2031</v>
      </c>
      <c r="M3" s="1195">
        <f t="shared" si="0"/>
        <v>2032</v>
      </c>
    </row>
    <row r="4" spans="1:14" ht="13.8">
      <c r="A4" s="168" t="s">
        <v>6</v>
      </c>
      <c r="F4" s="1187" t="s">
        <v>987</v>
      </c>
      <c r="H4" s="1196">
        <f>+' Enrol &amp; Rev'!G36</f>
        <v>230</v>
      </c>
      <c r="I4" s="1196">
        <f>+' Enrol &amp; Rev'!H36</f>
        <v>310</v>
      </c>
      <c r="J4" s="1196">
        <f>+' Enrol &amp; Rev'!I36</f>
        <v>390</v>
      </c>
      <c r="K4" s="1196">
        <f>+' Enrol &amp; Rev'!J36</f>
        <v>470</v>
      </c>
      <c r="L4" s="1196">
        <f>+' Enrol &amp; Rev'!K36</f>
        <v>550</v>
      </c>
      <c r="M4" s="1196">
        <f>+' Enrol &amp; Rev'!L36</f>
        <v>560</v>
      </c>
    </row>
    <row r="5" spans="1:14" ht="13.8">
      <c r="A5" s="188" t="str">
        <f ca="1">CELL("filename")</f>
        <v>https://myccmortgage-my.sharepoint.com/personal/dolly_alexander_myccmortgage_com/Documents/Documents/GCSA Hylo Park/[Attachment 24 Financial Budget Template.xlsx]Cover &amp; Loc</v>
      </c>
      <c r="F5" s="1187" t="s">
        <v>988</v>
      </c>
      <c r="H5" s="1197">
        <f>+' Enrol &amp; Rev'!G19</f>
        <v>11.5</v>
      </c>
      <c r="I5" s="1197">
        <f>+' Enrol &amp; Rev'!H19</f>
        <v>15.5</v>
      </c>
      <c r="J5" s="1197">
        <f>+' Enrol &amp; Rev'!I19</f>
        <v>19.5</v>
      </c>
      <c r="K5" s="1197">
        <f>+' Enrol &amp; Rev'!J19</f>
        <v>23.5</v>
      </c>
      <c r="L5" s="1197">
        <f>+' Enrol &amp; Rev'!K19</f>
        <v>27.5</v>
      </c>
      <c r="M5" s="1197">
        <f>+' Enrol &amp; Rev'!L19</f>
        <v>28</v>
      </c>
    </row>
    <row r="6" spans="1:14" ht="13.8">
      <c r="F6" s="1187" t="s">
        <v>989</v>
      </c>
      <c r="H6" s="1197">
        <f>IFERROR(H4/H5,0)</f>
        <v>20</v>
      </c>
      <c r="I6" s="1197">
        <f t="shared" ref="I6:M6" si="1">IFERROR(I4/I5,0)</f>
        <v>20</v>
      </c>
      <c r="J6" s="1197">
        <f t="shared" si="1"/>
        <v>20</v>
      </c>
      <c r="K6" s="1197">
        <f t="shared" si="1"/>
        <v>20</v>
      </c>
      <c r="L6" s="1197">
        <f t="shared" si="1"/>
        <v>20</v>
      </c>
      <c r="M6" s="1197">
        <f t="shared" si="1"/>
        <v>20</v>
      </c>
    </row>
    <row r="7" spans="1:14" ht="17.25" customHeight="1">
      <c r="A7" s="645" t="s">
        <v>990</v>
      </c>
      <c r="B7" s="646"/>
      <c r="C7" s="646"/>
      <c r="D7" s="646"/>
      <c r="E7" s="1198"/>
      <c r="F7" s="1198"/>
      <c r="G7" s="1198"/>
      <c r="H7" s="1198"/>
      <c r="I7" s="1198"/>
      <c r="J7" s="1198"/>
      <c r="K7" s="1198"/>
      <c r="L7" s="1198"/>
      <c r="M7" s="1198"/>
      <c r="N7" s="187"/>
    </row>
    <row r="8" spans="1:14" ht="19.5" customHeight="1">
      <c r="A8" s="182" t="s">
        <v>991</v>
      </c>
      <c r="B8" s="184" t="s">
        <v>992</v>
      </c>
      <c r="C8" s="185" t="s">
        <v>993</v>
      </c>
      <c r="D8" s="185" t="s">
        <v>994</v>
      </c>
      <c r="E8" s="1199" t="s">
        <v>995</v>
      </c>
      <c r="F8" s="1864" t="s">
        <v>996</v>
      </c>
      <c r="G8" s="1865"/>
      <c r="H8" s="1864" t="s">
        <v>997</v>
      </c>
      <c r="I8" s="1865"/>
      <c r="J8" s="1864" t="s">
        <v>998</v>
      </c>
      <c r="K8" s="1865"/>
      <c r="L8" s="1864" t="s">
        <v>999</v>
      </c>
      <c r="M8" s="1865"/>
    </row>
    <row r="9" spans="1:14" ht="13.8">
      <c r="A9" s="191" t="s">
        <v>437</v>
      </c>
      <c r="B9" s="194" t="s">
        <v>1000</v>
      </c>
      <c r="C9" s="183"/>
      <c r="D9" s="183"/>
      <c r="E9" s="1200"/>
      <c r="F9" s="225">
        <v>500</v>
      </c>
      <c r="G9" s="1201"/>
      <c r="H9" s="225">
        <v>400</v>
      </c>
      <c r="I9" s="1202"/>
      <c r="J9" s="225">
        <f>+H4</f>
        <v>230</v>
      </c>
      <c r="K9" s="1202"/>
      <c r="L9" s="225">
        <f>+K4</f>
        <v>470</v>
      </c>
      <c r="M9" s="1202"/>
    </row>
    <row r="10" spans="1:14" ht="13.8">
      <c r="A10" s="192" t="s">
        <v>1001</v>
      </c>
      <c r="B10" s="195" t="s">
        <v>1002</v>
      </c>
      <c r="C10" s="175"/>
      <c r="D10" s="175"/>
      <c r="E10" s="1203"/>
      <c r="F10" s="1204"/>
      <c r="G10" s="1205"/>
      <c r="H10" s="1206"/>
      <c r="I10" s="1207"/>
      <c r="J10" s="1206"/>
      <c r="K10" s="1207"/>
      <c r="L10" s="1206"/>
      <c r="M10" s="1202"/>
    </row>
    <row r="11" spans="1:14" ht="13.8">
      <c r="A11" s="192" t="s">
        <v>1003</v>
      </c>
      <c r="B11" s="195" t="s">
        <v>1004</v>
      </c>
      <c r="C11" s="175"/>
      <c r="D11" s="175"/>
      <c r="E11" s="1203"/>
      <c r="F11" s="225">
        <v>25</v>
      </c>
      <c r="G11" s="1205"/>
      <c r="H11" s="234">
        <v>25</v>
      </c>
      <c r="I11" s="1207"/>
      <c r="J11" s="239">
        <v>25</v>
      </c>
      <c r="K11" s="1207"/>
      <c r="L11" s="239">
        <f>+K6</f>
        <v>20</v>
      </c>
      <c r="M11" s="1202"/>
    </row>
    <row r="12" spans="1:14" ht="13.8">
      <c r="A12" s="192" t="s">
        <v>1005</v>
      </c>
      <c r="B12" s="195" t="s">
        <v>1006</v>
      </c>
      <c r="C12" s="186">
        <v>55</v>
      </c>
      <c r="D12" s="186">
        <v>100</v>
      </c>
      <c r="E12" s="227">
        <f>AVERAGE(C12:D12)</f>
        <v>77.5</v>
      </c>
      <c r="F12" s="226">
        <v>600</v>
      </c>
      <c r="G12" s="1208">
        <f>+F12*$E$12</f>
        <v>46500</v>
      </c>
      <c r="H12" s="235">
        <v>800</v>
      </c>
      <c r="I12" s="1208">
        <f>+H12*$E$12</f>
        <v>62000</v>
      </c>
      <c r="J12" s="235">
        <v>45000</v>
      </c>
      <c r="K12" s="1208">
        <f>+J12*$E$12</f>
        <v>3487500</v>
      </c>
      <c r="L12" s="235">
        <v>700</v>
      </c>
      <c r="M12" s="1208">
        <f>+L12*$E$12</f>
        <v>54250</v>
      </c>
    </row>
    <row r="13" spans="1:14" ht="13.8">
      <c r="A13" s="192"/>
      <c r="B13" s="195"/>
      <c r="C13" s="175"/>
      <c r="D13" s="175"/>
      <c r="E13" s="1209"/>
      <c r="F13" s="1210"/>
      <c r="G13" s="1201"/>
      <c r="H13" s="1210"/>
      <c r="I13" s="1202"/>
      <c r="J13" s="1210"/>
      <c r="K13" s="1202"/>
      <c r="L13" s="1210"/>
      <c r="M13" s="1202"/>
    </row>
    <row r="14" spans="1:14" ht="13.8">
      <c r="A14" s="191" t="s">
        <v>1007</v>
      </c>
      <c r="B14" s="195"/>
      <c r="C14" s="175"/>
      <c r="D14" s="175"/>
      <c r="E14" s="1209"/>
      <c r="F14" s="1204"/>
      <c r="G14" s="1201"/>
      <c r="H14" s="1204"/>
      <c r="I14" s="1202"/>
      <c r="J14" s="1204"/>
      <c r="K14" s="1202"/>
      <c r="L14" s="1204"/>
      <c r="M14" s="1202"/>
    </row>
    <row r="15" spans="1:14" ht="24" customHeight="1">
      <c r="A15" s="192" t="s">
        <v>1008</v>
      </c>
      <c r="B15" s="195" t="s">
        <v>1009</v>
      </c>
      <c r="C15" s="176">
        <v>750</v>
      </c>
      <c r="D15" s="176">
        <v>1000</v>
      </c>
      <c r="E15" s="228">
        <v>850</v>
      </c>
      <c r="F15" s="1204">
        <f>+F9/F11</f>
        <v>20</v>
      </c>
      <c r="G15" s="1211">
        <f>+F15*$E15</f>
        <v>17000</v>
      </c>
      <c r="H15" s="1204">
        <f>+H9/H11</f>
        <v>16</v>
      </c>
      <c r="I15" s="1211">
        <f>+H15*$E15</f>
        <v>13600</v>
      </c>
      <c r="J15" s="1212">
        <f>IFERROR(J9/J11,0)</f>
        <v>9.1999999999999993</v>
      </c>
      <c r="K15" s="1211">
        <f>+J15*$E15</f>
        <v>7819.9999999999991</v>
      </c>
      <c r="L15" s="1212">
        <f>IFERROR(L9/L11,0)</f>
        <v>23.5</v>
      </c>
      <c r="M15" s="1211">
        <f>+L15*$E15</f>
        <v>19975</v>
      </c>
    </row>
    <row r="16" spans="1:14" ht="13.8">
      <c r="A16" s="192" t="s">
        <v>1010</v>
      </c>
      <c r="B16" s="195" t="s">
        <v>1011</v>
      </c>
      <c r="C16" s="176">
        <v>850</v>
      </c>
      <c r="D16" s="176">
        <v>1200</v>
      </c>
      <c r="E16" s="228">
        <v>1000</v>
      </c>
      <c r="F16" s="229">
        <v>2</v>
      </c>
      <c r="G16" s="1213">
        <f t="shared" ref="G16:G28" si="2">+$E16*F16</f>
        <v>2000</v>
      </c>
      <c r="H16" s="225">
        <v>2</v>
      </c>
      <c r="I16" s="1213">
        <f t="shared" ref="I16:I28" si="3">+$E16*H16</f>
        <v>2000</v>
      </c>
      <c r="J16" s="237">
        <v>2</v>
      </c>
      <c r="K16" s="1213">
        <f t="shared" ref="K16:K28" si="4">+$E16*J16</f>
        <v>2000</v>
      </c>
      <c r="L16" s="237">
        <v>2</v>
      </c>
      <c r="M16" s="1213">
        <f t="shared" ref="M16:M28" si="5">+$E16*L16</f>
        <v>2000</v>
      </c>
    </row>
    <row r="17" spans="1:13" ht="13.8">
      <c r="A17" s="192" t="s">
        <v>1012</v>
      </c>
      <c r="B17" s="195" t="s">
        <v>1013</v>
      </c>
      <c r="C17" s="176">
        <v>850</v>
      </c>
      <c r="D17" s="176">
        <v>1200</v>
      </c>
      <c r="E17" s="228">
        <v>1000</v>
      </c>
      <c r="F17" s="230">
        <v>1</v>
      </c>
      <c r="G17" s="1213">
        <f t="shared" si="2"/>
        <v>1000</v>
      </c>
      <c r="H17" s="225">
        <v>1</v>
      </c>
      <c r="I17" s="1213">
        <f t="shared" si="3"/>
        <v>1000</v>
      </c>
      <c r="J17" s="237">
        <v>1</v>
      </c>
      <c r="K17" s="1213">
        <f t="shared" si="4"/>
        <v>1000</v>
      </c>
      <c r="L17" s="237">
        <v>1</v>
      </c>
      <c r="M17" s="1213">
        <f t="shared" si="5"/>
        <v>1000</v>
      </c>
    </row>
    <row r="18" spans="1:13" ht="31.5" customHeight="1">
      <c r="A18" s="192" t="s">
        <v>1014</v>
      </c>
      <c r="B18" s="195" t="s">
        <v>1015</v>
      </c>
      <c r="C18" s="176"/>
      <c r="D18" s="176"/>
      <c r="E18" s="228">
        <v>400</v>
      </c>
      <c r="F18" s="230">
        <v>2</v>
      </c>
      <c r="G18" s="1213">
        <f t="shared" si="2"/>
        <v>800</v>
      </c>
      <c r="H18" s="225">
        <v>2</v>
      </c>
      <c r="I18" s="1213">
        <f t="shared" si="3"/>
        <v>800</v>
      </c>
      <c r="J18" s="237">
        <v>2</v>
      </c>
      <c r="K18" s="1213">
        <f t="shared" si="4"/>
        <v>800</v>
      </c>
      <c r="L18" s="237">
        <v>2</v>
      </c>
      <c r="M18" s="1213">
        <f t="shared" si="5"/>
        <v>800</v>
      </c>
    </row>
    <row r="19" spans="1:13" ht="27.75" customHeight="1">
      <c r="A19" s="192" t="s">
        <v>1016</v>
      </c>
      <c r="B19" s="195" t="s">
        <v>1017</v>
      </c>
      <c r="C19" s="176"/>
      <c r="D19" s="176"/>
      <c r="E19" s="228">
        <v>100</v>
      </c>
      <c r="F19" s="230">
        <v>4</v>
      </c>
      <c r="G19" s="1213">
        <f t="shared" si="2"/>
        <v>400</v>
      </c>
      <c r="H19" s="225">
        <v>4</v>
      </c>
      <c r="I19" s="1213">
        <f t="shared" si="3"/>
        <v>400</v>
      </c>
      <c r="J19" s="237">
        <v>4</v>
      </c>
      <c r="K19" s="1213">
        <f t="shared" si="4"/>
        <v>400</v>
      </c>
      <c r="L19" s="237">
        <v>4</v>
      </c>
      <c r="M19" s="1213">
        <f t="shared" si="5"/>
        <v>400</v>
      </c>
    </row>
    <row r="20" spans="1:13" ht="13.8">
      <c r="A20" s="192" t="s">
        <v>1018</v>
      </c>
      <c r="B20" s="195" t="s">
        <v>1019</v>
      </c>
      <c r="C20" s="176"/>
      <c r="D20" s="176"/>
      <c r="E20" s="228">
        <v>400</v>
      </c>
      <c r="F20" s="230">
        <v>1</v>
      </c>
      <c r="G20" s="1213">
        <f t="shared" si="2"/>
        <v>400</v>
      </c>
      <c r="H20" s="225">
        <v>1</v>
      </c>
      <c r="I20" s="1213">
        <f t="shared" si="3"/>
        <v>400</v>
      </c>
      <c r="J20" s="237">
        <v>0.25</v>
      </c>
      <c r="K20" s="1213">
        <f t="shared" si="4"/>
        <v>100</v>
      </c>
      <c r="L20" s="237">
        <v>1</v>
      </c>
      <c r="M20" s="1213">
        <f t="shared" si="5"/>
        <v>400</v>
      </c>
    </row>
    <row r="21" spans="1:13" ht="13.8">
      <c r="A21" s="192" t="s">
        <v>1020</v>
      </c>
      <c r="B21" s="195" t="s">
        <v>1021</v>
      </c>
      <c r="C21" s="176">
        <v>70</v>
      </c>
      <c r="D21" s="176">
        <v>100</v>
      </c>
      <c r="E21" s="228">
        <v>100</v>
      </c>
      <c r="F21" s="230">
        <v>4</v>
      </c>
      <c r="G21" s="1213">
        <f t="shared" si="2"/>
        <v>400</v>
      </c>
      <c r="H21" s="225">
        <v>4</v>
      </c>
      <c r="I21" s="1213">
        <f t="shared" si="3"/>
        <v>400</v>
      </c>
      <c r="J21" s="237">
        <v>2</v>
      </c>
      <c r="K21" s="1213">
        <f t="shared" si="4"/>
        <v>200</v>
      </c>
      <c r="L21" s="237">
        <v>4</v>
      </c>
      <c r="M21" s="1213">
        <f t="shared" si="5"/>
        <v>400</v>
      </c>
    </row>
    <row r="22" spans="1:13" ht="13.8">
      <c r="A22" s="192" t="s">
        <v>1022</v>
      </c>
      <c r="B22" s="195" t="s">
        <v>1023</v>
      </c>
      <c r="C22" s="176"/>
      <c r="D22" s="176"/>
      <c r="E22" s="228">
        <v>400</v>
      </c>
      <c r="F22" s="230">
        <v>1</v>
      </c>
      <c r="G22" s="1213">
        <f t="shared" si="2"/>
        <v>400</v>
      </c>
      <c r="H22" s="225">
        <v>1</v>
      </c>
      <c r="I22" s="1213">
        <f t="shared" si="3"/>
        <v>400</v>
      </c>
      <c r="J22" s="237">
        <v>1</v>
      </c>
      <c r="K22" s="1213">
        <f t="shared" si="4"/>
        <v>400</v>
      </c>
      <c r="L22" s="237">
        <v>1</v>
      </c>
      <c r="M22" s="1213">
        <f t="shared" si="5"/>
        <v>400</v>
      </c>
    </row>
    <row r="23" spans="1:13" ht="13.8">
      <c r="A23" s="192" t="s">
        <v>1024</v>
      </c>
      <c r="B23" s="195" t="s">
        <v>1025</v>
      </c>
      <c r="C23" s="176"/>
      <c r="D23" s="176"/>
      <c r="E23" s="228">
        <v>600</v>
      </c>
      <c r="F23" s="230">
        <v>1</v>
      </c>
      <c r="G23" s="1213">
        <f t="shared" si="2"/>
        <v>600</v>
      </c>
      <c r="H23" s="225">
        <v>1</v>
      </c>
      <c r="I23" s="1213">
        <f t="shared" si="3"/>
        <v>600</v>
      </c>
      <c r="J23" s="237">
        <v>0</v>
      </c>
      <c r="K23" s="1213">
        <f t="shared" si="4"/>
        <v>0</v>
      </c>
      <c r="L23" s="237">
        <v>1</v>
      </c>
      <c r="M23" s="1213">
        <f t="shared" si="5"/>
        <v>600</v>
      </c>
    </row>
    <row r="24" spans="1:13" ht="13.8">
      <c r="A24" s="192" t="s">
        <v>1026</v>
      </c>
      <c r="B24" s="195" t="s">
        <v>1027</v>
      </c>
      <c r="C24" s="176"/>
      <c r="D24" s="176"/>
      <c r="E24" s="228">
        <v>1500</v>
      </c>
      <c r="F24" s="230">
        <v>1</v>
      </c>
      <c r="G24" s="1213">
        <f t="shared" si="2"/>
        <v>1500</v>
      </c>
      <c r="H24" s="225">
        <v>1</v>
      </c>
      <c r="I24" s="1213">
        <f t="shared" si="3"/>
        <v>1500</v>
      </c>
      <c r="J24" s="237">
        <v>1</v>
      </c>
      <c r="K24" s="1213">
        <f t="shared" si="4"/>
        <v>1500</v>
      </c>
      <c r="L24" s="237">
        <v>1</v>
      </c>
      <c r="M24" s="1213">
        <f t="shared" si="5"/>
        <v>1500</v>
      </c>
    </row>
    <row r="25" spans="1:13" ht="13.8">
      <c r="A25" s="192" t="s">
        <v>1028</v>
      </c>
      <c r="B25" s="195" t="s">
        <v>1029</v>
      </c>
      <c r="C25" s="176"/>
      <c r="D25" s="176"/>
      <c r="E25" s="228">
        <v>200</v>
      </c>
      <c r="F25" s="230">
        <v>1</v>
      </c>
      <c r="G25" s="1213">
        <f t="shared" si="2"/>
        <v>200</v>
      </c>
      <c r="H25" s="225">
        <v>1</v>
      </c>
      <c r="I25" s="1213">
        <f t="shared" si="3"/>
        <v>200</v>
      </c>
      <c r="J25" s="237">
        <v>0.5</v>
      </c>
      <c r="K25" s="1213">
        <f t="shared" si="4"/>
        <v>100</v>
      </c>
      <c r="L25" s="237">
        <v>1</v>
      </c>
      <c r="M25" s="1213">
        <f t="shared" si="5"/>
        <v>200</v>
      </c>
    </row>
    <row r="26" spans="1:13" ht="13.8">
      <c r="A26" s="192" t="s">
        <v>1030</v>
      </c>
      <c r="B26" s="195" t="s">
        <v>1031</v>
      </c>
      <c r="C26" s="176"/>
      <c r="D26" s="176"/>
      <c r="E26" s="228">
        <v>400</v>
      </c>
      <c r="F26" s="230">
        <v>2</v>
      </c>
      <c r="G26" s="1213">
        <f t="shared" si="2"/>
        <v>800</v>
      </c>
      <c r="H26" s="225">
        <v>2</v>
      </c>
      <c r="I26" s="1213">
        <f t="shared" si="3"/>
        <v>800</v>
      </c>
      <c r="J26" s="237">
        <v>2</v>
      </c>
      <c r="K26" s="1213">
        <f t="shared" si="4"/>
        <v>800</v>
      </c>
      <c r="L26" s="237">
        <v>2</v>
      </c>
      <c r="M26" s="1213">
        <f t="shared" si="5"/>
        <v>800</v>
      </c>
    </row>
    <row r="27" spans="1:13" ht="13.8">
      <c r="A27" s="192" t="s">
        <v>1032</v>
      </c>
      <c r="B27" s="195" t="s">
        <v>1033</v>
      </c>
      <c r="C27" s="176"/>
      <c r="D27" s="176"/>
      <c r="E27" s="228">
        <v>100</v>
      </c>
      <c r="F27" s="230">
        <v>3</v>
      </c>
      <c r="G27" s="1213">
        <f t="shared" si="2"/>
        <v>300</v>
      </c>
      <c r="H27" s="225">
        <v>3</v>
      </c>
      <c r="I27" s="1213">
        <f t="shared" si="3"/>
        <v>300</v>
      </c>
      <c r="J27" s="237">
        <v>3</v>
      </c>
      <c r="K27" s="1213">
        <f t="shared" si="4"/>
        <v>300</v>
      </c>
      <c r="L27" s="237">
        <v>3</v>
      </c>
      <c r="M27" s="1213">
        <f t="shared" si="5"/>
        <v>300</v>
      </c>
    </row>
    <row r="28" spans="1:13" ht="27.6">
      <c r="A28" s="192" t="s">
        <v>1034</v>
      </c>
      <c r="B28" s="195" t="s">
        <v>1035</v>
      </c>
      <c r="C28" s="176"/>
      <c r="D28" s="176"/>
      <c r="E28" s="228">
        <v>4000</v>
      </c>
      <c r="F28" s="230">
        <v>1</v>
      </c>
      <c r="G28" s="1213">
        <f t="shared" si="2"/>
        <v>4000</v>
      </c>
      <c r="H28" s="225">
        <v>0</v>
      </c>
      <c r="I28" s="1213">
        <f t="shared" si="3"/>
        <v>0</v>
      </c>
      <c r="J28" s="237">
        <v>0</v>
      </c>
      <c r="K28" s="1213">
        <f t="shared" si="4"/>
        <v>0</v>
      </c>
      <c r="L28" s="237">
        <v>0</v>
      </c>
      <c r="M28" s="1213">
        <f t="shared" si="5"/>
        <v>0</v>
      </c>
    </row>
    <row r="29" spans="1:13" ht="27.6">
      <c r="A29" s="192" t="s">
        <v>1036</v>
      </c>
      <c r="B29" s="195" t="s">
        <v>1037</v>
      </c>
      <c r="C29" s="176">
        <v>7</v>
      </c>
      <c r="D29" s="176">
        <v>10</v>
      </c>
      <c r="E29" s="1214" t="s">
        <v>1038</v>
      </c>
      <c r="F29" s="231">
        <v>0</v>
      </c>
      <c r="G29" s="1213">
        <f>+F29*F9</f>
        <v>0</v>
      </c>
      <c r="H29" s="231">
        <v>7</v>
      </c>
      <c r="I29" s="1213">
        <f>+H29*H9</f>
        <v>2800</v>
      </c>
      <c r="J29" s="231">
        <v>7</v>
      </c>
      <c r="K29" s="1213">
        <f>+J29*J9</f>
        <v>1610</v>
      </c>
      <c r="L29" s="231">
        <v>7</v>
      </c>
      <c r="M29" s="1213">
        <f>+L29*L9</f>
        <v>3290</v>
      </c>
    </row>
    <row r="30" spans="1:13" ht="13.8">
      <c r="A30" s="192" t="s">
        <v>1039</v>
      </c>
      <c r="B30" s="195" t="s">
        <v>1040</v>
      </c>
      <c r="C30" s="176"/>
      <c r="D30" s="176"/>
      <c r="E30" s="228">
        <v>1000</v>
      </c>
      <c r="F30" s="230">
        <v>1</v>
      </c>
      <c r="G30" s="1213">
        <f>+$E30*F30</f>
        <v>1000</v>
      </c>
      <c r="H30" s="225">
        <v>1</v>
      </c>
      <c r="I30" s="1213">
        <f>+$E30*H30</f>
        <v>1000</v>
      </c>
      <c r="J30" s="237">
        <v>1</v>
      </c>
      <c r="K30" s="1213">
        <f>+$E30*J30</f>
        <v>1000</v>
      </c>
      <c r="L30" s="237">
        <v>1</v>
      </c>
      <c r="M30" s="1213">
        <f>+$E30*L30</f>
        <v>1000</v>
      </c>
    </row>
    <row r="31" spans="1:13" ht="13.8">
      <c r="A31" s="192" t="s">
        <v>1041</v>
      </c>
      <c r="B31" s="195" t="s">
        <v>1042</v>
      </c>
      <c r="C31" s="176"/>
      <c r="D31" s="176"/>
      <c r="E31" s="228">
        <v>300</v>
      </c>
      <c r="F31" s="230">
        <v>2</v>
      </c>
      <c r="G31" s="1213">
        <f>+$E31*F31</f>
        <v>600</v>
      </c>
      <c r="H31" s="225">
        <v>2</v>
      </c>
      <c r="I31" s="1213">
        <f>+$E31*H31</f>
        <v>600</v>
      </c>
      <c r="J31" s="237">
        <v>1</v>
      </c>
      <c r="K31" s="1213">
        <f>+$E31*J31</f>
        <v>300</v>
      </c>
      <c r="L31" s="237">
        <v>2</v>
      </c>
      <c r="M31" s="1213">
        <f>+$E31*L31</f>
        <v>600</v>
      </c>
    </row>
    <row r="32" spans="1:13" ht="13.8">
      <c r="A32" s="192" t="s">
        <v>1043</v>
      </c>
      <c r="B32" s="195" t="s">
        <v>1044</v>
      </c>
      <c r="C32" s="176"/>
      <c r="D32" s="176"/>
      <c r="E32" s="228">
        <v>150</v>
      </c>
      <c r="F32" s="230">
        <v>1</v>
      </c>
      <c r="G32" s="1213">
        <f>+$E32*F32</f>
        <v>150</v>
      </c>
      <c r="H32" s="225">
        <v>1</v>
      </c>
      <c r="I32" s="1213">
        <f>+$E32*H32</f>
        <v>150</v>
      </c>
      <c r="J32" s="237">
        <v>0.2</v>
      </c>
      <c r="K32" s="1213">
        <f>+$E32*J32</f>
        <v>30</v>
      </c>
      <c r="L32" s="237">
        <v>1</v>
      </c>
      <c r="M32" s="1213">
        <f>+$E32*L32</f>
        <v>150</v>
      </c>
    </row>
    <row r="33" spans="1:13" ht="13.8">
      <c r="A33" s="192" t="s">
        <v>1045</v>
      </c>
      <c r="B33" s="195" t="s">
        <v>1046</v>
      </c>
      <c r="C33" s="176"/>
      <c r="D33" s="176"/>
      <c r="E33" s="228">
        <v>250</v>
      </c>
      <c r="F33" s="230">
        <v>1</v>
      </c>
      <c r="G33" s="1213">
        <f>+$E33*F33</f>
        <v>250</v>
      </c>
      <c r="H33" s="225">
        <v>1</v>
      </c>
      <c r="I33" s="1213">
        <f>+$E33*H33</f>
        <v>250</v>
      </c>
      <c r="J33" s="237">
        <v>0.2</v>
      </c>
      <c r="K33" s="1213">
        <f>+$E33*J33</f>
        <v>50</v>
      </c>
      <c r="L33" s="237">
        <v>1</v>
      </c>
      <c r="M33" s="1213">
        <f>+$E33*L33</f>
        <v>250</v>
      </c>
    </row>
    <row r="34" spans="1:13" ht="27.6">
      <c r="A34" s="193" t="s">
        <v>1047</v>
      </c>
      <c r="B34" s="196" t="s">
        <v>1048</v>
      </c>
      <c r="C34" s="177"/>
      <c r="D34" s="177"/>
      <c r="E34" s="233">
        <v>200</v>
      </c>
      <c r="F34" s="232">
        <v>1</v>
      </c>
      <c r="G34" s="1215">
        <f>+$E34*F34</f>
        <v>200</v>
      </c>
      <c r="H34" s="236">
        <v>1</v>
      </c>
      <c r="I34" s="1215">
        <f>+$E34*H34</f>
        <v>200</v>
      </c>
      <c r="J34" s="238">
        <v>0.5</v>
      </c>
      <c r="K34" s="1215">
        <f>+$E34*J34</f>
        <v>100</v>
      </c>
      <c r="L34" s="238">
        <v>1</v>
      </c>
      <c r="M34" s="1215">
        <f>+$E34*L34</f>
        <v>200</v>
      </c>
    </row>
    <row r="35" spans="1:13" ht="13.8">
      <c r="A35" s="171" t="s">
        <v>1049</v>
      </c>
      <c r="B35" s="197"/>
      <c r="C35" s="174"/>
      <c r="D35" s="174"/>
      <c r="E35" s="1216"/>
      <c r="F35" s="1217"/>
      <c r="G35" s="1218">
        <f>SUM(G15:G34)</f>
        <v>32000</v>
      </c>
      <c r="H35" s="1219"/>
      <c r="I35" s="1218">
        <f>SUM(I15:I34)</f>
        <v>27400</v>
      </c>
      <c r="J35" s="1219"/>
      <c r="K35" s="1218">
        <f>SUM(K15:K34)</f>
        <v>18510</v>
      </c>
      <c r="L35" s="1219"/>
      <c r="M35" s="1218">
        <f>SUM(M15:M34)</f>
        <v>34265</v>
      </c>
    </row>
    <row r="36" spans="1:13" ht="13.8">
      <c r="A36" s="172" t="s">
        <v>1050</v>
      </c>
      <c r="B36" s="199" t="s">
        <v>1051</v>
      </c>
      <c r="C36" s="200"/>
      <c r="D36" s="200"/>
      <c r="E36" s="240">
        <v>0.15</v>
      </c>
      <c r="F36" s="1220"/>
      <c r="G36" s="1221">
        <f>+G35*$E36</f>
        <v>4800</v>
      </c>
      <c r="H36" s="1222"/>
      <c r="I36" s="1221">
        <f>+I35*$E36</f>
        <v>4110</v>
      </c>
      <c r="J36" s="1222"/>
      <c r="K36" s="1221">
        <f>+K35*$E36</f>
        <v>2776.5</v>
      </c>
      <c r="L36" s="1222"/>
      <c r="M36" s="1221">
        <f>+M35*$E36</f>
        <v>5139.75</v>
      </c>
    </row>
    <row r="37" spans="1:13" ht="13.8">
      <c r="A37" s="178" t="s">
        <v>1052</v>
      </c>
      <c r="B37" s="179" t="s">
        <v>1053</v>
      </c>
      <c r="C37" s="173"/>
      <c r="D37" s="173"/>
      <c r="E37" s="1223"/>
      <c r="F37" s="1223"/>
      <c r="G37" s="1224">
        <f>+G35+G36</f>
        <v>36800</v>
      </c>
      <c r="H37" s="1225"/>
      <c r="I37" s="1224">
        <f>+I35+I36</f>
        <v>31510</v>
      </c>
      <c r="J37" s="1225"/>
      <c r="K37" s="1224">
        <f>+K35+K36</f>
        <v>21286.5</v>
      </c>
      <c r="L37" s="1225"/>
      <c r="M37" s="1224">
        <f>+M35+M36</f>
        <v>39404.75</v>
      </c>
    </row>
    <row r="38" spans="1:13" ht="13.8">
      <c r="A38" s="180" t="s">
        <v>1054</v>
      </c>
      <c r="B38" s="181" t="s">
        <v>1055</v>
      </c>
      <c r="C38" s="173"/>
      <c r="D38" s="173"/>
      <c r="E38" s="1223"/>
      <c r="F38" s="1223"/>
      <c r="G38" s="1226">
        <f>+G37/F9</f>
        <v>73.599999999999994</v>
      </c>
      <c r="H38" s="1227"/>
      <c r="I38" s="1226">
        <f>+I37/H9</f>
        <v>78.775000000000006</v>
      </c>
      <c r="J38" s="1227"/>
      <c r="K38" s="1226">
        <f>+K37/J9</f>
        <v>92.55</v>
      </c>
      <c r="L38" s="1227"/>
      <c r="M38" s="1226">
        <f>+M37/L9</f>
        <v>83.839893617021275</v>
      </c>
    </row>
    <row r="39" spans="1:13" ht="15.6">
      <c r="C39" s="275" t="s">
        <v>1056</v>
      </c>
      <c r="D39" s="275"/>
      <c r="E39" s="1228">
        <v>1.2</v>
      </c>
      <c r="F39" s="1229"/>
      <c r="G39" s="1230">
        <f>+$E39*G$37*12</f>
        <v>529920</v>
      </c>
      <c r="H39" s="1231" t="s">
        <v>545</v>
      </c>
      <c r="I39" s="1230">
        <f>+$E39*I$37*12</f>
        <v>453744</v>
      </c>
      <c r="J39" s="1231" t="s">
        <v>545</v>
      </c>
      <c r="K39" s="1232">
        <f>+$E39*K$37</f>
        <v>25543.8</v>
      </c>
      <c r="M39" s="1232">
        <f>+$E39*M$37</f>
        <v>47285.7</v>
      </c>
    </row>
    <row r="40" spans="1:13" ht="15.6">
      <c r="A40" s="198" t="s">
        <v>1057</v>
      </c>
      <c r="C40" s="275" t="s">
        <v>1058</v>
      </c>
      <c r="D40" s="275"/>
      <c r="E40" s="1228">
        <v>1.5</v>
      </c>
      <c r="F40" s="1229"/>
      <c r="G40" s="1230">
        <f t="shared" ref="G40:I40" si="6">+$E40*G$37*12</f>
        <v>662400</v>
      </c>
      <c r="H40" s="1231" t="s">
        <v>545</v>
      </c>
      <c r="I40" s="1230">
        <f t="shared" si="6"/>
        <v>567180</v>
      </c>
      <c r="J40" s="1231" t="s">
        <v>545</v>
      </c>
      <c r="K40" s="1232">
        <f>+$E40*K$37</f>
        <v>31929.75</v>
      </c>
      <c r="M40" s="1232">
        <f>+$E40*M$37</f>
        <v>59107.125</v>
      </c>
    </row>
    <row r="41" spans="1:13">
      <c r="A41" s="166" t="s">
        <v>1059</v>
      </c>
    </row>
    <row r="42" spans="1:13">
      <c r="A42" s="166" t="s">
        <v>1060</v>
      </c>
    </row>
    <row r="43" spans="1:13">
      <c r="A43" s="166" t="s">
        <v>1061</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00000000-0004-0000-1400-000000000000}"/>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0" tint="-0.34998626667073579"/>
  </sheetPr>
  <dimension ref="A1:U98"/>
  <sheetViews>
    <sheetView workbookViewId="0">
      <selection activeCell="Q19" sqref="Q19"/>
    </sheetView>
  </sheetViews>
  <sheetFormatPr defaultColWidth="9.33203125" defaultRowHeight="13.2"/>
  <cols>
    <col min="1" max="1" width="5.33203125" style="5" customWidth="1"/>
    <col min="2" max="16384" width="9.33203125" style="5"/>
  </cols>
  <sheetData>
    <row r="1" spans="1:11" ht="15.6">
      <c r="A1" s="255" t="s">
        <v>1062</v>
      </c>
      <c r="B1" s="255"/>
      <c r="C1" s="255"/>
      <c r="K1" s="313" t="s">
        <v>1</v>
      </c>
    </row>
    <row r="2" spans="1:11" ht="15.6">
      <c r="A2" s="24" t="str">
        <f>SchoolName</f>
        <v>Game Changers Sports Academy</v>
      </c>
      <c r="B2" s="26"/>
      <c r="C2" s="26"/>
    </row>
    <row r="3" spans="1:11">
      <c r="A3" s="9" t="s">
        <v>5</v>
      </c>
    </row>
    <row r="4" spans="1:11">
      <c r="A4" s="8" t="s">
        <v>6</v>
      </c>
    </row>
    <row r="5" spans="1:11">
      <c r="A5" s="7" t="str">
        <f ca="1">CELL("filename")</f>
        <v>https://myccmortgage-my.sharepoint.com/personal/dolly_alexander_myccmortgage_com/Documents/Documents/GCSA Hylo Park/[Attachment 24 Financial Budget Template.xlsx]Cover &amp; Loc</v>
      </c>
    </row>
    <row r="7" spans="1:11">
      <c r="B7" s="308" t="s">
        <v>1063</v>
      </c>
      <c r="C7" s="5" t="s">
        <v>1064</v>
      </c>
    </row>
    <row r="8" spans="1:11">
      <c r="B8" s="308" t="s">
        <v>1065</v>
      </c>
      <c r="C8" s="5" t="s">
        <v>1066</v>
      </c>
    </row>
    <row r="9" spans="1:11">
      <c r="C9" s="5" t="s">
        <v>1067</v>
      </c>
    </row>
    <row r="10" spans="1:11">
      <c r="C10" s="5" t="s">
        <v>1068</v>
      </c>
    </row>
    <row r="11" spans="1:11">
      <c r="C11" s="5" t="s">
        <v>1069</v>
      </c>
    </row>
    <row r="12" spans="1:11">
      <c r="C12" s="5" t="s">
        <v>1070</v>
      </c>
    </row>
    <row r="13" spans="1:11">
      <c r="B13" s="308" t="s">
        <v>1071</v>
      </c>
      <c r="C13" s="5" t="s">
        <v>1072</v>
      </c>
    </row>
    <row r="25" spans="1:21">
      <c r="A25" s="6" t="s">
        <v>1073</v>
      </c>
      <c r="B25" s="6"/>
      <c r="C25" s="6"/>
      <c r="D25" s="6"/>
      <c r="E25" s="6" t="s">
        <v>1074</v>
      </c>
      <c r="F25" s="6"/>
      <c r="G25" s="6"/>
      <c r="H25" s="6"/>
      <c r="I25" s="6"/>
      <c r="J25" s="6"/>
      <c r="K25" s="6"/>
      <c r="L25" s="6"/>
      <c r="M25" s="6"/>
      <c r="N25" s="6"/>
      <c r="O25" s="6"/>
      <c r="P25" s="6"/>
    </row>
    <row r="26" spans="1:21">
      <c r="A26" s="6"/>
      <c r="B26" s="6"/>
      <c r="C26" s="6"/>
      <c r="D26" s="6"/>
      <c r="E26" s="6"/>
      <c r="F26" s="6"/>
      <c r="G26" s="6"/>
      <c r="H26" s="6"/>
      <c r="I26" s="6"/>
      <c r="J26" s="6"/>
      <c r="K26" s="6"/>
      <c r="L26" s="6"/>
      <c r="M26" s="6"/>
      <c r="N26" s="6"/>
      <c r="O26" s="6"/>
      <c r="P26" s="6"/>
    </row>
    <row r="27" spans="1:21">
      <c r="A27" s="6"/>
      <c r="B27" s="6"/>
      <c r="C27" s="6"/>
      <c r="D27" s="6"/>
      <c r="E27" s="6"/>
      <c r="F27" s="6"/>
      <c r="G27" s="6"/>
      <c r="H27" s="6"/>
      <c r="I27" s="6"/>
      <c r="J27" s="6"/>
      <c r="K27" s="6"/>
      <c r="L27" s="6"/>
      <c r="M27" s="6"/>
      <c r="N27" s="6"/>
      <c r="O27" s="6"/>
      <c r="P27" s="6"/>
    </row>
    <row r="28" spans="1:21">
      <c r="A28" s="6" t="s">
        <v>150</v>
      </c>
      <c r="B28" s="286">
        <v>1</v>
      </c>
      <c r="C28" s="6"/>
      <c r="D28" s="6"/>
      <c r="E28" s="6"/>
      <c r="F28" s="6"/>
      <c r="G28" s="6"/>
      <c r="H28" s="6"/>
      <c r="I28" s="6"/>
      <c r="J28" s="6"/>
      <c r="K28" s="6"/>
      <c r="L28" s="6"/>
      <c r="M28" s="6"/>
      <c r="N28" s="6"/>
      <c r="O28" s="6"/>
      <c r="P28" s="6"/>
    </row>
    <row r="29" spans="1:21">
      <c r="A29" s="6" t="s">
        <v>150</v>
      </c>
      <c r="B29" s="286">
        <v>2</v>
      </c>
      <c r="C29" s="6"/>
      <c r="D29" s="6"/>
      <c r="E29" s="6"/>
      <c r="F29" s="6"/>
      <c r="G29" s="6"/>
      <c r="H29" s="6"/>
      <c r="I29" s="6"/>
      <c r="J29" s="6"/>
      <c r="K29" s="6"/>
      <c r="L29" s="6"/>
      <c r="M29" s="6"/>
      <c r="N29" s="6"/>
      <c r="O29" s="6"/>
      <c r="P29" s="6"/>
      <c r="U29" s="5" t="s">
        <v>1075</v>
      </c>
    </row>
    <row r="30" spans="1:21">
      <c r="A30" s="6" t="s">
        <v>150</v>
      </c>
      <c r="B30" s="286">
        <v>3</v>
      </c>
      <c r="C30" s="6"/>
      <c r="D30" s="6"/>
      <c r="E30" s="6"/>
      <c r="F30" s="6"/>
      <c r="G30" s="6"/>
      <c r="H30" s="6"/>
      <c r="I30" s="6"/>
      <c r="J30" s="6"/>
      <c r="K30" s="6"/>
      <c r="L30" s="6"/>
      <c r="M30" s="6"/>
      <c r="N30" s="6"/>
      <c r="O30" s="6"/>
      <c r="P30" s="6"/>
    </row>
    <row r="31" spans="1:21">
      <c r="A31" s="6" t="s">
        <v>150</v>
      </c>
      <c r="B31" s="286">
        <v>4</v>
      </c>
      <c r="C31" s="6"/>
      <c r="D31" s="6"/>
      <c r="E31" s="6"/>
      <c r="F31" s="6"/>
      <c r="G31" s="6"/>
      <c r="H31" s="6"/>
      <c r="I31" s="6"/>
      <c r="J31" s="6"/>
      <c r="K31" s="6"/>
      <c r="L31" s="6"/>
      <c r="M31" s="6"/>
      <c r="N31" s="6"/>
      <c r="O31" s="6"/>
      <c r="P31" s="6"/>
    </row>
    <row r="32" spans="1:21">
      <c r="A32" s="6" t="s">
        <v>150</v>
      </c>
      <c r="B32" s="286">
        <v>5</v>
      </c>
      <c r="C32" s="6"/>
      <c r="D32" s="6"/>
      <c r="E32" s="6"/>
      <c r="F32" s="6"/>
      <c r="G32" s="6"/>
      <c r="H32" s="6"/>
      <c r="I32" s="6"/>
      <c r="J32" s="6"/>
      <c r="K32" s="6"/>
      <c r="L32" s="6"/>
      <c r="M32" s="6"/>
      <c r="N32" s="6"/>
      <c r="O32" s="6"/>
      <c r="P32" s="6"/>
    </row>
    <row r="33" spans="1:16">
      <c r="A33" s="6" t="s">
        <v>1076</v>
      </c>
      <c r="B33" s="6"/>
      <c r="C33" s="6"/>
      <c r="D33" s="6"/>
      <c r="E33" s="6"/>
      <c r="F33" s="6"/>
      <c r="G33" s="6"/>
      <c r="H33" s="6"/>
      <c r="I33" s="6"/>
      <c r="J33" s="6"/>
      <c r="K33" s="6"/>
      <c r="L33" s="6"/>
      <c r="M33" s="6"/>
      <c r="N33" s="6"/>
      <c r="O33" s="6"/>
      <c r="P33" s="6"/>
    </row>
    <row r="34" spans="1:16">
      <c r="A34" s="6" t="s">
        <v>1076</v>
      </c>
      <c r="B34" s="6"/>
      <c r="C34" s="6"/>
      <c r="D34" s="6"/>
      <c r="E34" s="6"/>
      <c r="F34" s="6"/>
      <c r="G34" s="6"/>
      <c r="H34" s="6"/>
      <c r="I34" s="6"/>
      <c r="J34" s="6"/>
      <c r="K34" s="6"/>
      <c r="L34" s="6"/>
      <c r="M34" s="6"/>
      <c r="N34" s="6"/>
      <c r="O34" s="6"/>
      <c r="P34" s="6"/>
    </row>
    <row r="35" spans="1:16">
      <c r="A35" s="6" t="s">
        <v>1077</v>
      </c>
      <c r="B35" s="6"/>
      <c r="C35" s="6"/>
      <c r="D35" s="6"/>
      <c r="E35" s="6"/>
      <c r="F35" s="6"/>
      <c r="G35" s="6"/>
      <c r="H35" s="6"/>
      <c r="I35" s="6"/>
      <c r="J35" s="6"/>
      <c r="K35" s="6"/>
      <c r="L35" s="6"/>
      <c r="M35" s="6"/>
      <c r="N35" s="6"/>
      <c r="O35" s="6"/>
      <c r="P35" s="6"/>
    </row>
    <row r="36" spans="1:16">
      <c r="A36" s="6" t="s">
        <v>1078</v>
      </c>
      <c r="B36" s="6"/>
      <c r="C36" s="6"/>
      <c r="D36" s="6"/>
      <c r="E36" s="6"/>
      <c r="F36" s="6"/>
      <c r="G36" s="6"/>
      <c r="H36" s="6"/>
      <c r="I36" s="6"/>
      <c r="J36" s="6"/>
      <c r="K36" s="6"/>
      <c r="L36" s="6"/>
      <c r="M36" s="6"/>
      <c r="N36" s="6"/>
      <c r="O36" s="6"/>
      <c r="P36" s="6"/>
    </row>
    <row r="37" spans="1:16">
      <c r="A37" s="6" t="s">
        <v>1079</v>
      </c>
      <c r="B37" s="6"/>
      <c r="C37" s="6"/>
      <c r="D37" s="6"/>
      <c r="E37" s="6"/>
      <c r="F37" s="6"/>
      <c r="G37" s="6"/>
      <c r="H37" s="6"/>
      <c r="I37" s="6"/>
      <c r="J37" s="6"/>
      <c r="K37" s="6"/>
      <c r="L37" s="6"/>
      <c r="M37" s="6"/>
      <c r="N37" s="6"/>
      <c r="O37" s="6"/>
      <c r="P37" s="6"/>
    </row>
    <row r="38" spans="1:16">
      <c r="A38" s="6" t="s">
        <v>1080</v>
      </c>
      <c r="B38" s="6"/>
      <c r="C38" s="6"/>
      <c r="D38" s="6"/>
      <c r="E38" s="6"/>
      <c r="F38" s="6"/>
      <c r="G38" s="6"/>
      <c r="H38" s="6"/>
      <c r="I38" s="6"/>
      <c r="J38" s="6"/>
      <c r="K38" s="6"/>
      <c r="L38" s="6"/>
      <c r="M38" s="6"/>
      <c r="N38" s="6"/>
      <c r="O38" s="6"/>
      <c r="P38" s="6"/>
    </row>
    <row r="39" spans="1:16">
      <c r="A39" s="6" t="s">
        <v>497</v>
      </c>
      <c r="B39" s="6"/>
      <c r="C39" s="6"/>
      <c r="D39" s="6"/>
      <c r="E39" s="6"/>
      <c r="F39" s="6"/>
      <c r="G39" s="6"/>
      <c r="H39" s="6"/>
      <c r="I39" s="6"/>
      <c r="J39" s="6"/>
      <c r="K39" s="6"/>
      <c r="L39" s="6"/>
      <c r="M39" s="6"/>
      <c r="N39" s="6"/>
      <c r="O39" s="6"/>
      <c r="P39" s="6"/>
    </row>
    <row r="40" spans="1:16">
      <c r="A40" s="285" t="s">
        <v>1081</v>
      </c>
      <c r="B40" s="6"/>
      <c r="C40" s="6"/>
      <c r="D40" s="6"/>
      <c r="E40" s="6"/>
      <c r="F40" s="6"/>
      <c r="G40" s="6"/>
      <c r="H40" s="6"/>
      <c r="I40" s="6"/>
      <c r="J40" s="6"/>
      <c r="K40" s="6"/>
      <c r="L40" s="6"/>
      <c r="M40" s="6"/>
      <c r="N40" s="6"/>
      <c r="O40" s="6"/>
      <c r="P40" s="6"/>
    </row>
    <row r="41" spans="1:16">
      <c r="A41" s="6" t="s">
        <v>1082</v>
      </c>
      <c r="B41" s="6"/>
      <c r="C41" s="6"/>
      <c r="D41" s="6"/>
      <c r="E41" s="6"/>
      <c r="F41" s="6"/>
      <c r="G41" s="6"/>
      <c r="H41" s="6"/>
      <c r="I41" s="6"/>
      <c r="J41" s="6"/>
      <c r="K41" s="6"/>
      <c r="L41" s="6"/>
      <c r="M41" s="6"/>
      <c r="N41" s="6"/>
      <c r="O41" s="6"/>
      <c r="P41" s="6"/>
    </row>
    <row r="42" spans="1:16">
      <c r="A42" s="6" t="s">
        <v>1083</v>
      </c>
      <c r="B42" s="6"/>
      <c r="C42" s="6"/>
      <c r="D42" s="6"/>
      <c r="E42" s="6"/>
      <c r="F42" s="6"/>
      <c r="G42" s="6"/>
      <c r="H42" s="6"/>
      <c r="I42" s="6"/>
      <c r="J42" s="6"/>
      <c r="K42" s="6"/>
      <c r="L42" s="6"/>
      <c r="M42" s="6"/>
      <c r="N42" s="6"/>
      <c r="O42" s="6"/>
      <c r="P42" s="6"/>
    </row>
    <row r="43" spans="1:16">
      <c r="A43" s="6" t="s">
        <v>1078</v>
      </c>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t="s">
        <v>1084</v>
      </c>
      <c r="C58" s="6"/>
      <c r="D58" s="6"/>
      <c r="E58" s="6"/>
      <c r="F58" s="6"/>
      <c r="G58" s="6"/>
      <c r="H58" s="6"/>
      <c r="I58" s="6"/>
      <c r="J58" s="6"/>
      <c r="K58" s="6"/>
      <c r="L58" s="6"/>
      <c r="M58" s="6"/>
      <c r="N58" s="6"/>
      <c r="O58" s="6"/>
      <c r="P58" s="6"/>
    </row>
    <row r="59" spans="1:16">
      <c r="A59" s="6"/>
      <c r="B59" s="6" t="s">
        <v>1085</v>
      </c>
      <c r="C59" s="6"/>
      <c r="D59" s="6"/>
      <c r="E59" s="6"/>
      <c r="F59" s="6"/>
      <c r="G59" s="6"/>
      <c r="H59" s="6"/>
      <c r="I59" s="6"/>
      <c r="J59" s="6"/>
      <c r="K59" s="6"/>
      <c r="L59" s="6"/>
      <c r="M59" s="6"/>
      <c r="N59" s="6"/>
      <c r="O59" s="6"/>
      <c r="P59" s="6"/>
    </row>
    <row r="60" spans="1:16">
      <c r="A60" s="6"/>
      <c r="B60" s="5" t="s">
        <v>1086</v>
      </c>
      <c r="D60" s="6" t="s">
        <v>1087</v>
      </c>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285"/>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row r="81" spans="1:21">
      <c r="A81" s="6"/>
      <c r="B81" s="6"/>
      <c r="C81" s="6"/>
      <c r="D81" s="6"/>
      <c r="E81" s="6"/>
      <c r="F81" s="6"/>
      <c r="G81" s="6"/>
      <c r="H81" s="6"/>
      <c r="I81" s="6"/>
      <c r="J81" s="6"/>
      <c r="K81" s="6"/>
      <c r="L81" s="6"/>
      <c r="M81" s="6"/>
      <c r="N81" s="6"/>
      <c r="O81" s="6"/>
      <c r="P81" s="6"/>
    </row>
    <row r="82" spans="1:21">
      <c r="A82" s="6"/>
      <c r="B82" s="6"/>
      <c r="C82" s="6"/>
      <c r="D82" s="6"/>
      <c r="E82" s="6"/>
      <c r="F82" s="6"/>
      <c r="G82" s="6"/>
      <c r="H82" s="6"/>
      <c r="I82" s="6"/>
      <c r="J82" s="6"/>
      <c r="K82" s="6"/>
      <c r="L82" s="6"/>
      <c r="M82" s="6"/>
      <c r="N82" s="6"/>
      <c r="O82" s="6"/>
      <c r="P82" s="6"/>
      <c r="U82" s="5" t="s">
        <v>1088</v>
      </c>
    </row>
    <row r="83" spans="1:21">
      <c r="A83" s="6"/>
      <c r="B83" s="6"/>
      <c r="C83" s="6"/>
      <c r="D83" s="6"/>
      <c r="E83" s="6"/>
      <c r="F83" s="6"/>
      <c r="G83" s="6"/>
      <c r="H83" s="6"/>
      <c r="I83" s="6"/>
      <c r="J83" s="6"/>
      <c r="K83" s="6"/>
      <c r="L83" s="6"/>
      <c r="M83" s="6"/>
      <c r="N83" s="6"/>
      <c r="O83" s="6"/>
      <c r="P83" s="6"/>
    </row>
    <row r="84" spans="1:21">
      <c r="A84" s="6"/>
      <c r="B84" s="6"/>
      <c r="C84" s="6"/>
      <c r="D84" s="6"/>
      <c r="E84" s="6"/>
      <c r="F84" s="6"/>
      <c r="G84" s="6"/>
      <c r="H84" s="6"/>
      <c r="I84" s="6"/>
      <c r="J84" s="6"/>
      <c r="K84" s="6"/>
      <c r="L84" s="6"/>
      <c r="M84" s="6"/>
      <c r="N84" s="6"/>
      <c r="O84" s="6"/>
      <c r="P84" s="6"/>
    </row>
    <row r="85" spans="1:21">
      <c r="A85" s="6"/>
      <c r="B85" s="6"/>
      <c r="C85" s="6"/>
      <c r="D85" s="6"/>
      <c r="E85" s="6"/>
      <c r="F85" s="6"/>
      <c r="G85" s="6"/>
      <c r="H85" s="6"/>
      <c r="I85" s="6"/>
      <c r="J85" s="6"/>
      <c r="K85" s="6"/>
      <c r="L85" s="6"/>
      <c r="M85" s="6"/>
      <c r="N85" s="6"/>
      <c r="O85" s="6"/>
      <c r="P85" s="6"/>
    </row>
    <row r="86" spans="1:21">
      <c r="A86" s="6"/>
      <c r="B86" s="6"/>
      <c r="C86" s="6"/>
      <c r="D86" s="6"/>
      <c r="E86" s="6"/>
      <c r="F86" s="6"/>
      <c r="G86" s="6"/>
      <c r="H86" s="6"/>
      <c r="I86" s="6"/>
      <c r="J86" s="6"/>
      <c r="K86" s="6"/>
      <c r="L86" s="6"/>
      <c r="M86" s="6"/>
      <c r="N86" s="6"/>
      <c r="O86" s="6"/>
      <c r="P86" s="6"/>
    </row>
    <row r="87" spans="1:21">
      <c r="A87" s="6"/>
      <c r="B87" s="6"/>
      <c r="C87" s="6"/>
      <c r="D87" s="6"/>
      <c r="E87" s="6"/>
      <c r="F87" s="6"/>
      <c r="G87" s="6"/>
      <c r="H87" s="6"/>
      <c r="I87" s="6"/>
      <c r="J87" s="6"/>
      <c r="K87" s="6"/>
      <c r="L87" s="6"/>
      <c r="M87" s="6"/>
      <c r="N87" s="6"/>
      <c r="O87" s="6"/>
      <c r="P87" s="6"/>
    </row>
    <row r="88" spans="1:21">
      <c r="A88" s="6"/>
      <c r="B88" s="6"/>
      <c r="C88" s="6"/>
      <c r="D88" s="6"/>
      <c r="E88" s="6"/>
      <c r="F88" s="6"/>
      <c r="G88" s="6"/>
      <c r="H88" s="6"/>
      <c r="I88" s="6"/>
      <c r="J88" s="6"/>
      <c r="K88" s="6"/>
      <c r="L88" s="6"/>
      <c r="M88" s="6"/>
      <c r="N88" s="6"/>
      <c r="O88" s="6"/>
      <c r="P88" s="6"/>
    </row>
    <row r="89" spans="1:21">
      <c r="A89" s="6" t="s">
        <v>1089</v>
      </c>
      <c r="B89" s="6"/>
      <c r="C89" s="6"/>
      <c r="D89" s="6"/>
      <c r="E89" s="6"/>
      <c r="F89" s="6"/>
      <c r="G89" s="6"/>
      <c r="H89" s="6"/>
      <c r="I89" s="6"/>
      <c r="J89" s="6"/>
      <c r="K89" s="6"/>
      <c r="L89" s="6"/>
      <c r="M89" s="6"/>
      <c r="N89" s="6"/>
      <c r="O89" s="6"/>
      <c r="P89" s="6"/>
    </row>
    <row r="90" spans="1:21">
      <c r="A90" s="6" t="s">
        <v>1090</v>
      </c>
      <c r="B90" s="6"/>
      <c r="C90" s="6"/>
      <c r="D90" s="6"/>
      <c r="E90" s="6"/>
      <c r="F90" s="6"/>
      <c r="G90" s="6"/>
      <c r="H90" s="6"/>
      <c r="I90" s="6"/>
      <c r="J90" s="6"/>
      <c r="K90" s="6"/>
      <c r="L90" s="6"/>
      <c r="M90" s="6"/>
      <c r="N90" s="6"/>
      <c r="O90" s="6"/>
      <c r="P90" s="6"/>
    </row>
    <row r="91" spans="1:21">
      <c r="A91" s="6"/>
      <c r="B91" s="6"/>
      <c r="C91" s="6"/>
      <c r="D91" s="6"/>
      <c r="E91" s="6"/>
      <c r="F91" s="6"/>
      <c r="G91" s="6"/>
      <c r="H91" s="6"/>
      <c r="I91" s="6"/>
      <c r="J91" s="6"/>
      <c r="K91" s="6"/>
      <c r="L91" s="6"/>
      <c r="M91" s="6"/>
      <c r="N91" s="6"/>
      <c r="O91" s="6"/>
      <c r="P91" s="6"/>
    </row>
    <row r="92" spans="1:21">
      <c r="A92" s="6"/>
      <c r="B92" s="6"/>
      <c r="C92" s="6"/>
      <c r="D92" s="6"/>
      <c r="E92" s="6"/>
      <c r="F92" s="6"/>
      <c r="G92" s="6"/>
      <c r="H92" s="6"/>
      <c r="I92" s="6"/>
      <c r="J92" s="6"/>
      <c r="K92" s="6"/>
      <c r="L92" s="6"/>
      <c r="M92" s="6"/>
      <c r="N92" s="6"/>
      <c r="O92" s="6"/>
      <c r="P92" s="6"/>
    </row>
    <row r="93" spans="1:21">
      <c r="A93" s="6"/>
      <c r="B93" s="6"/>
      <c r="C93" s="6"/>
      <c r="D93" s="6"/>
      <c r="E93" s="6"/>
      <c r="F93" s="6"/>
      <c r="G93" s="6"/>
      <c r="H93" s="6"/>
      <c r="I93" s="6"/>
      <c r="J93" s="6"/>
      <c r="K93" s="6"/>
      <c r="L93" s="6"/>
      <c r="M93" s="6"/>
      <c r="N93" s="6"/>
      <c r="O93" s="6"/>
      <c r="P93" s="6"/>
    </row>
    <row r="94" spans="1:21">
      <c r="A94" s="6"/>
      <c r="B94" s="6"/>
      <c r="C94" s="6"/>
      <c r="D94" s="6"/>
      <c r="E94" s="6"/>
      <c r="F94" s="6"/>
      <c r="G94" s="6"/>
      <c r="H94" s="6"/>
      <c r="I94" s="6"/>
      <c r="J94" s="6"/>
      <c r="K94" s="6"/>
      <c r="L94" s="6"/>
      <c r="M94" s="6"/>
      <c r="N94" s="6"/>
      <c r="O94" s="6"/>
      <c r="P94" s="6"/>
    </row>
    <row r="95" spans="1:21">
      <c r="A95" s="6"/>
      <c r="B95" s="6"/>
      <c r="C95" s="6"/>
      <c r="D95" s="6"/>
      <c r="E95" s="6"/>
      <c r="F95" s="6"/>
      <c r="G95" s="6"/>
      <c r="H95" s="6"/>
      <c r="I95" s="6"/>
      <c r="J95" s="6"/>
      <c r="K95" s="6"/>
      <c r="L95" s="6"/>
      <c r="M95" s="6"/>
      <c r="N95" s="6"/>
      <c r="O95" s="6"/>
      <c r="P95" s="6"/>
    </row>
    <row r="96" spans="1:21">
      <c r="A96" s="6"/>
      <c r="B96" s="6"/>
      <c r="C96" s="6"/>
      <c r="D96" s="6"/>
      <c r="E96" s="6"/>
      <c r="F96" s="6"/>
      <c r="G96" s="6"/>
      <c r="H96" s="6"/>
      <c r="I96" s="6"/>
      <c r="J96" s="6"/>
      <c r="K96" s="6"/>
      <c r="L96" s="6"/>
      <c r="M96" s="6"/>
      <c r="N96" s="6"/>
      <c r="O96" s="6"/>
      <c r="P96" s="6"/>
    </row>
    <row r="97" spans="1:16">
      <c r="A97" s="6"/>
      <c r="B97" s="6"/>
      <c r="C97" s="6"/>
      <c r="D97" s="6"/>
      <c r="E97" s="6"/>
      <c r="F97" s="6"/>
      <c r="G97" s="6"/>
      <c r="H97" s="6"/>
      <c r="I97" s="6"/>
      <c r="J97" s="6"/>
      <c r="K97" s="6"/>
      <c r="L97" s="6"/>
      <c r="M97" s="6"/>
      <c r="N97" s="6"/>
      <c r="O97" s="6"/>
      <c r="P97" s="6"/>
    </row>
    <row r="98" spans="1:16">
      <c r="A98" s="6"/>
      <c r="B98" s="6"/>
      <c r="C98" s="6"/>
      <c r="D98" s="6"/>
      <c r="E98" s="6"/>
      <c r="F98" s="6"/>
      <c r="G98" s="6"/>
      <c r="H98" s="6"/>
      <c r="I98" s="6"/>
      <c r="J98" s="6"/>
      <c r="K98" s="6"/>
      <c r="L98" s="6"/>
      <c r="M98" s="6"/>
      <c r="N98" s="6"/>
      <c r="O98" s="6"/>
      <c r="P98" s="6"/>
    </row>
  </sheetData>
  <conditionalFormatting sqref="K1">
    <cfRule type="expression" dxfId="4" priority="1" stopIfTrue="1">
      <formula>MOD(ROW(),2)=0</formula>
    </cfRule>
  </conditionalFormatting>
  <hyperlinks>
    <hyperlink ref="K1" location="HypLink1" display="HypLink1" xr:uid="{00000000-0004-0000-1500-000000000000}"/>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0" tint="-0.34998626667073579"/>
  </sheetPr>
  <dimension ref="A1:T80"/>
  <sheetViews>
    <sheetView workbookViewId="0"/>
  </sheetViews>
  <sheetFormatPr defaultColWidth="9.33203125" defaultRowHeight="13.2"/>
  <cols>
    <col min="1" max="1" width="10.6640625" style="5" bestFit="1" customWidth="1"/>
    <col min="2" max="16384" width="9.33203125" style="5"/>
  </cols>
  <sheetData>
    <row r="1" spans="1:20" ht="15.6">
      <c r="A1" s="255" t="s">
        <v>1091</v>
      </c>
      <c r="B1" s="255"/>
      <c r="C1" s="255"/>
      <c r="E1" s="347" t="s">
        <v>1</v>
      </c>
      <c r="P1" s="6"/>
      <c r="Q1" s="6"/>
      <c r="R1" s="6"/>
      <c r="S1" s="6"/>
      <c r="T1" s="6"/>
    </row>
    <row r="2" spans="1:20" ht="15.6">
      <c r="A2" s="24" t="str">
        <f>SchoolName</f>
        <v>Game Changers Sports Academy</v>
      </c>
      <c r="B2" s="26"/>
      <c r="C2" s="26"/>
      <c r="P2" s="6"/>
      <c r="Q2" s="6"/>
      <c r="R2" s="6"/>
      <c r="S2" s="6"/>
      <c r="T2" s="6"/>
    </row>
    <row r="3" spans="1:20">
      <c r="A3" s="9" t="s">
        <v>5</v>
      </c>
      <c r="P3" s="6"/>
      <c r="Q3" s="6"/>
      <c r="R3" s="6"/>
      <c r="S3" s="6"/>
      <c r="T3" s="6"/>
    </row>
    <row r="4" spans="1:20">
      <c r="A4" s="8" t="s">
        <v>6</v>
      </c>
      <c r="P4" s="6"/>
      <c r="Q4" s="6"/>
      <c r="R4" s="6"/>
      <c r="S4" s="6"/>
      <c r="T4" s="6"/>
    </row>
    <row r="5" spans="1:20">
      <c r="A5" s="7" t="str">
        <f ca="1">CELL("filename")</f>
        <v>https://myccmortgage-my.sharepoint.com/personal/dolly_alexander_myccmortgage_com/Documents/Documents/GCSA Hylo Park/[Attachment 24 Financial Budget Template.xlsx]Cover &amp; Loc</v>
      </c>
      <c r="P5" s="6"/>
      <c r="Q5" s="6"/>
      <c r="R5" s="6"/>
      <c r="S5" s="6"/>
      <c r="T5" s="6"/>
    </row>
    <row r="6" spans="1:20">
      <c r="P6" s="6"/>
      <c r="Q6" s="6"/>
      <c r="R6" s="6"/>
      <c r="S6" s="6"/>
      <c r="T6" s="6"/>
    </row>
    <row r="7" spans="1:20">
      <c r="A7" s="6"/>
      <c r="B7" s="6"/>
      <c r="C7" s="6"/>
      <c r="D7" s="6"/>
      <c r="E7" s="6"/>
      <c r="F7" s="6"/>
      <c r="G7" s="6"/>
      <c r="H7" s="6"/>
      <c r="I7" s="6"/>
      <c r="J7" s="6"/>
      <c r="K7" s="6"/>
      <c r="L7" s="6"/>
      <c r="M7" s="6"/>
      <c r="N7" s="6"/>
      <c r="O7" s="6"/>
      <c r="P7" s="6"/>
      <c r="Q7" s="6"/>
      <c r="R7" s="6"/>
      <c r="S7" s="6"/>
      <c r="T7" s="6"/>
    </row>
    <row r="8" spans="1:20">
      <c r="A8" s="6"/>
      <c r="B8" s="6"/>
      <c r="C8" s="6"/>
      <c r="D8" s="6"/>
      <c r="E8" s="6"/>
      <c r="F8" s="6"/>
      <c r="G8" s="6"/>
      <c r="H8" s="6"/>
      <c r="I8" s="6"/>
      <c r="J8" s="6"/>
      <c r="K8" s="6"/>
      <c r="L8" s="6"/>
      <c r="M8" s="6"/>
      <c r="N8" s="6"/>
      <c r="O8" s="6"/>
      <c r="P8" s="6"/>
      <c r="Q8" s="6"/>
      <c r="R8" s="6"/>
      <c r="S8" s="6"/>
      <c r="T8" s="6"/>
    </row>
    <row r="9" spans="1:20">
      <c r="A9" s="6"/>
      <c r="B9" s="6"/>
      <c r="C9" s="6"/>
      <c r="D9" s="6"/>
      <c r="E9" s="6"/>
      <c r="F9" s="6"/>
      <c r="G9" s="6"/>
      <c r="H9" s="6"/>
      <c r="I9" s="6"/>
      <c r="J9" s="6"/>
      <c r="K9" s="6"/>
      <c r="L9" s="6"/>
      <c r="M9" s="6"/>
      <c r="N9" s="6"/>
      <c r="O9" s="6"/>
      <c r="P9" s="6"/>
      <c r="Q9" s="6"/>
      <c r="R9" s="6"/>
      <c r="S9" s="6"/>
      <c r="T9" s="6"/>
    </row>
    <row r="10" spans="1:20">
      <c r="A10" s="6"/>
      <c r="B10" s="6"/>
      <c r="C10" s="6"/>
      <c r="D10" s="6"/>
      <c r="E10" s="6"/>
      <c r="F10" s="6"/>
      <c r="G10" s="6"/>
      <c r="H10" s="6"/>
      <c r="I10" s="6"/>
      <c r="J10" s="6"/>
      <c r="K10" s="6"/>
      <c r="L10" s="6"/>
      <c r="M10" s="6"/>
      <c r="N10" s="6"/>
      <c r="O10" s="6"/>
      <c r="P10" s="6"/>
      <c r="Q10" s="6"/>
      <c r="R10" s="6"/>
      <c r="S10" s="6"/>
      <c r="T10" s="6"/>
    </row>
    <row r="11" spans="1:20">
      <c r="A11" s="6"/>
      <c r="B11" s="6"/>
      <c r="C11" s="6"/>
      <c r="D11" s="6"/>
      <c r="E11" s="6"/>
      <c r="F11" s="6"/>
      <c r="G11" s="6"/>
      <c r="H11" s="6"/>
      <c r="I11" s="6"/>
      <c r="J11" s="6"/>
      <c r="K11" s="6"/>
      <c r="L11" s="6"/>
      <c r="M11" s="6"/>
      <c r="N11" s="6"/>
      <c r="O11" s="6"/>
      <c r="P11" s="6"/>
      <c r="Q11" s="6"/>
      <c r="R11" s="6"/>
      <c r="S11" s="6"/>
      <c r="T11" s="6"/>
    </row>
    <row r="12" spans="1:20">
      <c r="A12" s="6"/>
      <c r="B12" s="6"/>
      <c r="C12" s="6"/>
      <c r="D12" s="6"/>
      <c r="E12" s="6"/>
      <c r="F12" s="6"/>
      <c r="G12" s="6"/>
      <c r="H12" s="6"/>
      <c r="I12" s="6"/>
      <c r="J12" s="6"/>
      <c r="K12" s="6"/>
      <c r="L12" s="6"/>
      <c r="M12" s="6"/>
      <c r="N12" s="6"/>
      <c r="O12" s="6"/>
      <c r="P12" s="6"/>
      <c r="Q12" s="6"/>
      <c r="R12" s="6"/>
      <c r="S12" s="6"/>
      <c r="T12" s="6"/>
    </row>
    <row r="13" spans="1:20">
      <c r="A13" s="6"/>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c r="A16" s="6"/>
      <c r="B16" s="6"/>
      <c r="C16" s="6"/>
      <c r="D16" s="6"/>
      <c r="E16" s="6"/>
      <c r="F16" s="6"/>
      <c r="G16" s="6"/>
      <c r="H16" s="6"/>
      <c r="I16" s="6"/>
      <c r="J16" s="6"/>
      <c r="K16" s="6"/>
      <c r="L16" s="6"/>
      <c r="M16" s="6"/>
      <c r="N16" s="6"/>
      <c r="O16" s="6"/>
      <c r="P16" s="6"/>
      <c r="Q16" s="6"/>
      <c r="R16" s="6"/>
      <c r="S16" s="6"/>
      <c r="T16" s="6"/>
    </row>
    <row r="17" spans="1:20">
      <c r="A17" s="6"/>
      <c r="B17" s="6"/>
      <c r="C17" s="6"/>
      <c r="D17" s="6"/>
      <c r="E17" s="6"/>
      <c r="F17" s="6"/>
      <c r="G17" s="6"/>
      <c r="H17" s="6"/>
      <c r="I17" s="6"/>
      <c r="J17" s="6"/>
      <c r="K17" s="6"/>
      <c r="L17" s="6"/>
      <c r="M17" s="6"/>
      <c r="N17" s="6"/>
      <c r="O17" s="6"/>
      <c r="P17" s="6"/>
      <c r="Q17" s="6"/>
      <c r="R17" s="6"/>
      <c r="S17" s="6"/>
      <c r="T17" s="6"/>
    </row>
    <row r="18" spans="1:20">
      <c r="A18" s="6"/>
      <c r="B18" s="6"/>
      <c r="C18" s="6"/>
      <c r="D18" s="6"/>
      <c r="E18" s="6"/>
      <c r="F18" s="6"/>
      <c r="G18" s="6"/>
      <c r="H18" s="6"/>
      <c r="I18" s="6"/>
      <c r="J18" s="6"/>
      <c r="K18" s="6"/>
      <c r="L18" s="6"/>
      <c r="M18" s="6"/>
      <c r="N18" s="6"/>
      <c r="O18" s="6"/>
      <c r="P18" s="6"/>
      <c r="Q18" s="6"/>
      <c r="R18" s="6"/>
      <c r="S18" s="6"/>
      <c r="T18" s="6"/>
    </row>
    <row r="19" spans="1:20">
      <c r="A19" s="6"/>
      <c r="B19" s="6"/>
      <c r="C19" s="6"/>
      <c r="D19" s="6"/>
      <c r="E19" s="6"/>
      <c r="F19" s="6"/>
      <c r="G19" s="6"/>
      <c r="H19" s="6"/>
      <c r="I19" s="6"/>
      <c r="J19" s="6"/>
      <c r="K19" s="6"/>
      <c r="L19" s="6"/>
      <c r="M19" s="6"/>
      <c r="N19" s="6"/>
      <c r="O19" s="6"/>
      <c r="P19" s="6"/>
      <c r="Q19" s="6"/>
      <c r="R19" s="6"/>
      <c r="S19" s="6"/>
      <c r="T19" s="6"/>
    </row>
    <row r="20" spans="1:20">
      <c r="A20" s="6"/>
      <c r="B20" s="6"/>
      <c r="C20" s="6"/>
      <c r="D20" s="6"/>
      <c r="E20" s="6"/>
      <c r="F20" s="6"/>
      <c r="G20" s="6"/>
      <c r="H20" s="6"/>
      <c r="I20" s="6"/>
      <c r="J20" s="6"/>
      <c r="K20" s="6"/>
      <c r="L20" s="6"/>
      <c r="M20" s="6"/>
      <c r="N20" s="6"/>
      <c r="O20" s="6"/>
      <c r="P20" s="6"/>
      <c r="Q20" s="6"/>
      <c r="R20" s="6"/>
      <c r="S20" s="6"/>
      <c r="T20" s="6"/>
    </row>
    <row r="21" spans="1:20">
      <c r="A21" s="6"/>
      <c r="B21" s="6"/>
      <c r="C21" s="6"/>
      <c r="D21" s="6"/>
      <c r="E21" s="6"/>
      <c r="F21" s="6"/>
      <c r="G21" s="6"/>
      <c r="H21" s="6"/>
      <c r="I21" s="6"/>
      <c r="J21" s="6"/>
      <c r="K21" s="6"/>
      <c r="L21" s="6"/>
      <c r="M21" s="6"/>
      <c r="N21" s="6"/>
      <c r="O21" s="6"/>
      <c r="P21" s="6"/>
      <c r="Q21" s="6"/>
      <c r="R21" s="6"/>
      <c r="S21" s="6"/>
      <c r="T21" s="6"/>
    </row>
    <row r="22" spans="1:20">
      <c r="A22" s="6"/>
      <c r="B22" s="6"/>
      <c r="C22" s="6"/>
      <c r="D22" s="6"/>
      <c r="E22" s="6"/>
      <c r="F22" s="6"/>
      <c r="G22" s="6"/>
      <c r="H22" s="6"/>
      <c r="I22" s="6"/>
      <c r="J22" s="6"/>
      <c r="K22" s="6"/>
      <c r="L22" s="6"/>
      <c r="M22" s="6"/>
      <c r="N22" s="6"/>
      <c r="O22" s="6"/>
      <c r="P22" s="6"/>
      <c r="Q22" s="6"/>
      <c r="R22" s="6"/>
      <c r="S22" s="6"/>
      <c r="T22" s="6"/>
    </row>
    <row r="23" spans="1:20">
      <c r="A23" s="6"/>
      <c r="B23" s="6"/>
      <c r="C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E26" s="6"/>
      <c r="F26" s="6"/>
      <c r="G26" s="6"/>
      <c r="H26" s="6"/>
      <c r="I26" s="6"/>
      <c r="J26" s="6"/>
      <c r="K26" s="6"/>
      <c r="L26" s="6"/>
      <c r="M26" s="6"/>
      <c r="N26" s="6"/>
      <c r="O26" s="6"/>
      <c r="P26" s="6"/>
      <c r="Q26" s="6"/>
      <c r="R26" s="6"/>
      <c r="S26" s="6"/>
      <c r="T26" s="6"/>
    </row>
    <row r="27" spans="1:20">
      <c r="A27" s="6"/>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29" spans="1:20">
      <c r="A29" s="6"/>
      <c r="B29" s="6"/>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row>
    <row r="31" spans="1:20">
      <c r="A31" s="6"/>
      <c r="B31" s="6"/>
      <c r="C31" s="6"/>
      <c r="D31" s="6"/>
      <c r="E31" s="6"/>
      <c r="F31" s="6"/>
      <c r="G31" s="6"/>
      <c r="H31" s="6"/>
      <c r="I31" s="6"/>
      <c r="J31" s="6"/>
      <c r="K31" s="6"/>
      <c r="L31" s="6"/>
      <c r="M31" s="6"/>
      <c r="N31" s="6"/>
      <c r="O31" s="6"/>
      <c r="P31" s="6"/>
    </row>
    <row r="32" spans="1:20">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00000000-0004-0000-1600-000000000000}"/>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0" tint="-0.34998626667073579"/>
  </sheetPr>
  <dimension ref="A1:P80"/>
  <sheetViews>
    <sheetView workbookViewId="0"/>
  </sheetViews>
  <sheetFormatPr defaultColWidth="9.33203125" defaultRowHeight="13.2"/>
  <cols>
    <col min="1" max="1" width="4.44140625" style="5" customWidth="1"/>
    <col min="2" max="16384" width="9.33203125" style="5"/>
  </cols>
  <sheetData>
    <row r="1" spans="1:16" ht="15.6">
      <c r="A1" s="258" t="s">
        <v>1092</v>
      </c>
      <c r="B1" s="258"/>
      <c r="C1" s="258"/>
      <c r="D1" s="258"/>
      <c r="E1" s="258"/>
      <c r="F1" s="258"/>
      <c r="G1" s="258"/>
      <c r="M1" s="313" t="s">
        <v>1</v>
      </c>
    </row>
    <row r="2" spans="1:16" ht="15.6">
      <c r="A2" s="24"/>
      <c r="B2" s="26"/>
      <c r="C2" s="26"/>
      <c r="D2" s="26"/>
      <c r="E2" s="26"/>
      <c r="F2" s="26"/>
      <c r="G2" s="26"/>
      <c r="H2" s="5" t="s">
        <v>1093</v>
      </c>
    </row>
    <row r="3" spans="1:16">
      <c r="A3" s="9" t="s">
        <v>325</v>
      </c>
      <c r="H3" s="5" t="s">
        <v>1094</v>
      </c>
    </row>
    <row r="4" spans="1:16">
      <c r="A4" s="8" t="s">
        <v>5</v>
      </c>
    </row>
    <row r="5" spans="1:16">
      <c r="A5" s="7" t="str">
        <f ca="1">CELL("filename")</f>
        <v>https://myccmortgage-my.sharepoint.com/personal/dolly_alexander_myccmortgage_com/Documents/Documents/GCSA Hylo Park/[Attachment 24 Financial Budget Template.xlsx]Cover &amp; Loc</v>
      </c>
    </row>
    <row r="6" spans="1:16">
      <c r="A6" s="6"/>
      <c r="B6" s="6"/>
      <c r="C6" s="6"/>
      <c r="D6" s="6"/>
      <c r="E6" s="6"/>
      <c r="F6" s="6"/>
      <c r="G6" s="6"/>
      <c r="H6" s="6"/>
      <c r="I6" s="6"/>
      <c r="J6" s="6"/>
      <c r="K6" s="6"/>
      <c r="L6" s="6"/>
      <c r="M6" s="6"/>
      <c r="N6" s="6"/>
      <c r="O6" s="6"/>
      <c r="P6" s="6"/>
    </row>
    <row r="7" spans="1:16">
      <c r="A7" s="6"/>
      <c r="B7" s="6" t="s">
        <v>1095</v>
      </c>
      <c r="C7" s="6"/>
      <c r="D7" s="6"/>
      <c r="E7" s="6"/>
      <c r="F7" s="6"/>
      <c r="G7" s="6"/>
      <c r="H7" s="6"/>
      <c r="I7" s="6"/>
      <c r="J7" s="6"/>
      <c r="K7" s="6"/>
      <c r="L7" s="6"/>
      <c r="M7" s="6"/>
      <c r="N7" s="6"/>
      <c r="O7" s="6"/>
      <c r="P7" s="6"/>
    </row>
    <row r="8" spans="1:16">
      <c r="A8" s="6"/>
      <c r="B8" s="6" t="s">
        <v>1096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276"/>
      <c r="C10" s="276"/>
      <c r="D10" s="276"/>
      <c r="E10" s="276"/>
      <c r="F10" s="276"/>
      <c r="G10" s="1866" t="s">
        <v>1097</v>
      </c>
      <c r="H10" s="1866"/>
      <c r="I10" s="1313" t="s">
        <v>1098</v>
      </c>
      <c r="J10" s="1313"/>
      <c r="K10" s="1313"/>
      <c r="L10" s="1313"/>
      <c r="M10" s="1313"/>
      <c r="N10" s="1313"/>
      <c r="O10" s="6"/>
      <c r="P10" s="6"/>
    </row>
    <row r="11" spans="1:16">
      <c r="A11" s="6"/>
      <c r="B11" s="277"/>
      <c r="C11" s="16"/>
      <c r="D11" s="16"/>
      <c r="E11" s="16"/>
      <c r="F11" s="16"/>
      <c r="G11" s="278" t="s">
        <v>1099</v>
      </c>
      <c r="H11" s="278" t="s">
        <v>1100</v>
      </c>
      <c r="I11" s="278" t="s">
        <v>483</v>
      </c>
      <c r="J11" s="278">
        <v>1</v>
      </c>
      <c r="K11" s="278">
        <f>+J11+1</f>
        <v>2</v>
      </c>
      <c r="L11" s="278">
        <f>+K11+1</f>
        <v>3</v>
      </c>
      <c r="M11" s="278">
        <f>+L11+1</f>
        <v>4</v>
      </c>
      <c r="N11" s="278">
        <f>+M11+1</f>
        <v>5</v>
      </c>
      <c r="O11" s="6"/>
      <c r="P11" s="6"/>
    </row>
    <row r="12" spans="1:16">
      <c r="A12" s="6"/>
      <c r="C12" s="6"/>
      <c r="D12" s="6"/>
      <c r="E12" s="6"/>
      <c r="F12" s="6"/>
      <c r="G12" s="6"/>
      <c r="H12" s="6"/>
      <c r="I12" s="6"/>
      <c r="J12" s="6"/>
      <c r="K12" s="6"/>
      <c r="L12" s="6"/>
      <c r="M12" s="6"/>
      <c r="N12" s="6"/>
      <c r="O12" s="6"/>
      <c r="P12" s="6"/>
    </row>
    <row r="13" spans="1:16">
      <c r="A13" s="6"/>
      <c r="B13" s="279" t="s">
        <v>1101</v>
      </c>
      <c r="C13" s="16"/>
      <c r="D13" s="16"/>
      <c r="E13" s="16"/>
      <c r="F13" s="16"/>
      <c r="G13" s="16"/>
      <c r="H13" s="16"/>
      <c r="I13" s="16"/>
      <c r="J13" s="16"/>
      <c r="K13" s="16"/>
      <c r="L13" s="16"/>
      <c r="M13" s="16"/>
      <c r="N13" s="16"/>
      <c r="O13" s="6"/>
      <c r="P13" s="6"/>
    </row>
    <row r="14" spans="1:16">
      <c r="A14" s="6"/>
      <c r="B14" s="280" t="s">
        <v>1102</v>
      </c>
      <c r="C14" s="280"/>
      <c r="D14" s="280"/>
      <c r="E14" s="280"/>
      <c r="F14" s="280"/>
      <c r="G14" s="281"/>
      <c r="H14" s="281"/>
      <c r="I14" s="281"/>
      <c r="J14" s="281"/>
      <c r="K14" s="281"/>
      <c r="L14" s="281"/>
      <c r="M14" s="281"/>
      <c r="N14" s="281"/>
      <c r="O14" s="6"/>
      <c r="P14" s="6"/>
    </row>
    <row r="15" spans="1:16">
      <c r="A15" s="6"/>
      <c r="B15" s="282" t="s">
        <v>1103</v>
      </c>
      <c r="C15" s="282"/>
      <c r="D15" s="282"/>
      <c r="E15" s="282"/>
      <c r="F15" s="282"/>
      <c r="G15" s="283"/>
      <c r="H15" s="283"/>
      <c r="I15" s="283"/>
      <c r="J15" s="283"/>
      <c r="K15" s="283"/>
      <c r="L15" s="283"/>
      <c r="M15" s="283"/>
      <c r="N15" s="283"/>
      <c r="O15" s="6"/>
      <c r="P15" s="6"/>
    </row>
    <row r="16" spans="1:16">
      <c r="A16" s="6"/>
      <c r="B16" s="282" t="s">
        <v>1104</v>
      </c>
      <c r="C16" s="282"/>
      <c r="D16" s="282"/>
      <c r="E16" s="282"/>
      <c r="F16" s="282"/>
      <c r="G16" s="283"/>
      <c r="H16" s="283"/>
      <c r="I16" s="283"/>
      <c r="J16" s="283"/>
      <c r="K16" s="283"/>
      <c r="L16" s="283"/>
      <c r="M16" s="283"/>
      <c r="N16" s="283"/>
      <c r="O16" s="6"/>
      <c r="P16" s="6"/>
    </row>
    <row r="17" spans="1:16">
      <c r="A17" s="6"/>
      <c r="B17" s="282" t="s">
        <v>1105</v>
      </c>
      <c r="C17" s="282"/>
      <c r="D17" s="282"/>
      <c r="E17" s="282"/>
      <c r="F17" s="282"/>
      <c r="G17" s="283"/>
      <c r="H17" s="283"/>
      <c r="I17" s="283"/>
      <c r="J17" s="283"/>
      <c r="K17" s="283"/>
      <c r="L17" s="283"/>
      <c r="M17" s="283"/>
      <c r="N17" s="283"/>
      <c r="O17" s="6"/>
      <c r="P17" s="6"/>
    </row>
    <row r="18" spans="1:16">
      <c r="A18" s="6"/>
      <c r="B18" s="282" t="s">
        <v>1106</v>
      </c>
      <c r="C18" s="282"/>
      <c r="D18" s="282"/>
      <c r="E18" s="282"/>
      <c r="F18" s="282"/>
      <c r="G18" s="283"/>
      <c r="H18" s="283"/>
      <c r="I18" s="283"/>
      <c r="J18" s="283"/>
      <c r="K18" s="283"/>
      <c r="L18" s="283"/>
      <c r="M18" s="283"/>
      <c r="N18" s="283"/>
      <c r="O18" s="6"/>
      <c r="P18" s="6"/>
    </row>
    <row r="19" spans="1:16">
      <c r="A19" s="6"/>
      <c r="B19" s="282" t="s">
        <v>1107</v>
      </c>
      <c r="C19" s="282"/>
      <c r="D19" s="282"/>
      <c r="E19" s="282"/>
      <c r="F19" s="282"/>
      <c r="G19" s="283"/>
      <c r="H19" s="283"/>
      <c r="I19" s="283"/>
      <c r="J19" s="283"/>
      <c r="K19" s="283"/>
      <c r="L19" s="283"/>
      <c r="M19" s="283"/>
      <c r="N19" s="283"/>
      <c r="O19" s="6"/>
      <c r="P19" s="6"/>
    </row>
    <row r="20" spans="1:16">
      <c r="A20" s="6"/>
      <c r="B20" s="282" t="s">
        <v>1108</v>
      </c>
      <c r="C20" s="282"/>
      <c r="D20" s="282"/>
      <c r="E20" s="282"/>
      <c r="F20" s="282"/>
      <c r="G20" s="283"/>
      <c r="H20" s="283"/>
      <c r="I20" s="283"/>
      <c r="J20" s="283"/>
      <c r="K20" s="283"/>
      <c r="L20" s="283"/>
      <c r="M20" s="283"/>
      <c r="N20" s="283"/>
      <c r="O20" s="6"/>
      <c r="P20" s="6"/>
    </row>
    <row r="21" spans="1:16">
      <c r="A21" s="6"/>
      <c r="B21" s="282" t="s">
        <v>1109</v>
      </c>
      <c r="C21" s="282"/>
      <c r="D21" s="282"/>
      <c r="E21" s="282"/>
      <c r="F21" s="282"/>
      <c r="G21" s="283"/>
      <c r="H21" s="283"/>
      <c r="I21" s="283"/>
      <c r="J21" s="283"/>
      <c r="K21" s="283"/>
      <c r="L21" s="283"/>
      <c r="M21" s="283"/>
      <c r="N21" s="283"/>
      <c r="O21" s="6"/>
      <c r="P21" s="6"/>
    </row>
    <row r="22" spans="1:16">
      <c r="A22" s="6"/>
      <c r="B22" s="282" t="s">
        <v>1110</v>
      </c>
      <c r="C22" s="282"/>
      <c r="D22" s="282"/>
      <c r="E22" s="282"/>
      <c r="F22" s="282"/>
      <c r="G22" s="283"/>
      <c r="H22" s="283"/>
      <c r="I22" s="283"/>
      <c r="J22" s="283"/>
      <c r="K22" s="283"/>
      <c r="L22" s="283"/>
      <c r="M22" s="283"/>
      <c r="N22" s="283"/>
      <c r="O22" s="6"/>
      <c r="P22" s="6"/>
    </row>
    <row r="23" spans="1:16">
      <c r="A23" s="6"/>
      <c r="B23" s="282" t="s">
        <v>1111</v>
      </c>
      <c r="C23" s="282"/>
      <c r="D23" s="282"/>
      <c r="E23" s="282"/>
      <c r="F23" s="282"/>
      <c r="G23" s="283"/>
      <c r="H23" s="283"/>
      <c r="I23" s="283"/>
      <c r="J23" s="283"/>
      <c r="K23" s="283"/>
      <c r="L23" s="283"/>
      <c r="M23" s="283"/>
      <c r="N23" s="283"/>
      <c r="O23" s="6"/>
      <c r="P23" s="6"/>
    </row>
    <row r="24" spans="1:16">
      <c r="A24" s="6"/>
      <c r="B24" s="282" t="s">
        <v>1112</v>
      </c>
      <c r="C24" s="282"/>
      <c r="D24" s="282"/>
      <c r="E24" s="282"/>
      <c r="F24" s="282"/>
      <c r="G24" s="283"/>
      <c r="H24" s="283"/>
      <c r="I24" s="283"/>
      <c r="J24" s="283"/>
      <c r="K24" s="283"/>
      <c r="L24" s="283"/>
      <c r="M24" s="283"/>
      <c r="N24" s="283"/>
      <c r="O24" s="6"/>
      <c r="P24" s="6"/>
    </row>
    <row r="25" spans="1:16">
      <c r="A25" s="6"/>
      <c r="B25" s="282" t="s">
        <v>1113</v>
      </c>
      <c r="C25" s="282"/>
      <c r="D25" s="282"/>
      <c r="E25" s="282"/>
      <c r="F25" s="282"/>
      <c r="G25" s="283"/>
      <c r="H25" s="283"/>
      <c r="I25" s="283"/>
      <c r="J25" s="283"/>
      <c r="K25" s="283"/>
      <c r="L25" s="283"/>
      <c r="M25" s="283"/>
      <c r="N25" s="283"/>
      <c r="O25" s="6"/>
      <c r="P25" s="6"/>
    </row>
    <row r="26" spans="1:16">
      <c r="A26" s="6"/>
      <c r="B26" s="6"/>
      <c r="C26" s="6"/>
      <c r="D26" s="6"/>
      <c r="E26" s="6"/>
      <c r="F26" s="6"/>
      <c r="G26" s="6"/>
      <c r="H26" s="6"/>
      <c r="I26" s="6">
        <f>SUM(I14:I25)</f>
        <v>0</v>
      </c>
      <c r="J26" s="6">
        <f t="shared" ref="J26:N26" si="0">SUM(J14:J25)</f>
        <v>0</v>
      </c>
      <c r="K26" s="6">
        <f t="shared" si="0"/>
        <v>0</v>
      </c>
      <c r="L26" s="6">
        <f t="shared" si="0"/>
        <v>0</v>
      </c>
      <c r="M26" s="6">
        <f t="shared" si="0"/>
        <v>0</v>
      </c>
      <c r="N26" s="6">
        <f t="shared" si="0"/>
        <v>0</v>
      </c>
      <c r="O26" s="6"/>
      <c r="P26" s="6"/>
    </row>
    <row r="27" spans="1:16">
      <c r="A27" s="6"/>
      <c r="B27" s="6"/>
      <c r="C27" s="6"/>
      <c r="D27" s="6"/>
      <c r="E27" s="6"/>
      <c r="F27" s="6"/>
      <c r="G27" s="6"/>
      <c r="H27" s="6"/>
      <c r="I27" s="6"/>
      <c r="J27" s="6"/>
      <c r="K27" s="6"/>
      <c r="L27" s="6"/>
      <c r="M27" s="6"/>
      <c r="N27" s="6"/>
      <c r="O27" s="6"/>
      <c r="P27" s="6"/>
    </row>
    <row r="28" spans="1:16">
      <c r="A28" s="6"/>
      <c r="B28" s="279" t="s">
        <v>1114</v>
      </c>
      <c r="C28" s="16"/>
      <c r="D28" s="16"/>
      <c r="E28" s="16"/>
      <c r="F28" s="16"/>
      <c r="G28" s="16"/>
      <c r="H28" s="16"/>
      <c r="I28" s="16"/>
      <c r="J28" s="16"/>
      <c r="K28" s="16"/>
      <c r="L28" s="16"/>
      <c r="M28" s="16"/>
      <c r="N28" s="16"/>
      <c r="O28" s="6"/>
      <c r="P28" s="6"/>
    </row>
    <row r="29" spans="1:16">
      <c r="A29" s="6"/>
      <c r="B29" s="280" t="s">
        <v>1115</v>
      </c>
      <c r="C29" s="280"/>
      <c r="D29" s="280"/>
      <c r="E29" s="280"/>
      <c r="F29" s="280"/>
      <c r="G29" s="281"/>
      <c r="H29" s="281"/>
      <c r="I29" s="281"/>
      <c r="J29" s="281"/>
      <c r="K29" s="281"/>
      <c r="L29" s="281"/>
      <c r="M29" s="281"/>
      <c r="N29" s="281"/>
      <c r="O29" s="6"/>
      <c r="P29" s="6"/>
    </row>
    <row r="30" spans="1:16">
      <c r="A30" s="6"/>
      <c r="B30" s="282" t="s">
        <v>1116</v>
      </c>
      <c r="C30" s="282"/>
      <c r="D30" s="282"/>
      <c r="E30" s="282"/>
      <c r="F30" s="282"/>
      <c r="G30" s="283"/>
      <c r="H30" s="283"/>
      <c r="I30" s="283"/>
      <c r="J30" s="283"/>
      <c r="K30" s="283"/>
      <c r="L30" s="283"/>
      <c r="M30" s="283"/>
      <c r="N30" s="283"/>
      <c r="O30" s="6"/>
      <c r="P30" s="6"/>
    </row>
    <row r="31" spans="1:16">
      <c r="A31" s="6"/>
      <c r="B31" s="282" t="s">
        <v>1117</v>
      </c>
      <c r="C31" s="282"/>
      <c r="D31" s="282"/>
      <c r="E31" s="282"/>
      <c r="F31" s="282"/>
      <c r="G31" s="283"/>
      <c r="H31" s="283"/>
      <c r="I31" s="283"/>
      <c r="J31" s="283"/>
      <c r="K31" s="283"/>
      <c r="L31" s="283"/>
      <c r="M31" s="283"/>
      <c r="N31" s="283"/>
      <c r="O31" s="6"/>
      <c r="P31" s="6"/>
    </row>
    <row r="32" spans="1:16">
      <c r="A32" s="6"/>
      <c r="B32" s="282" t="s">
        <v>1118</v>
      </c>
      <c r="C32" s="282"/>
      <c r="D32" s="282"/>
      <c r="E32" s="282"/>
      <c r="F32" s="282"/>
      <c r="G32" s="283"/>
      <c r="H32" s="283"/>
      <c r="I32" s="283"/>
      <c r="J32" s="283"/>
      <c r="K32" s="283"/>
      <c r="L32" s="283"/>
      <c r="M32" s="283"/>
      <c r="N32" s="283"/>
      <c r="O32" s="6"/>
      <c r="P32" s="6"/>
    </row>
    <row r="33" spans="1:16">
      <c r="A33" s="6"/>
      <c r="B33" s="282" t="s">
        <v>1119</v>
      </c>
      <c r="C33" s="282"/>
      <c r="D33" s="282"/>
      <c r="E33" s="282"/>
      <c r="F33" s="282"/>
      <c r="G33" s="283"/>
      <c r="H33" s="283"/>
      <c r="I33" s="283"/>
      <c r="J33" s="283"/>
      <c r="K33" s="283"/>
      <c r="L33" s="283"/>
      <c r="M33" s="283"/>
      <c r="N33" s="283"/>
      <c r="O33" s="6"/>
      <c r="P33" s="6"/>
    </row>
    <row r="34" spans="1:16">
      <c r="A34" s="6"/>
      <c r="B34" s="284" t="s">
        <v>1120</v>
      </c>
      <c r="C34" s="282"/>
      <c r="D34" s="282"/>
      <c r="E34" s="282"/>
      <c r="F34" s="282"/>
      <c r="G34" s="283"/>
      <c r="H34" s="283"/>
      <c r="I34" s="283"/>
      <c r="J34" s="283"/>
      <c r="K34" s="283"/>
      <c r="L34" s="283"/>
      <c r="M34" s="283"/>
      <c r="N34" s="283"/>
      <c r="O34" s="6"/>
      <c r="P34" s="6"/>
    </row>
    <row r="35" spans="1:16">
      <c r="A35" s="6"/>
      <c r="B35" s="284" t="s">
        <v>1121</v>
      </c>
      <c r="C35" s="282"/>
      <c r="D35" s="282"/>
      <c r="E35" s="282"/>
      <c r="F35" s="282"/>
      <c r="G35" s="283"/>
      <c r="H35" s="283"/>
      <c r="I35" s="283"/>
      <c r="J35" s="283"/>
      <c r="K35" s="283"/>
      <c r="L35" s="283"/>
      <c r="M35" s="283"/>
      <c r="N35" s="283"/>
      <c r="O35" s="6"/>
      <c r="P35" s="6"/>
    </row>
    <row r="36" spans="1:16">
      <c r="A36" s="6"/>
      <c r="B36" s="284" t="s">
        <v>1122</v>
      </c>
      <c r="C36" s="282"/>
      <c r="D36" s="282"/>
      <c r="E36" s="282"/>
      <c r="F36" s="282"/>
      <c r="G36" s="283"/>
      <c r="H36" s="283"/>
      <c r="I36" s="283"/>
      <c r="J36" s="283"/>
      <c r="K36" s="283"/>
      <c r="L36" s="283"/>
      <c r="M36" s="283"/>
      <c r="N36" s="283"/>
      <c r="O36" s="6"/>
      <c r="P36" s="6"/>
    </row>
    <row r="37" spans="1:16">
      <c r="A37" s="6"/>
      <c r="B37" s="284" t="s">
        <v>1123</v>
      </c>
      <c r="C37" s="282"/>
      <c r="D37" s="282"/>
      <c r="E37" s="282"/>
      <c r="F37" s="282"/>
      <c r="G37" s="283"/>
      <c r="H37" s="283"/>
      <c r="I37" s="283"/>
      <c r="J37" s="283"/>
      <c r="K37" s="283"/>
      <c r="L37" s="283"/>
      <c r="M37" s="283"/>
      <c r="N37" s="283"/>
      <c r="O37" s="6"/>
      <c r="P37" s="6"/>
    </row>
    <row r="38" spans="1:16">
      <c r="A38" s="6"/>
      <c r="B38" s="284" t="s">
        <v>1124</v>
      </c>
      <c r="C38" s="282"/>
      <c r="D38" s="282"/>
      <c r="E38" s="282"/>
      <c r="F38" s="282"/>
      <c r="G38" s="283"/>
      <c r="H38" s="283"/>
      <c r="I38" s="283"/>
      <c r="J38" s="283"/>
      <c r="K38" s="283"/>
      <c r="L38" s="283"/>
      <c r="M38" s="283"/>
      <c r="N38" s="283"/>
      <c r="O38" s="6"/>
      <c r="P38" s="6"/>
    </row>
    <row r="39" spans="1:16">
      <c r="A39" s="6"/>
      <c r="B39" s="6"/>
      <c r="C39" s="6"/>
      <c r="D39" s="6"/>
      <c r="E39" s="6"/>
      <c r="F39" s="6"/>
      <c r="G39" s="6"/>
      <c r="H39" s="6"/>
      <c r="I39" s="6">
        <f>SUM(I29:I38)</f>
        <v>0</v>
      </c>
      <c r="J39" s="6">
        <f t="shared" ref="J39:N39" si="1">SUM(J29:J38)</f>
        <v>0</v>
      </c>
      <c r="K39" s="6">
        <f t="shared" si="1"/>
        <v>0</v>
      </c>
      <c r="L39" s="6">
        <f t="shared" si="1"/>
        <v>0</v>
      </c>
      <c r="M39" s="6">
        <f t="shared" si="1"/>
        <v>0</v>
      </c>
      <c r="N39" s="6">
        <f t="shared" si="1"/>
        <v>0</v>
      </c>
      <c r="O39" s="6"/>
      <c r="P39" s="6"/>
    </row>
    <row r="40" spans="1:16">
      <c r="A40" s="6"/>
      <c r="B40" s="6"/>
      <c r="C40" s="6"/>
      <c r="D40" s="6"/>
      <c r="E40" s="6"/>
      <c r="F40" s="6"/>
      <c r="G40" s="6"/>
      <c r="H40" s="6"/>
      <c r="I40" s="6"/>
      <c r="J40" s="6"/>
      <c r="K40" s="6"/>
      <c r="L40" s="6"/>
      <c r="M40" s="6"/>
      <c r="N40" s="6"/>
      <c r="O40" s="6"/>
      <c r="P40" s="6"/>
    </row>
    <row r="41" spans="1:16">
      <c r="A41" s="6"/>
      <c r="B41" s="6" t="s">
        <v>1125</v>
      </c>
      <c r="C41" s="6"/>
      <c r="D41" s="6"/>
      <c r="E41" s="6"/>
      <c r="F41" s="6"/>
      <c r="G41" s="6"/>
      <c r="H41" s="6"/>
      <c r="I41" s="6"/>
      <c r="J41" s="6"/>
      <c r="K41" s="6"/>
      <c r="L41" s="6"/>
      <c r="M41" s="6"/>
      <c r="N41" s="6"/>
      <c r="O41" s="6"/>
      <c r="P41" s="6"/>
    </row>
    <row r="42" spans="1:16">
      <c r="A42" s="6"/>
      <c r="B42" s="6" t="s">
        <v>1126</v>
      </c>
      <c r="C42" s="6"/>
      <c r="D42" s="6"/>
      <c r="E42" s="6"/>
      <c r="F42" s="6"/>
      <c r="G42" s="6"/>
      <c r="H42" s="6"/>
      <c r="I42" s="6"/>
      <c r="J42" s="6"/>
      <c r="K42" s="6"/>
      <c r="L42" s="6"/>
      <c r="M42" s="6"/>
      <c r="N42" s="6"/>
      <c r="O42" s="6"/>
      <c r="P42" s="6"/>
    </row>
    <row r="43" spans="1:16">
      <c r="A43" s="6"/>
      <c r="B43" s="6" t="s">
        <v>1127</v>
      </c>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00000000-0004-0000-1700-00000000000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P81"/>
  <sheetViews>
    <sheetView workbookViewId="0"/>
  </sheetViews>
  <sheetFormatPr defaultColWidth="8.6640625" defaultRowHeight="13.2"/>
  <cols>
    <col min="1" max="1" width="1.33203125" style="5" customWidth="1"/>
    <col min="2" max="2" width="2.6640625" style="5" customWidth="1"/>
    <col min="3" max="5" width="8.6640625" style="5"/>
    <col min="6" max="6" width="9" style="5" bestFit="1" customWidth="1"/>
    <col min="7" max="7" width="9.6640625" style="5" bestFit="1" customWidth="1"/>
    <col min="8" max="8" width="9" style="5" bestFit="1" customWidth="1"/>
    <col min="9" max="11" width="9.6640625" style="5" bestFit="1" customWidth="1"/>
    <col min="12" max="13" width="1.6640625" style="5" customWidth="1"/>
    <col min="14" max="14" width="18.6640625" style="5" customWidth="1"/>
    <col min="15" max="15" width="22.33203125" style="5" customWidth="1"/>
    <col min="16" max="16" width="16.33203125" style="5" customWidth="1"/>
    <col min="17" max="16384" width="8.6640625" style="5"/>
  </cols>
  <sheetData>
    <row r="1" spans="1:14" ht="15.6">
      <c r="A1" s="258"/>
      <c r="B1" s="258"/>
      <c r="C1" s="258"/>
    </row>
    <row r="2" spans="1:14" ht="15.6">
      <c r="A2" s="24"/>
      <c r="B2" s="26"/>
      <c r="C2" s="26"/>
    </row>
    <row r="3" spans="1:14">
      <c r="A3" s="9" t="s">
        <v>325</v>
      </c>
    </row>
    <row r="4" spans="1:14">
      <c r="A4" s="8" t="s">
        <v>5</v>
      </c>
    </row>
    <row r="5" spans="1:14">
      <c r="A5" s="7" t="str">
        <f ca="1">CELL("filename")</f>
        <v>https://myccmortgage-my.sharepoint.com/personal/dolly_alexander_myccmortgage_com/Documents/Documents/GCSA Hylo Park/[Attachment 24 Financial Budget Template.xlsx]Cover &amp; Loc</v>
      </c>
    </row>
    <row r="6" spans="1:14">
      <c r="A6" s="6"/>
      <c r="L6" s="6"/>
      <c r="M6" s="6"/>
      <c r="N6" s="6"/>
    </row>
    <row r="7" spans="1:14">
      <c r="A7" s="6"/>
      <c r="L7" s="6"/>
      <c r="M7" s="6"/>
      <c r="N7" s="6"/>
    </row>
    <row r="8" spans="1:14">
      <c r="A8" s="6"/>
      <c r="B8" s="22" t="s">
        <v>1128</v>
      </c>
      <c r="L8" s="6"/>
      <c r="M8" s="6"/>
      <c r="N8" s="6"/>
    </row>
    <row r="9" spans="1:14">
      <c r="A9" s="6"/>
      <c r="L9" s="6"/>
      <c r="M9" s="6"/>
      <c r="N9" s="6"/>
    </row>
    <row r="10" spans="1:14" ht="13.8">
      <c r="A10" s="6"/>
      <c r="F10" s="1050">
        <v>1</v>
      </c>
      <c r="G10" s="615">
        <v>2</v>
      </c>
      <c r="H10" s="615">
        <v>3</v>
      </c>
      <c r="I10" s="615">
        <v>4</v>
      </c>
      <c r="J10" s="615">
        <v>5</v>
      </c>
      <c r="K10" s="957">
        <v>6</v>
      </c>
      <c r="L10" s="6"/>
      <c r="M10" s="6"/>
    </row>
    <row r="11" spans="1:14" ht="13.8">
      <c r="A11" s="6"/>
      <c r="B11" s="6"/>
      <c r="C11" s="6"/>
      <c r="D11" s="6"/>
      <c r="E11" s="6"/>
      <c r="F11" s="616">
        <v>2022</v>
      </c>
      <c r="G11" s="617">
        <v>2023</v>
      </c>
      <c r="H11" s="617">
        <v>2024</v>
      </c>
      <c r="I11" s="617">
        <v>2025</v>
      </c>
      <c r="J11" s="617">
        <v>2026</v>
      </c>
      <c r="K11" s="618">
        <v>2027</v>
      </c>
      <c r="L11" s="6"/>
      <c r="M11" s="6"/>
    </row>
    <row r="12" spans="1:14" ht="13.8">
      <c r="A12" s="6"/>
      <c r="B12" s="1047" t="s">
        <v>1129</v>
      </c>
      <c r="C12" s="6"/>
      <c r="D12" s="6"/>
      <c r="E12" s="6"/>
      <c r="F12" s="619">
        <v>2023</v>
      </c>
      <c r="G12" s="620">
        <v>2024</v>
      </c>
      <c r="H12" s="620">
        <v>2025</v>
      </c>
      <c r="I12" s="620">
        <v>2026</v>
      </c>
      <c r="J12" s="620">
        <v>2027</v>
      </c>
      <c r="K12" s="621">
        <v>2028</v>
      </c>
      <c r="L12" s="6"/>
      <c r="M12" s="6"/>
    </row>
    <row r="13" spans="1:14">
      <c r="A13" s="6"/>
      <c r="B13" s="5" t="s">
        <v>1130</v>
      </c>
      <c r="C13" s="6"/>
      <c r="D13" s="6"/>
      <c r="E13" s="6"/>
      <c r="F13" s="6">
        <v>10</v>
      </c>
      <c r="G13" s="6">
        <v>16</v>
      </c>
      <c r="H13" s="6">
        <v>20</v>
      </c>
      <c r="I13" s="6">
        <v>21</v>
      </c>
      <c r="J13" s="6">
        <v>21</v>
      </c>
      <c r="K13" s="6">
        <v>21</v>
      </c>
      <c r="L13" s="6"/>
      <c r="M13" s="6"/>
    </row>
    <row r="14" spans="1:14">
      <c r="A14" s="6"/>
      <c r="B14" s="5" t="s">
        <v>1131</v>
      </c>
      <c r="C14" s="6"/>
      <c r="D14" s="6"/>
      <c r="E14" s="6"/>
      <c r="F14" s="6">
        <v>10</v>
      </c>
      <c r="G14" s="6">
        <v>13</v>
      </c>
      <c r="H14" s="6">
        <v>18</v>
      </c>
      <c r="I14" s="6">
        <v>18</v>
      </c>
      <c r="J14" s="6">
        <f>+I14</f>
        <v>18</v>
      </c>
      <c r="K14" s="6">
        <f>+J14</f>
        <v>18</v>
      </c>
      <c r="L14" s="6"/>
      <c r="M14" s="6"/>
    </row>
    <row r="15" spans="1:14">
      <c r="A15" s="6"/>
      <c r="B15" s="6"/>
      <c r="C15" s="6" t="s">
        <v>1132</v>
      </c>
      <c r="D15" s="6"/>
      <c r="E15" s="1049">
        <v>40000</v>
      </c>
      <c r="F15" s="6">
        <f>+F13-F14</f>
        <v>0</v>
      </c>
      <c r="G15" s="6">
        <f t="shared" ref="G15:K15" si="0">+G13-G14</f>
        <v>3</v>
      </c>
      <c r="H15" s="6">
        <f t="shared" si="0"/>
        <v>2</v>
      </c>
      <c r="I15" s="6">
        <f t="shared" si="0"/>
        <v>3</v>
      </c>
      <c r="J15" s="6">
        <f t="shared" si="0"/>
        <v>3</v>
      </c>
      <c r="K15" s="6">
        <f t="shared" si="0"/>
        <v>3</v>
      </c>
      <c r="L15" s="6"/>
      <c r="M15" s="6"/>
      <c r="N15" s="6"/>
    </row>
    <row r="16" spans="1:14">
      <c r="A16" s="6"/>
      <c r="B16" s="6"/>
      <c r="C16" s="1048" t="s">
        <v>1133</v>
      </c>
      <c r="D16" s="6"/>
      <c r="E16" s="6"/>
      <c r="F16" s="1046">
        <f t="shared" ref="F16:K16" si="1">+F15*$E$15</f>
        <v>0</v>
      </c>
      <c r="G16" s="1046">
        <f t="shared" si="1"/>
        <v>120000</v>
      </c>
      <c r="H16" s="1046">
        <f t="shared" si="1"/>
        <v>80000</v>
      </c>
      <c r="I16" s="1046">
        <f t="shared" si="1"/>
        <v>120000</v>
      </c>
      <c r="J16" s="1046">
        <f t="shared" si="1"/>
        <v>120000</v>
      </c>
      <c r="K16" s="1046">
        <f t="shared" si="1"/>
        <v>120000</v>
      </c>
      <c r="L16" s="6"/>
      <c r="M16" s="6"/>
      <c r="N16" s="6"/>
    </row>
    <row r="17" spans="1:16">
      <c r="A17" s="6"/>
      <c r="B17" s="6"/>
      <c r="C17" s="6"/>
      <c r="D17" s="6"/>
      <c r="E17" s="6"/>
      <c r="F17" s="6"/>
      <c r="G17" s="6"/>
      <c r="H17" s="6"/>
      <c r="I17" s="6"/>
      <c r="J17" s="6"/>
      <c r="K17" s="6"/>
      <c r="L17" s="6"/>
      <c r="M17" s="6"/>
    </row>
    <row r="18" spans="1:16" ht="30">
      <c r="A18" s="6"/>
      <c r="B18" s="6"/>
      <c r="C18" s="6"/>
      <c r="D18" s="6"/>
      <c r="E18" s="6"/>
      <c r="F18" s="6"/>
      <c r="G18" s="6"/>
      <c r="H18" s="6"/>
      <c r="I18" s="6"/>
      <c r="J18" s="6"/>
      <c r="K18" s="6"/>
      <c r="L18" s="6"/>
      <c r="M18" s="6"/>
      <c r="N18" s="1051" t="s">
        <v>937</v>
      </c>
      <c r="O18" s="1051" t="s">
        <v>938</v>
      </c>
      <c r="P18" s="1051" t="s">
        <v>939</v>
      </c>
    </row>
    <row r="19" spans="1:16" ht="15">
      <c r="A19" s="6"/>
      <c r="B19" s="6"/>
      <c r="C19" s="6"/>
      <c r="D19" s="6"/>
      <c r="E19" s="6"/>
      <c r="F19" s="6"/>
      <c r="G19" s="6"/>
      <c r="H19" s="6"/>
      <c r="I19" s="6"/>
      <c r="J19" s="6"/>
      <c r="K19" s="6"/>
      <c r="L19" s="6"/>
      <c r="M19" s="6"/>
      <c r="N19" s="1051" t="s">
        <v>293</v>
      </c>
      <c r="O19" s="1051" t="s">
        <v>940</v>
      </c>
      <c r="P19" s="1051" t="s">
        <v>941</v>
      </c>
    </row>
    <row r="20" spans="1:16" ht="30">
      <c r="A20" s="6"/>
      <c r="B20" s="6"/>
      <c r="C20" s="6"/>
      <c r="D20" s="6"/>
      <c r="E20" s="6"/>
      <c r="F20" s="6"/>
      <c r="G20" s="6"/>
      <c r="H20" s="6"/>
      <c r="I20" s="6"/>
      <c r="J20" s="6"/>
      <c r="K20" s="6"/>
      <c r="L20" s="6"/>
      <c r="M20" s="6"/>
      <c r="N20" s="1051" t="s">
        <v>84</v>
      </c>
      <c r="O20" s="1051" t="s">
        <v>942</v>
      </c>
      <c r="P20" s="1051" t="s">
        <v>943</v>
      </c>
    </row>
    <row r="21" spans="1:16" ht="15">
      <c r="A21" s="6"/>
      <c r="B21" s="6"/>
      <c r="C21" s="6"/>
      <c r="D21" s="6"/>
      <c r="E21" s="6"/>
      <c r="F21" s="6"/>
      <c r="G21" s="6"/>
      <c r="H21" s="6"/>
      <c r="I21" s="6"/>
      <c r="J21" s="6"/>
      <c r="K21" s="6"/>
      <c r="L21" s="6"/>
      <c r="M21" s="6"/>
      <c r="N21" s="1051" t="s">
        <v>295</v>
      </c>
      <c r="O21" s="1051" t="s">
        <v>944</v>
      </c>
      <c r="P21" s="1051" t="s">
        <v>943</v>
      </c>
    </row>
    <row r="22" spans="1:16" ht="30">
      <c r="A22" s="6"/>
      <c r="B22" s="6"/>
      <c r="C22" s="6"/>
      <c r="D22" s="6"/>
      <c r="H22" s="6"/>
      <c r="I22" s="6"/>
      <c r="J22" s="6"/>
      <c r="K22" s="6"/>
      <c r="L22" s="6"/>
      <c r="M22" s="6"/>
      <c r="N22" s="1051" t="s">
        <v>945</v>
      </c>
      <c r="O22" s="1051" t="s">
        <v>946</v>
      </c>
      <c r="P22" s="1051" t="s">
        <v>947</v>
      </c>
    </row>
    <row r="23" spans="1:16">
      <c r="A23" s="6"/>
      <c r="B23" s="6"/>
      <c r="C23" s="6"/>
      <c r="D23" s="6"/>
      <c r="H23" s="6"/>
      <c r="I23" s="6"/>
      <c r="J23" s="6"/>
      <c r="K23" s="6"/>
      <c r="L23" s="6"/>
      <c r="M23" s="6"/>
      <c r="N23" s="6"/>
    </row>
    <row r="24" spans="1:16">
      <c r="A24" s="6"/>
      <c r="B24" s="6"/>
      <c r="C24" s="6"/>
      <c r="D24" s="6"/>
      <c r="H24" s="6"/>
      <c r="I24" s="6"/>
      <c r="J24" s="6"/>
      <c r="K24" s="6"/>
      <c r="L24" s="6"/>
      <c r="M24" s="6"/>
      <c r="N24" s="6"/>
    </row>
    <row r="25" spans="1:16">
      <c r="A25" s="6"/>
      <c r="B25" s="6"/>
      <c r="C25" s="6"/>
      <c r="D25" s="6"/>
      <c r="H25" s="6"/>
      <c r="I25" s="6"/>
      <c r="J25" s="6"/>
      <c r="K25" s="6"/>
      <c r="L25" s="6"/>
      <c r="M25" s="6"/>
      <c r="N25" s="6"/>
    </row>
    <row r="26" spans="1:16">
      <c r="A26" s="6"/>
      <c r="B26" s="6"/>
      <c r="C26" s="6"/>
      <c r="D26" s="6"/>
      <c r="H26" s="6"/>
      <c r="I26" s="6"/>
      <c r="J26" s="6"/>
      <c r="K26" s="6"/>
      <c r="L26" s="6"/>
      <c r="M26" s="6"/>
      <c r="N26" s="6"/>
    </row>
    <row r="27" spans="1:16">
      <c r="A27" s="6"/>
      <c r="B27" s="6"/>
      <c r="C27" s="6"/>
      <c r="D27" s="6"/>
      <c r="E27" s="6"/>
      <c r="F27" s="6"/>
      <c r="G27" s="6"/>
      <c r="H27" s="6"/>
      <c r="I27" s="6"/>
      <c r="J27" s="6"/>
      <c r="K27" s="6"/>
      <c r="L27" s="6"/>
      <c r="M27" s="6"/>
      <c r="N27" s="6"/>
    </row>
    <row r="28" spans="1:16">
      <c r="A28" s="6"/>
      <c r="B28" s="6"/>
      <c r="C28" s="6"/>
      <c r="D28" s="6"/>
      <c r="E28" s="6"/>
      <c r="F28" s="6"/>
      <c r="G28" s="6"/>
      <c r="H28" s="6"/>
      <c r="I28" s="6"/>
      <c r="J28" s="6"/>
      <c r="K28" s="6"/>
      <c r="L28" s="6"/>
      <c r="M28" s="6"/>
      <c r="N28" s="6"/>
    </row>
    <row r="29" spans="1:16">
      <c r="A29" s="6"/>
      <c r="B29" s="6"/>
      <c r="C29" s="6"/>
      <c r="D29" s="6"/>
      <c r="E29" s="6"/>
      <c r="F29" s="6"/>
      <c r="G29" s="6"/>
      <c r="H29" s="6"/>
      <c r="I29" s="6"/>
      <c r="J29" s="6"/>
      <c r="K29" s="6"/>
      <c r="L29" s="6"/>
      <c r="M29" s="6"/>
      <c r="N29" s="6"/>
    </row>
    <row r="30" spans="1:16">
      <c r="A30" s="6"/>
      <c r="B30" s="6"/>
      <c r="C30" s="6"/>
      <c r="D30" s="6"/>
      <c r="E30" s="6"/>
      <c r="F30" s="6"/>
      <c r="G30" s="6"/>
      <c r="H30" s="6"/>
      <c r="I30" s="6"/>
      <c r="J30" s="6"/>
      <c r="K30" s="6"/>
      <c r="L30" s="6"/>
      <c r="M30" s="6"/>
      <c r="N30" s="6"/>
    </row>
    <row r="31" spans="1:16">
      <c r="A31" s="6"/>
      <c r="B31" s="6"/>
      <c r="C31" s="6"/>
      <c r="D31" s="6"/>
      <c r="E31" s="6"/>
      <c r="F31" s="6"/>
      <c r="G31" s="6"/>
      <c r="H31" s="6"/>
      <c r="I31" s="6"/>
      <c r="J31" s="6"/>
      <c r="K31" s="6"/>
      <c r="L31" s="6"/>
      <c r="M31" s="6"/>
      <c r="N31" s="6"/>
    </row>
    <row r="32" spans="1:16">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row r="45" spans="1:14">
      <c r="A45" s="6"/>
      <c r="B45" s="6"/>
      <c r="C45" s="6"/>
      <c r="D45" s="6"/>
      <c r="E45" s="6"/>
      <c r="F45" s="6"/>
      <c r="G45" s="6"/>
      <c r="H45" s="6"/>
      <c r="I45" s="6"/>
      <c r="J45" s="6"/>
      <c r="K45" s="6"/>
      <c r="L45" s="6"/>
      <c r="M45" s="6"/>
      <c r="N45" s="6"/>
    </row>
    <row r="46" spans="1:14">
      <c r="A46" s="6"/>
      <c r="B46" s="6"/>
      <c r="C46" s="6"/>
      <c r="D46" s="6"/>
      <c r="E46" s="6"/>
      <c r="F46" s="6"/>
      <c r="G46" s="6"/>
      <c r="H46" s="6"/>
      <c r="I46" s="6"/>
      <c r="J46" s="6"/>
      <c r="K46" s="6"/>
      <c r="L46" s="6"/>
      <c r="M46" s="6"/>
      <c r="N46" s="6"/>
    </row>
    <row r="47" spans="1:14">
      <c r="A47" s="6"/>
      <c r="B47" s="6"/>
      <c r="C47" s="6"/>
      <c r="D47" s="6"/>
      <c r="E47" s="6"/>
      <c r="F47" s="6"/>
      <c r="G47" s="6"/>
      <c r="H47" s="6"/>
      <c r="I47" s="6"/>
      <c r="J47" s="6"/>
      <c r="K47" s="6"/>
      <c r="L47" s="6"/>
      <c r="M47" s="6"/>
      <c r="N47" s="6"/>
    </row>
    <row r="48" spans="1:14">
      <c r="A48" s="6"/>
      <c r="B48" s="6"/>
      <c r="C48" s="6"/>
      <c r="D48" s="6"/>
      <c r="E48" s="6"/>
      <c r="F48" s="6"/>
      <c r="G48" s="6"/>
      <c r="H48" s="6"/>
      <c r="I48" s="6"/>
      <c r="J48" s="6"/>
      <c r="K48" s="6"/>
      <c r="L48" s="6"/>
      <c r="M48" s="6"/>
      <c r="N48" s="6"/>
    </row>
    <row r="49" spans="1:14">
      <c r="A49" s="6"/>
      <c r="B49" s="6"/>
      <c r="C49" s="6"/>
      <c r="D49" s="6"/>
      <c r="E49" s="6"/>
      <c r="F49" s="6"/>
      <c r="G49" s="6"/>
      <c r="H49" s="6"/>
      <c r="I49" s="6"/>
      <c r="J49" s="6"/>
      <c r="K49" s="6"/>
      <c r="L49" s="6"/>
      <c r="M49" s="6"/>
      <c r="N49" s="6"/>
    </row>
    <row r="50" spans="1:14">
      <c r="A50" s="6"/>
      <c r="B50" s="6"/>
      <c r="C50" s="6"/>
      <c r="D50" s="6"/>
      <c r="E50" s="6"/>
      <c r="F50" s="6"/>
      <c r="G50" s="6"/>
      <c r="H50" s="6"/>
      <c r="I50" s="6"/>
      <c r="J50" s="6"/>
      <c r="K50" s="6"/>
      <c r="L50" s="6"/>
      <c r="M50" s="6"/>
      <c r="N50" s="6"/>
    </row>
    <row r="51" spans="1:14">
      <c r="A51" s="6"/>
      <c r="B51" s="6"/>
      <c r="C51" s="6"/>
      <c r="D51" s="6"/>
      <c r="E51" s="6"/>
      <c r="F51" s="6"/>
      <c r="G51" s="6"/>
      <c r="H51" s="6"/>
      <c r="I51" s="6"/>
      <c r="J51" s="6"/>
      <c r="K51" s="6"/>
      <c r="L51" s="6"/>
      <c r="M51" s="6"/>
      <c r="N51" s="6"/>
    </row>
    <row r="52" spans="1:14">
      <c r="A52" s="6"/>
      <c r="B52" s="6"/>
      <c r="C52" s="6"/>
      <c r="D52" s="6"/>
      <c r="E52" s="6"/>
      <c r="F52" s="6"/>
      <c r="G52" s="6"/>
      <c r="H52" s="6"/>
      <c r="I52" s="6"/>
      <c r="J52" s="6"/>
      <c r="K52" s="6"/>
      <c r="L52" s="6"/>
      <c r="M52" s="6"/>
      <c r="N52" s="6"/>
    </row>
    <row r="53" spans="1:14">
      <c r="A53" s="6"/>
      <c r="B53" s="6"/>
      <c r="C53" s="6"/>
      <c r="D53" s="6"/>
      <c r="E53" s="6"/>
      <c r="F53" s="6"/>
      <c r="G53" s="6"/>
      <c r="H53" s="6"/>
      <c r="I53" s="6"/>
      <c r="J53" s="6"/>
      <c r="K53" s="6"/>
      <c r="L53" s="6"/>
      <c r="M53" s="6"/>
      <c r="N53" s="6"/>
    </row>
    <row r="54" spans="1:14">
      <c r="A54" s="6"/>
      <c r="B54" s="6"/>
      <c r="C54" s="6"/>
      <c r="D54" s="6"/>
      <c r="E54" s="6"/>
      <c r="F54" s="6"/>
      <c r="G54" s="6"/>
      <c r="H54" s="6"/>
      <c r="I54" s="6"/>
      <c r="J54" s="6"/>
      <c r="K54" s="6"/>
      <c r="L54" s="6"/>
      <c r="M54" s="6"/>
      <c r="N54" s="6"/>
    </row>
    <row r="55" spans="1:14">
      <c r="A55" s="6"/>
      <c r="B55" s="6"/>
      <c r="C55" s="6"/>
      <c r="D55" s="6"/>
      <c r="E55" s="6"/>
      <c r="F55" s="6"/>
      <c r="G55" s="6"/>
      <c r="H55" s="6"/>
      <c r="I55" s="6"/>
      <c r="J55" s="6"/>
      <c r="K55" s="6"/>
      <c r="L55" s="6"/>
      <c r="M55" s="6"/>
      <c r="N55" s="6"/>
    </row>
    <row r="56" spans="1:14">
      <c r="A56" s="6"/>
      <c r="B56" s="6"/>
      <c r="C56" s="6"/>
      <c r="D56" s="6"/>
      <c r="E56" s="6"/>
      <c r="F56" s="6"/>
      <c r="G56" s="6"/>
      <c r="H56" s="6"/>
      <c r="I56" s="6"/>
      <c r="J56" s="6"/>
      <c r="K56" s="6"/>
      <c r="L56" s="6"/>
      <c r="M56" s="6"/>
      <c r="N56" s="6"/>
    </row>
    <row r="57" spans="1:14">
      <c r="A57" s="6"/>
      <c r="B57" s="6"/>
      <c r="C57" s="6"/>
      <c r="D57" s="6"/>
      <c r="E57" s="6"/>
      <c r="F57" s="6"/>
      <c r="G57" s="6"/>
      <c r="H57" s="6"/>
      <c r="I57" s="6"/>
      <c r="J57" s="6"/>
      <c r="K57" s="6"/>
      <c r="L57" s="6"/>
      <c r="M57" s="6"/>
      <c r="N57" s="6"/>
    </row>
    <row r="58" spans="1:14">
      <c r="A58" s="6"/>
      <c r="B58" s="6"/>
      <c r="C58" s="6"/>
      <c r="D58" s="6"/>
      <c r="E58" s="6"/>
      <c r="F58" s="6"/>
      <c r="G58" s="6"/>
      <c r="H58" s="6"/>
      <c r="I58" s="6"/>
      <c r="J58" s="6"/>
      <c r="K58" s="6"/>
      <c r="L58" s="6"/>
      <c r="M58" s="6"/>
      <c r="N58" s="6"/>
    </row>
    <row r="59" spans="1:14">
      <c r="A59" s="6"/>
      <c r="B59" s="6"/>
      <c r="C59" s="6"/>
      <c r="D59" s="6"/>
      <c r="E59" s="6"/>
      <c r="F59" s="6"/>
      <c r="G59" s="6"/>
      <c r="H59" s="6"/>
      <c r="I59" s="6"/>
      <c r="J59" s="6"/>
      <c r="K59" s="6"/>
      <c r="L59" s="6"/>
      <c r="M59" s="6"/>
      <c r="N59" s="6"/>
    </row>
    <row r="60" spans="1:14">
      <c r="A60" s="6"/>
      <c r="B60" s="6"/>
      <c r="C60" s="6"/>
      <c r="D60" s="6"/>
      <c r="E60" s="6"/>
      <c r="F60" s="6"/>
      <c r="G60" s="6"/>
      <c r="H60" s="6"/>
      <c r="I60" s="6"/>
      <c r="J60" s="6"/>
      <c r="K60" s="6"/>
      <c r="L60" s="6"/>
      <c r="M60" s="6"/>
      <c r="N60" s="6"/>
    </row>
    <row r="61" spans="1:14">
      <c r="A61" s="6"/>
      <c r="B61" s="6"/>
      <c r="C61" s="6"/>
      <c r="D61" s="6"/>
      <c r="E61" s="6"/>
      <c r="F61" s="6"/>
      <c r="G61" s="6"/>
      <c r="H61" s="6"/>
      <c r="I61" s="6"/>
      <c r="J61" s="6"/>
      <c r="K61" s="6"/>
      <c r="L61" s="6"/>
      <c r="M61" s="6"/>
      <c r="N61" s="6"/>
    </row>
    <row r="62" spans="1:14">
      <c r="A62" s="6"/>
      <c r="B62" s="6"/>
      <c r="C62" s="6"/>
      <c r="D62" s="6"/>
      <c r="E62" s="6"/>
      <c r="F62" s="6"/>
      <c r="G62" s="6"/>
      <c r="H62" s="6"/>
      <c r="I62" s="6"/>
      <c r="J62" s="6"/>
      <c r="K62" s="6"/>
      <c r="L62" s="6"/>
      <c r="M62" s="6"/>
      <c r="N62" s="6"/>
    </row>
    <row r="63" spans="1:14">
      <c r="A63" s="6"/>
      <c r="B63" s="6"/>
      <c r="C63" s="6"/>
      <c r="D63" s="6"/>
      <c r="E63" s="6"/>
      <c r="F63" s="6"/>
      <c r="G63" s="6"/>
      <c r="H63" s="6"/>
      <c r="I63" s="6"/>
      <c r="J63" s="6"/>
      <c r="K63" s="6"/>
      <c r="L63" s="6"/>
      <c r="M63" s="6"/>
      <c r="N63" s="6"/>
    </row>
    <row r="64" spans="1:14">
      <c r="A64" s="6"/>
      <c r="B64" s="6"/>
      <c r="C64" s="6"/>
      <c r="D64" s="6"/>
      <c r="E64" s="6"/>
      <c r="F64" s="6"/>
      <c r="G64" s="6"/>
      <c r="H64" s="6"/>
      <c r="I64" s="6"/>
      <c r="J64" s="6"/>
      <c r="K64" s="6"/>
      <c r="L64" s="6"/>
      <c r="M64" s="6"/>
      <c r="N64" s="6"/>
    </row>
    <row r="65" spans="1:14">
      <c r="A65" s="6"/>
      <c r="B65" s="6"/>
      <c r="C65" s="6"/>
      <c r="D65" s="6"/>
      <c r="E65" s="6"/>
      <c r="F65" s="6"/>
      <c r="G65" s="6"/>
      <c r="H65" s="6"/>
      <c r="I65" s="6"/>
      <c r="J65" s="6"/>
      <c r="K65" s="6"/>
      <c r="L65" s="6"/>
      <c r="M65" s="6"/>
      <c r="N65" s="6"/>
    </row>
    <row r="66" spans="1:14">
      <c r="A66" s="6"/>
      <c r="B66" s="6"/>
      <c r="C66" s="6"/>
      <c r="D66" s="6"/>
      <c r="E66" s="6"/>
      <c r="F66" s="6"/>
      <c r="G66" s="6"/>
      <c r="H66" s="6"/>
      <c r="I66" s="6"/>
      <c r="J66" s="6"/>
      <c r="K66" s="6"/>
      <c r="L66" s="6"/>
      <c r="M66" s="6"/>
      <c r="N66" s="6"/>
    </row>
    <row r="67" spans="1:14">
      <c r="A67" s="6"/>
      <c r="B67" s="6"/>
      <c r="C67" s="6"/>
      <c r="D67" s="6"/>
      <c r="E67" s="6"/>
      <c r="F67" s="6"/>
      <c r="G67" s="6"/>
      <c r="H67" s="6"/>
      <c r="I67" s="6"/>
      <c r="J67" s="6"/>
      <c r="K67" s="6"/>
      <c r="L67" s="6"/>
      <c r="M67" s="6"/>
      <c r="N67" s="6"/>
    </row>
    <row r="68" spans="1:14">
      <c r="A68" s="6"/>
      <c r="B68" s="6"/>
      <c r="C68" s="6"/>
      <c r="D68" s="6"/>
      <c r="E68" s="6"/>
      <c r="F68" s="6"/>
      <c r="G68" s="6"/>
      <c r="H68" s="6"/>
      <c r="I68" s="6"/>
      <c r="J68" s="6"/>
      <c r="K68" s="6"/>
      <c r="L68" s="6"/>
      <c r="M68" s="6"/>
      <c r="N68" s="6"/>
    </row>
    <row r="69" spans="1:14">
      <c r="A69" s="6"/>
      <c r="B69" s="6"/>
      <c r="C69" s="6"/>
      <c r="D69" s="6"/>
      <c r="E69" s="6"/>
      <c r="F69" s="6"/>
      <c r="G69" s="6"/>
      <c r="H69" s="6"/>
      <c r="I69" s="6"/>
      <c r="J69" s="6"/>
      <c r="K69" s="6"/>
      <c r="L69" s="6"/>
      <c r="M69" s="6"/>
      <c r="N69" s="6"/>
    </row>
    <row r="70" spans="1:14">
      <c r="A70" s="6"/>
      <c r="B70" s="6"/>
      <c r="C70" s="6"/>
      <c r="D70" s="6"/>
      <c r="E70" s="6"/>
      <c r="F70" s="6"/>
      <c r="G70" s="6"/>
      <c r="H70" s="6"/>
      <c r="I70" s="6"/>
      <c r="J70" s="6"/>
      <c r="K70" s="6"/>
      <c r="L70" s="6"/>
      <c r="M70" s="6"/>
      <c r="N70" s="6"/>
    </row>
    <row r="71" spans="1:14">
      <c r="A71" s="6"/>
      <c r="B71" s="6"/>
      <c r="C71" s="6"/>
      <c r="D71" s="6"/>
      <c r="E71" s="6"/>
      <c r="F71" s="6"/>
      <c r="G71" s="6"/>
      <c r="H71" s="6"/>
      <c r="I71" s="6"/>
      <c r="J71" s="6"/>
      <c r="K71" s="6"/>
      <c r="L71" s="6"/>
      <c r="M71" s="6"/>
      <c r="N71" s="6"/>
    </row>
    <row r="72" spans="1:14">
      <c r="A72" s="6"/>
      <c r="B72" s="6"/>
      <c r="C72" s="6"/>
      <c r="D72" s="6"/>
      <c r="E72" s="6"/>
      <c r="F72" s="6"/>
      <c r="G72" s="6"/>
      <c r="H72" s="6"/>
      <c r="I72" s="6"/>
      <c r="J72" s="6"/>
      <c r="K72" s="6"/>
      <c r="L72" s="6"/>
      <c r="M72" s="6"/>
      <c r="N72" s="6"/>
    </row>
    <row r="73" spans="1:14">
      <c r="A73" s="6"/>
      <c r="B73" s="6"/>
      <c r="C73" s="6"/>
      <c r="D73" s="6"/>
      <c r="E73" s="6"/>
      <c r="F73" s="6"/>
      <c r="G73" s="6"/>
      <c r="H73" s="6"/>
      <c r="I73" s="6"/>
      <c r="J73" s="6"/>
      <c r="K73" s="6"/>
      <c r="L73" s="6"/>
      <c r="M73" s="6"/>
      <c r="N73" s="6"/>
    </row>
    <row r="74" spans="1:14">
      <c r="A74" s="6"/>
      <c r="B74" s="6"/>
      <c r="C74" s="6"/>
      <c r="D74" s="6"/>
      <c r="E74" s="6"/>
      <c r="F74" s="6"/>
      <c r="G74" s="6"/>
      <c r="H74" s="6"/>
      <c r="I74" s="6"/>
      <c r="J74" s="6"/>
      <c r="K74" s="6"/>
      <c r="L74" s="6"/>
      <c r="M74" s="6"/>
      <c r="N74" s="6"/>
    </row>
    <row r="75" spans="1:14">
      <c r="A75" s="6"/>
      <c r="B75" s="6"/>
      <c r="C75" s="6"/>
      <c r="D75" s="6"/>
      <c r="E75" s="6"/>
      <c r="F75" s="6"/>
      <c r="G75" s="6"/>
      <c r="H75" s="6"/>
      <c r="I75" s="6"/>
      <c r="J75" s="6"/>
      <c r="K75" s="6"/>
      <c r="L75" s="6"/>
      <c r="M75" s="6"/>
      <c r="N75" s="6"/>
    </row>
    <row r="76" spans="1:14">
      <c r="A76" s="6"/>
      <c r="B76" s="6"/>
      <c r="C76" s="6"/>
      <c r="D76" s="6"/>
      <c r="E76" s="6"/>
      <c r="F76" s="6"/>
      <c r="G76" s="6"/>
      <c r="H76" s="6"/>
      <c r="I76" s="6"/>
      <c r="J76" s="6"/>
      <c r="K76" s="6"/>
      <c r="L76" s="6"/>
      <c r="M76" s="6"/>
      <c r="N76" s="6"/>
    </row>
    <row r="77" spans="1:14">
      <c r="A77" s="6"/>
      <c r="B77" s="6"/>
      <c r="C77" s="6"/>
      <c r="D77" s="6"/>
      <c r="E77" s="6"/>
      <c r="F77" s="6"/>
      <c r="G77" s="6"/>
      <c r="H77" s="6"/>
      <c r="I77" s="6"/>
      <c r="J77" s="6"/>
      <c r="K77" s="6"/>
      <c r="L77" s="6"/>
      <c r="M77" s="6"/>
      <c r="N77" s="6"/>
    </row>
    <row r="78" spans="1:14">
      <c r="A78" s="6"/>
      <c r="B78" s="6"/>
      <c r="C78" s="6"/>
      <c r="D78" s="6"/>
      <c r="E78" s="6"/>
      <c r="F78" s="6"/>
      <c r="G78" s="6"/>
      <c r="H78" s="6"/>
      <c r="I78" s="6"/>
      <c r="J78" s="6"/>
      <c r="K78" s="6"/>
      <c r="L78" s="6"/>
      <c r="M78" s="6"/>
      <c r="N78" s="6"/>
    </row>
    <row r="79" spans="1:14">
      <c r="A79" s="6"/>
      <c r="B79" s="6"/>
      <c r="C79" s="6"/>
      <c r="D79" s="6"/>
      <c r="E79" s="6"/>
      <c r="F79" s="6"/>
      <c r="G79" s="6"/>
      <c r="H79" s="6"/>
      <c r="I79" s="6"/>
      <c r="J79" s="6"/>
      <c r="K79" s="6"/>
      <c r="L79" s="6"/>
      <c r="M79" s="6"/>
      <c r="N79" s="6"/>
    </row>
    <row r="80" spans="1:14">
      <c r="A80" s="6"/>
      <c r="B80" s="6"/>
      <c r="C80" s="6"/>
      <c r="D80" s="6"/>
      <c r="E80" s="6"/>
      <c r="F80" s="6"/>
      <c r="G80" s="6"/>
      <c r="H80" s="6"/>
      <c r="I80" s="6"/>
      <c r="J80" s="6"/>
      <c r="K80" s="6"/>
      <c r="L80" s="6"/>
      <c r="M80" s="6"/>
      <c r="N80" s="6"/>
    </row>
    <row r="81" spans="1:14">
      <c r="A81" s="6"/>
      <c r="B81" s="6"/>
      <c r="C81" s="6"/>
      <c r="D81" s="6"/>
      <c r="E81" s="6"/>
      <c r="F81" s="6"/>
      <c r="G81" s="6"/>
      <c r="H81" s="6"/>
      <c r="I81" s="6"/>
      <c r="J81" s="6"/>
      <c r="K81" s="6"/>
      <c r="L81" s="6"/>
      <c r="M81" s="6"/>
      <c r="N81" s="6"/>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theme="0" tint="-0.34998626667073579"/>
  </sheetPr>
  <dimension ref="A1:I39"/>
  <sheetViews>
    <sheetView zoomScale="56" zoomScaleNormal="145" workbookViewId="0">
      <selection activeCell="G11" sqref="G11"/>
    </sheetView>
  </sheetViews>
  <sheetFormatPr defaultRowHeight="14.4"/>
  <cols>
    <col min="1" max="1" width="27.6640625" customWidth="1"/>
    <col min="2" max="2" width="13.5546875" customWidth="1"/>
    <col min="3" max="3" width="11.5546875" bestFit="1" customWidth="1"/>
    <col min="4" max="9" width="14.44140625" bestFit="1" customWidth="1"/>
  </cols>
  <sheetData>
    <row r="1" spans="1:9" ht="15.6">
      <c r="A1" s="20" t="s">
        <v>1134</v>
      </c>
      <c r="I1" s="346" t="s">
        <v>1</v>
      </c>
    </row>
    <row r="2" spans="1:9" ht="15.6">
      <c r="A2" s="1310" t="str">
        <f>SchoolName</f>
        <v>Game Changers Sports Academy</v>
      </c>
    </row>
    <row r="3" spans="1:9">
      <c r="A3" s="316" t="s">
        <v>0</v>
      </c>
    </row>
    <row r="4" spans="1:9">
      <c r="A4" s="317" t="str">
        <f ca="1">CELL("filename")</f>
        <v>https://myccmortgage-my.sharepoint.com/personal/dolly_alexander_myccmortgage_com/Documents/Documents/GCSA Hylo Park/[Attachment 24 Financial Budget Template.xlsx]Cover &amp; Loc</v>
      </c>
    </row>
    <row r="5" spans="1:9">
      <c r="A5" s="32"/>
      <c r="B5" s="32"/>
      <c r="C5" s="31"/>
      <c r="D5" s="30"/>
      <c r="E5" s="32"/>
      <c r="F5" s="32"/>
      <c r="G5" s="32"/>
      <c r="H5" s="32"/>
      <c r="I5" s="32"/>
    </row>
    <row r="6" spans="1:9">
      <c r="A6" s="32"/>
      <c r="B6" s="32"/>
      <c r="C6" s="622">
        <f>' Enrol &amp; Rev'!F9</f>
        <v>0</v>
      </c>
      <c r="D6" s="651">
        <f>' Enrol &amp; Rev'!G9</f>
        <v>1</v>
      </c>
      <c r="E6" s="651">
        <f>' Enrol &amp; Rev'!H9</f>
        <v>2</v>
      </c>
      <c r="F6" s="651">
        <f>' Enrol &amp; Rev'!I9</f>
        <v>3</v>
      </c>
      <c r="G6" s="651">
        <f>' Enrol &amp; Rev'!J9</f>
        <v>4</v>
      </c>
      <c r="H6" s="651">
        <f>' Enrol &amp; Rev'!K9</f>
        <v>5</v>
      </c>
      <c r="I6" s="652">
        <f>' Enrol &amp; Rev'!L9</f>
        <v>6</v>
      </c>
    </row>
    <row r="7" spans="1:9" ht="15.6">
      <c r="A7" s="32"/>
      <c r="B7" s="32"/>
      <c r="C7" s="653">
        <f>' Enrol &amp; Rev'!F10</f>
        <v>2025</v>
      </c>
      <c r="D7" s="642">
        <f>' Enrol &amp; Rev'!G10</f>
        <v>2026</v>
      </c>
      <c r="E7" s="643">
        <f>' Enrol &amp; Rev'!H10</f>
        <v>2027</v>
      </c>
      <c r="F7" s="643">
        <f>' Enrol &amp; Rev'!I10</f>
        <v>2028</v>
      </c>
      <c r="G7" s="643">
        <f>' Enrol &amp; Rev'!J10</f>
        <v>2029</v>
      </c>
      <c r="H7" s="643">
        <f>' Enrol &amp; Rev'!K10</f>
        <v>2030</v>
      </c>
      <c r="I7" s="644">
        <f>' Enrol &amp; Rev'!L10</f>
        <v>2031</v>
      </c>
    </row>
    <row r="8" spans="1:9" ht="15.6">
      <c r="A8" s="978"/>
      <c r="B8" s="979" t="s">
        <v>244</v>
      </c>
      <c r="C8" s="654">
        <f>' Enrol &amp; Rev'!F11</f>
        <v>2026</v>
      </c>
      <c r="D8" s="639">
        <f>' Enrol &amp; Rev'!G11</f>
        <v>2027</v>
      </c>
      <c r="E8" s="640">
        <f>' Enrol &amp; Rev'!H11</f>
        <v>2028</v>
      </c>
      <c r="F8" s="640">
        <f>' Enrol &amp; Rev'!I11</f>
        <v>2029</v>
      </c>
      <c r="G8" s="640">
        <f>' Enrol &amp; Rev'!J11</f>
        <v>2030</v>
      </c>
      <c r="H8" s="640">
        <f>' Enrol &amp; Rev'!K11</f>
        <v>2031</v>
      </c>
      <c r="I8" s="641">
        <f>' Enrol &amp; Rev'!L11</f>
        <v>2032</v>
      </c>
    </row>
    <row r="9" spans="1:9">
      <c r="A9" t="s">
        <v>735</v>
      </c>
      <c r="B9" s="4">
        <f>SUM(C9:I9)</f>
        <v>2510</v>
      </c>
      <c r="C9" s="4" t="s">
        <v>1135</v>
      </c>
      <c r="D9" s="4">
        <f>' Enrol &amp; Rev'!G36</f>
        <v>230</v>
      </c>
      <c r="E9" s="4">
        <f>' Enrol &amp; Rev'!H36</f>
        <v>310</v>
      </c>
      <c r="F9" s="4">
        <f>' Enrol &amp; Rev'!I36</f>
        <v>390</v>
      </c>
      <c r="G9" s="4">
        <f>' Enrol &amp; Rev'!J36</f>
        <v>470</v>
      </c>
      <c r="H9" s="4">
        <f>' Enrol &amp; Rev'!K36</f>
        <v>550</v>
      </c>
      <c r="I9" s="4">
        <f>' Enrol &amp; Rev'!L36</f>
        <v>560</v>
      </c>
    </row>
    <row r="10" spans="1:9">
      <c r="A10" t="s">
        <v>440</v>
      </c>
      <c r="B10" s="423">
        <f>SUM(C10:I10)</f>
        <v>27647590.027435001</v>
      </c>
      <c r="C10" s="423">
        <f>' Enrol &amp; Rev'!F145</f>
        <v>0</v>
      </c>
      <c r="D10" s="423">
        <f>' Enrol &amp; Rev'!G145</f>
        <v>2405997.25</v>
      </c>
      <c r="E10" s="423">
        <f>' Enrol &amp; Rev'!H145</f>
        <v>3392920.8001589999</v>
      </c>
      <c r="F10" s="423">
        <f>' Enrol &amp; Rev'!I145</f>
        <v>4291461.1828230005</v>
      </c>
      <c r="G10" s="423">
        <f>' Enrol &amp; Rev'!J145</f>
        <v>5190001.5654870002</v>
      </c>
      <c r="H10" s="423">
        <f>' Enrol &amp; Rev'!K145</f>
        <v>6088541.9481509998</v>
      </c>
      <c r="I10" s="423">
        <f>' Enrol &amp; Rev'!L145</f>
        <v>6278667.2808150006</v>
      </c>
    </row>
    <row r="11" spans="1:9">
      <c r="A11" t="s">
        <v>736</v>
      </c>
      <c r="B11" s="424">
        <f>IFERROR(B10/B9,0)</f>
        <v>11014.976106547809</v>
      </c>
      <c r="C11" s="424"/>
      <c r="D11" s="424">
        <f>IFERROR(D10/D9,0)</f>
        <v>10460.857608695653</v>
      </c>
      <c r="E11" s="424">
        <f t="shared" ref="E11:I11" si="0">IFERROR(E10/E9,0)</f>
        <v>10944.905806964516</v>
      </c>
      <c r="F11" s="424">
        <f t="shared" si="0"/>
        <v>11003.746622623079</v>
      </c>
      <c r="G11" s="424">
        <f t="shared" si="0"/>
        <v>11042.556522312767</v>
      </c>
      <c r="H11" s="424">
        <f t="shared" si="0"/>
        <v>11070.076269365454</v>
      </c>
      <c r="I11" s="424">
        <f t="shared" si="0"/>
        <v>11211.905858598215</v>
      </c>
    </row>
    <row r="12" spans="1:9">
      <c r="A12" t="s">
        <v>1136</v>
      </c>
      <c r="B12" s="424">
        <f>SUM(C12:I12)</f>
        <v>12380788.61184779</v>
      </c>
      <c r="C12" s="423">
        <f>Staff!G43</f>
        <v>0</v>
      </c>
      <c r="D12" s="423">
        <f>Staff!H43</f>
        <v>1153645.23</v>
      </c>
      <c r="E12" s="423">
        <f>Staff!I43</f>
        <v>1749062.9550000001</v>
      </c>
      <c r="F12" s="423">
        <f>Staff!J43</f>
        <v>2028835.7324999999</v>
      </c>
      <c r="G12" s="423">
        <f>Staff!K43</f>
        <v>2428492.1113499999</v>
      </c>
      <c r="H12" s="423">
        <f>Staff!L43</f>
        <v>2509643.2119889501</v>
      </c>
      <c r="I12" s="423">
        <f>Staff!M43</f>
        <v>2511109.3710088395</v>
      </c>
    </row>
    <row r="13" spans="1:9">
      <c r="A13" t="s">
        <v>1137</v>
      </c>
      <c r="B13" s="424">
        <f>IFERROR(B12/B9,0)</f>
        <v>4932.585104321829</v>
      </c>
      <c r="C13" s="424"/>
      <c r="D13" s="424">
        <f>IFERROR(D12/D9,0)</f>
        <v>5015.8488260869563</v>
      </c>
      <c r="E13" s="424">
        <f t="shared" ref="E13:I13" si="1">IFERROR(E12/E9,0)</f>
        <v>5642.138564516129</v>
      </c>
      <c r="F13" s="424">
        <f t="shared" si="1"/>
        <v>5202.1429038461538</v>
      </c>
      <c r="G13" s="424">
        <f t="shared" si="1"/>
        <v>5167.0044922340421</v>
      </c>
      <c r="H13" s="424">
        <f t="shared" si="1"/>
        <v>4562.9876581617273</v>
      </c>
      <c r="I13" s="424">
        <f t="shared" si="1"/>
        <v>4484.1238768014991</v>
      </c>
    </row>
    <row r="14" spans="1:9">
      <c r="A14" t="s">
        <v>448</v>
      </c>
      <c r="B14" s="424">
        <f>B10-B12</f>
        <v>15266801.415587211</v>
      </c>
      <c r="C14" s="424">
        <f t="shared" ref="C14:I14" si="2">C10-C12</f>
        <v>0</v>
      </c>
      <c r="D14" s="424">
        <f t="shared" si="2"/>
        <v>1252352.02</v>
      </c>
      <c r="E14" s="424">
        <f t="shared" si="2"/>
        <v>1643857.8451589998</v>
      </c>
      <c r="F14" s="424">
        <f t="shared" si="2"/>
        <v>2262625.4503230006</v>
      </c>
      <c r="G14" s="424">
        <f t="shared" si="2"/>
        <v>2761509.4541370003</v>
      </c>
      <c r="H14" s="424">
        <f t="shared" si="2"/>
        <v>3578898.7361620497</v>
      </c>
      <c r="I14" s="424">
        <f t="shared" si="2"/>
        <v>3767557.9098061612</v>
      </c>
    </row>
    <row r="15" spans="1:9" ht="30" customHeight="1">
      <c r="A15" s="309" t="s">
        <v>1138</v>
      </c>
      <c r="B15" s="424">
        <f>IFERROR(B14/B9,0)</f>
        <v>6082.3910022259806</v>
      </c>
      <c r="C15" s="424"/>
      <c r="D15" s="424">
        <f>IFERROR(D14/D9,0)</f>
        <v>5445.0087826086956</v>
      </c>
      <c r="E15" s="424">
        <f t="shared" ref="E15:I15" si="3">IFERROR(E14/E9,0)</f>
        <v>5302.7672424483862</v>
      </c>
      <c r="F15" s="424">
        <f t="shared" si="3"/>
        <v>5801.6037187769243</v>
      </c>
      <c r="G15" s="424">
        <f t="shared" si="3"/>
        <v>5875.5520300787239</v>
      </c>
      <c r="H15" s="424">
        <f t="shared" si="3"/>
        <v>6507.0886112037269</v>
      </c>
      <c r="I15" s="424">
        <f t="shared" si="3"/>
        <v>6727.7819817967165</v>
      </c>
    </row>
    <row r="16" spans="1:9">
      <c r="A16" t="s">
        <v>1139</v>
      </c>
      <c r="B16" s="424">
        <f>SUM(C16:I16)</f>
        <v>471300</v>
      </c>
      <c r="C16" s="423">
        <f>'Gen Optg'!F201</f>
        <v>0</v>
      </c>
      <c r="D16" s="423">
        <f>'Gen Optg'!G201</f>
        <v>92300</v>
      </c>
      <c r="E16" s="423">
        <f>'Gen Optg'!H201</f>
        <v>71800</v>
      </c>
      <c r="F16" s="423">
        <f>'Gen Optg'!I201</f>
        <v>71800</v>
      </c>
      <c r="G16" s="423">
        <f>'Gen Optg'!J201</f>
        <v>81800</v>
      </c>
      <c r="H16" s="423">
        <f>'Gen Optg'!K201</f>
        <v>74300</v>
      </c>
      <c r="I16" s="423">
        <f>'Gen Optg'!L201</f>
        <v>79300</v>
      </c>
    </row>
    <row r="17" spans="1:9">
      <c r="A17" t="s">
        <v>1140</v>
      </c>
      <c r="B17" s="424">
        <f>IFERROR(B16/B9,0)</f>
        <v>187.76892430278883</v>
      </c>
      <c r="C17" s="424"/>
      <c r="D17" s="424">
        <f>IFERROR(D16/D9,0)</f>
        <v>401.30434782608694</v>
      </c>
      <c r="E17" s="424">
        <f t="shared" ref="E17:I17" si="4">IFERROR(E16/E9,0)</f>
        <v>231.61290322580646</v>
      </c>
      <c r="F17" s="424">
        <f t="shared" si="4"/>
        <v>184.10256410256412</v>
      </c>
      <c r="G17" s="424">
        <f t="shared" si="4"/>
        <v>174.04255319148936</v>
      </c>
      <c r="H17" s="424">
        <f t="shared" si="4"/>
        <v>135.09090909090909</v>
      </c>
      <c r="I17" s="424">
        <f t="shared" si="4"/>
        <v>141.60714285714286</v>
      </c>
    </row>
    <row r="18" spans="1:9">
      <c r="A18" t="s">
        <v>609</v>
      </c>
      <c r="B18" s="424">
        <f>B10-B16</f>
        <v>27176290.027435001</v>
      </c>
      <c r="C18" s="424">
        <f t="shared" ref="C18:I18" si="5">C10-C16</f>
        <v>0</v>
      </c>
      <c r="D18" s="424">
        <f t="shared" si="5"/>
        <v>2313697.25</v>
      </c>
      <c r="E18" s="424">
        <f t="shared" si="5"/>
        <v>3321120.8001589999</v>
      </c>
      <c r="F18" s="424">
        <f t="shared" si="5"/>
        <v>4219661.1828230005</v>
      </c>
      <c r="G18" s="424">
        <f t="shared" si="5"/>
        <v>5108201.5654870002</v>
      </c>
      <c r="H18" s="424">
        <f t="shared" si="5"/>
        <v>6014241.9481509998</v>
      </c>
      <c r="I18" s="424">
        <f t="shared" si="5"/>
        <v>6199367.2808150006</v>
      </c>
    </row>
    <row r="19" spans="1:9" ht="31.5" customHeight="1">
      <c r="A19" s="2" t="s">
        <v>610</v>
      </c>
      <c r="B19" s="424">
        <f>IFERROR(B18/B9,0)</f>
        <v>10827.20718224502</v>
      </c>
      <c r="C19" s="424"/>
      <c r="D19" s="424">
        <f>IFERROR(D18/D9,0)</f>
        <v>10059.553260869565</v>
      </c>
      <c r="E19" s="424">
        <f t="shared" ref="E19:I19" si="6">IFERROR(E18/E9,0)</f>
        <v>10713.292903738709</v>
      </c>
      <c r="F19" s="424">
        <f t="shared" si="6"/>
        <v>10819.644058520515</v>
      </c>
      <c r="G19" s="424">
        <f t="shared" si="6"/>
        <v>10868.513969121277</v>
      </c>
      <c r="H19" s="424">
        <f t="shared" si="6"/>
        <v>10934.985360274544</v>
      </c>
      <c r="I19" s="424">
        <f t="shared" si="6"/>
        <v>11070.298715741073</v>
      </c>
    </row>
    <row r="20" spans="1:9">
      <c r="A20" t="s">
        <v>1141</v>
      </c>
      <c r="B20" s="424">
        <f>SUM(C20:I20)</f>
        <v>3725816.0933567998</v>
      </c>
      <c r="C20" s="423">
        <f>Facilities!F76</f>
        <v>0</v>
      </c>
      <c r="D20" s="423">
        <f>Facilities!G76</f>
        <v>576002</v>
      </c>
      <c r="E20" s="423">
        <f>Facilities!H76</f>
        <v>593282</v>
      </c>
      <c r="F20" s="423">
        <f>Facilities!I76</f>
        <v>611080.39999999991</v>
      </c>
      <c r="G20" s="423">
        <f>Facilities!J76</f>
        <v>629412.75199999998</v>
      </c>
      <c r="H20" s="423">
        <f>Facilities!K76</f>
        <v>648295.07455999998</v>
      </c>
      <c r="I20" s="423">
        <f>Facilities!L76</f>
        <v>667743.86679680005</v>
      </c>
    </row>
    <row r="21" spans="1:9">
      <c r="A21" t="s">
        <v>1142</v>
      </c>
      <c r="B21" s="424">
        <f>IFERROR(B20/B9,0)</f>
        <v>1484.388881815458</v>
      </c>
      <c r="C21" s="424"/>
      <c r="D21" s="424">
        <f t="shared" ref="D21:I21" si="7">IFERROR(D20/D9,0)</f>
        <v>2504.3565217391306</v>
      </c>
      <c r="E21" s="424">
        <f t="shared" si="7"/>
        <v>1913.8129032258064</v>
      </c>
      <c r="F21" s="424">
        <f t="shared" si="7"/>
        <v>1566.8728205128202</v>
      </c>
      <c r="G21" s="424">
        <f t="shared" si="7"/>
        <v>1339.1760680851064</v>
      </c>
      <c r="H21" s="424">
        <f t="shared" si="7"/>
        <v>1178.7183173818182</v>
      </c>
      <c r="I21" s="424">
        <f t="shared" si="7"/>
        <v>1192.3997621371429</v>
      </c>
    </row>
    <row r="22" spans="1:9">
      <c r="A22" t="s">
        <v>1143</v>
      </c>
      <c r="B22" s="424">
        <f>B10-B20</f>
        <v>23921773.934078202</v>
      </c>
      <c r="C22" s="424">
        <f t="shared" ref="C22:I22" si="8">C10-C20</f>
        <v>0</v>
      </c>
      <c r="D22" s="424">
        <f t="shared" si="8"/>
        <v>1829995.25</v>
      </c>
      <c r="E22" s="424">
        <f t="shared" si="8"/>
        <v>2799638.8001589999</v>
      </c>
      <c r="F22" s="424">
        <f t="shared" si="8"/>
        <v>3680380.7828230006</v>
      </c>
      <c r="G22" s="424">
        <f t="shared" si="8"/>
        <v>4560588.8134869998</v>
      </c>
      <c r="H22" s="424">
        <f t="shared" si="8"/>
        <v>5440246.8735910002</v>
      </c>
      <c r="I22" s="424">
        <f t="shared" si="8"/>
        <v>5610923.4140182007</v>
      </c>
    </row>
    <row r="23" spans="1:9" ht="30.75" customHeight="1">
      <c r="A23" s="2" t="s">
        <v>1144</v>
      </c>
      <c r="B23" s="424">
        <f>IFERROR(B22/B9,0)</f>
        <v>9530.5872247323514</v>
      </c>
      <c r="C23" s="424"/>
      <c r="D23" s="424">
        <f t="shared" ref="D23:I23" si="9">IFERROR(D22/D9,0)</f>
        <v>7956.5010869565222</v>
      </c>
      <c r="E23" s="424">
        <f t="shared" si="9"/>
        <v>9031.0929037387086</v>
      </c>
      <c r="F23" s="424">
        <f t="shared" si="9"/>
        <v>9436.8738021102581</v>
      </c>
      <c r="G23" s="424">
        <f t="shared" si="9"/>
        <v>9703.3804542276594</v>
      </c>
      <c r="H23" s="424">
        <f t="shared" si="9"/>
        <v>9891.3579519836367</v>
      </c>
      <c r="I23" s="424">
        <f t="shared" si="9"/>
        <v>10019.506096461073</v>
      </c>
    </row>
    <row r="24" spans="1:9">
      <c r="A24" t="s">
        <v>737</v>
      </c>
      <c r="B24" s="424">
        <f>SUM(C24:I24)</f>
        <v>701600</v>
      </c>
      <c r="C24" s="423">
        <f>'FFE&amp;T'!F43</f>
        <v>0</v>
      </c>
      <c r="D24" s="423">
        <f>'FFE&amp;T'!G43</f>
        <v>237350</v>
      </c>
      <c r="E24" s="423">
        <f>'FFE&amp;T'!H43</f>
        <v>110430</v>
      </c>
      <c r="F24" s="423">
        <f>'FFE&amp;T'!I43</f>
        <v>95810</v>
      </c>
      <c r="G24" s="423">
        <f>'FFE&amp;T'!J43</f>
        <v>101190</v>
      </c>
      <c r="H24" s="423">
        <f>'FFE&amp;T'!K43</f>
        <v>94570</v>
      </c>
      <c r="I24" s="423">
        <f>'FFE&amp;T'!L43</f>
        <v>62250</v>
      </c>
    </row>
    <row r="25" spans="1:9">
      <c r="A25" t="s">
        <v>738</v>
      </c>
      <c r="B25" s="424">
        <f>IFERROR(B24/B9,0)</f>
        <v>279.52191235059763</v>
      </c>
      <c r="C25" s="424"/>
      <c r="D25" s="424">
        <f t="shared" ref="D25:I25" si="10">IFERROR(D24/D9,0)</f>
        <v>1031.9565217391305</v>
      </c>
      <c r="E25" s="424">
        <f t="shared" si="10"/>
        <v>356.22580645161293</v>
      </c>
      <c r="F25" s="424">
        <f t="shared" si="10"/>
        <v>245.66666666666666</v>
      </c>
      <c r="G25" s="424">
        <f t="shared" si="10"/>
        <v>215.29787234042553</v>
      </c>
      <c r="H25" s="424">
        <f t="shared" si="10"/>
        <v>171.94545454545454</v>
      </c>
      <c r="I25" s="424">
        <f t="shared" si="10"/>
        <v>111.16071428571429</v>
      </c>
    </row>
    <row r="26" spans="1:9">
      <c r="A26" t="s">
        <v>739</v>
      </c>
      <c r="B26" s="424">
        <f>B10-B24</f>
        <v>26945990.027435001</v>
      </c>
      <c r="C26" s="424">
        <f t="shared" ref="C26:I26" si="11">C10-C24</f>
        <v>0</v>
      </c>
      <c r="D26" s="424">
        <f t="shared" si="11"/>
        <v>2168647.25</v>
      </c>
      <c r="E26" s="424">
        <f t="shared" si="11"/>
        <v>3282490.8001589999</v>
      </c>
      <c r="F26" s="424">
        <f t="shared" si="11"/>
        <v>4195651.1828230005</v>
      </c>
      <c r="G26" s="424">
        <f t="shared" si="11"/>
        <v>5088811.5654870002</v>
      </c>
      <c r="H26" s="424">
        <f t="shared" si="11"/>
        <v>5993971.9481509998</v>
      </c>
      <c r="I26" s="424">
        <f t="shared" si="11"/>
        <v>6216417.2808150006</v>
      </c>
    </row>
    <row r="27" spans="1:9" ht="30.75" customHeight="1">
      <c r="A27" s="2" t="s">
        <v>740</v>
      </c>
      <c r="B27" s="424">
        <f>IFERROR(B26/B9,0)</f>
        <v>10735.454194197211</v>
      </c>
      <c r="C27" s="424"/>
      <c r="D27" s="424">
        <f t="shared" ref="D27:I27" si="12">IFERROR(D26/D9,0)</f>
        <v>9428.9010869565209</v>
      </c>
      <c r="E27" s="424">
        <f t="shared" si="12"/>
        <v>10588.680000512903</v>
      </c>
      <c r="F27" s="424">
        <f t="shared" si="12"/>
        <v>10758.079955956411</v>
      </c>
      <c r="G27" s="424">
        <f t="shared" si="12"/>
        <v>10827.25864997234</v>
      </c>
      <c r="H27" s="424">
        <f t="shared" si="12"/>
        <v>10898.130814820001</v>
      </c>
      <c r="I27" s="424">
        <f t="shared" si="12"/>
        <v>11100.745144312501</v>
      </c>
    </row>
    <row r="28" spans="1:9">
      <c r="A28" t="s">
        <v>1145</v>
      </c>
      <c r="B28" s="424">
        <f>SUM(C28:I28)</f>
        <v>0</v>
      </c>
      <c r="C28" s="423">
        <f>'Gen Optg'!F181</f>
        <v>0</v>
      </c>
      <c r="D28" s="423">
        <f>'Gen Optg'!G181</f>
        <v>0</v>
      </c>
      <c r="E28" s="423">
        <f>'Gen Optg'!H181</f>
        <v>0</v>
      </c>
      <c r="F28" s="423">
        <f>'Gen Optg'!I181</f>
        <v>0</v>
      </c>
      <c r="G28" s="423">
        <f>'Gen Optg'!J181</f>
        <v>0</v>
      </c>
      <c r="H28" s="423">
        <f>'Gen Optg'!K181</f>
        <v>0</v>
      </c>
      <c r="I28" s="423">
        <f>'Gen Optg'!L181</f>
        <v>0</v>
      </c>
    </row>
    <row r="29" spans="1:9">
      <c r="A29" t="s">
        <v>1146</v>
      </c>
      <c r="B29" s="424">
        <f>IFERROR(B28/B9,0)</f>
        <v>0</v>
      </c>
      <c r="C29" s="424"/>
      <c r="D29" s="424">
        <f t="shared" ref="D29:I29" si="13">IFERROR(D28/D9,0)</f>
        <v>0</v>
      </c>
      <c r="E29" s="424">
        <f t="shared" si="13"/>
        <v>0</v>
      </c>
      <c r="F29" s="424">
        <f t="shared" si="13"/>
        <v>0</v>
      </c>
      <c r="G29" s="424">
        <f t="shared" si="13"/>
        <v>0</v>
      </c>
      <c r="H29" s="424">
        <f t="shared" si="13"/>
        <v>0</v>
      </c>
      <c r="I29" s="424">
        <f t="shared" si="13"/>
        <v>0</v>
      </c>
    </row>
    <row r="30" spans="1:9">
      <c r="A30" t="s">
        <v>1147</v>
      </c>
      <c r="B30" s="424">
        <f>SUM(C30:I30)</f>
        <v>114642</v>
      </c>
      <c r="C30" s="423">
        <f>Ins!F51</f>
        <v>0</v>
      </c>
      <c r="D30" s="423">
        <f>Ins!G51</f>
        <v>19107</v>
      </c>
      <c r="E30" s="423">
        <f>Ins!H51</f>
        <v>19107</v>
      </c>
      <c r="F30" s="423">
        <f>Ins!I51</f>
        <v>19107</v>
      </c>
      <c r="G30" s="423">
        <f>Ins!J51</f>
        <v>19107</v>
      </c>
      <c r="H30" s="423">
        <f>Ins!K51</f>
        <v>19107</v>
      </c>
      <c r="I30" s="423">
        <f>Ins!L51</f>
        <v>19107</v>
      </c>
    </row>
    <row r="31" spans="1:9">
      <c r="A31" t="s">
        <v>1148</v>
      </c>
      <c r="B31" s="424">
        <f>IFERROR(B30/B9,0)</f>
        <v>45.67410358565737</v>
      </c>
      <c r="C31" s="424"/>
      <c r="D31" s="424">
        <f t="shared" ref="D31:I31" si="14">IFERROR(D30/D9,0)</f>
        <v>83.073913043478257</v>
      </c>
      <c r="E31" s="424">
        <f t="shared" si="14"/>
        <v>61.63548387096774</v>
      </c>
      <c r="F31" s="424">
        <f t="shared" si="14"/>
        <v>48.992307692307691</v>
      </c>
      <c r="G31" s="424">
        <f t="shared" si="14"/>
        <v>40.653191489361703</v>
      </c>
      <c r="H31" s="424">
        <f t="shared" si="14"/>
        <v>34.74</v>
      </c>
      <c r="I31" s="424">
        <f t="shared" si="14"/>
        <v>34.119642857142857</v>
      </c>
    </row>
    <row r="32" spans="1:9">
      <c r="A32" t="s">
        <v>1149</v>
      </c>
      <c r="B32" s="424">
        <f>SUM(C32:I32)</f>
        <v>0</v>
      </c>
      <c r="C32" s="423">
        <f>Marketing!H44</f>
        <v>0</v>
      </c>
      <c r="D32" s="423">
        <f>Marketing!I44</f>
        <v>0</v>
      </c>
      <c r="E32" s="423">
        <f>Marketing!J44</f>
        <v>0</v>
      </c>
      <c r="F32" s="423">
        <f>Marketing!K44</f>
        <v>0</v>
      </c>
      <c r="G32" s="423">
        <f>Marketing!L44</f>
        <v>0</v>
      </c>
      <c r="H32" s="423">
        <f>Marketing!M44</f>
        <v>0</v>
      </c>
      <c r="I32" s="423">
        <f>Marketing!N44</f>
        <v>0</v>
      </c>
    </row>
    <row r="33" spans="1:9">
      <c r="A33" t="s">
        <v>1150</v>
      </c>
      <c r="B33" s="424">
        <f>IFERROR(B32/B9,0)</f>
        <v>0</v>
      </c>
      <c r="C33" s="424"/>
      <c r="D33" s="424">
        <f t="shared" ref="D33:I33" si="15">IFERROR(D32/D9,0)</f>
        <v>0</v>
      </c>
      <c r="E33" s="424">
        <f t="shared" si="15"/>
        <v>0</v>
      </c>
      <c r="F33" s="424">
        <f t="shared" si="15"/>
        <v>0</v>
      </c>
      <c r="G33" s="424">
        <f t="shared" si="15"/>
        <v>0</v>
      </c>
      <c r="H33" s="424">
        <f t="shared" si="15"/>
        <v>0</v>
      </c>
      <c r="I33" s="424">
        <f t="shared" si="15"/>
        <v>0</v>
      </c>
    </row>
    <row r="34" spans="1:9">
      <c r="A34" t="s">
        <v>1151</v>
      </c>
      <c r="B34" s="424">
        <f>B32+B30+B28</f>
        <v>114642</v>
      </c>
      <c r="C34" s="424">
        <f t="shared" ref="C34:I34" si="16">C32+C30+C28</f>
        <v>0</v>
      </c>
      <c r="D34" s="424">
        <f t="shared" si="16"/>
        <v>19107</v>
      </c>
      <c r="E34" s="424">
        <f t="shared" si="16"/>
        <v>19107</v>
      </c>
      <c r="F34" s="424">
        <f t="shared" si="16"/>
        <v>19107</v>
      </c>
      <c r="G34" s="424">
        <f t="shared" si="16"/>
        <v>19107</v>
      </c>
      <c r="H34" s="424">
        <f t="shared" si="16"/>
        <v>19107</v>
      </c>
      <c r="I34" s="424">
        <f t="shared" si="16"/>
        <v>19107</v>
      </c>
    </row>
    <row r="35" spans="1:9">
      <c r="A35" t="s">
        <v>1152</v>
      </c>
      <c r="B35" s="424">
        <f>IFERROR(B34/B9,0)</f>
        <v>45.67410358565737</v>
      </c>
      <c r="C35" s="424"/>
      <c r="D35" s="424">
        <f t="shared" ref="D35:I35" si="17">IFERROR(D34/D9,0)</f>
        <v>83.073913043478257</v>
      </c>
      <c r="E35" s="424">
        <f t="shared" si="17"/>
        <v>61.63548387096774</v>
      </c>
      <c r="F35" s="424">
        <f t="shared" si="17"/>
        <v>48.992307692307691</v>
      </c>
      <c r="G35" s="424">
        <f t="shared" si="17"/>
        <v>40.653191489361703</v>
      </c>
      <c r="H35" s="424">
        <f t="shared" si="17"/>
        <v>34.74</v>
      </c>
      <c r="I35" s="424">
        <f t="shared" si="17"/>
        <v>34.119642857142857</v>
      </c>
    </row>
    <row r="36" spans="1:9">
      <c r="A36" t="s">
        <v>1153</v>
      </c>
      <c r="B36" s="424">
        <f>B10-B34</f>
        <v>27532948.027435001</v>
      </c>
      <c r="C36" s="424">
        <f t="shared" ref="C36:I36" si="18">C10-C34</f>
        <v>0</v>
      </c>
      <c r="D36" s="424">
        <f t="shared" si="18"/>
        <v>2386890.25</v>
      </c>
      <c r="E36" s="424">
        <f t="shared" si="18"/>
        <v>3373813.8001589999</v>
      </c>
      <c r="F36" s="424">
        <f t="shared" si="18"/>
        <v>4272354.1828230005</v>
      </c>
      <c r="G36" s="424">
        <f t="shared" si="18"/>
        <v>5170894.5654870002</v>
      </c>
      <c r="H36" s="424">
        <f t="shared" si="18"/>
        <v>6069434.9481509998</v>
      </c>
      <c r="I36" s="424">
        <f t="shared" si="18"/>
        <v>6259560.2808150006</v>
      </c>
    </row>
    <row r="37" spans="1:9" ht="30" customHeight="1">
      <c r="A37" s="2" t="s">
        <v>1154</v>
      </c>
      <c r="B37" s="424">
        <f>IFERROR(B36/B9,0)</f>
        <v>10969.302002962151</v>
      </c>
      <c r="C37" s="424"/>
      <c r="D37" s="424">
        <f t="shared" ref="D37:I37" si="19">IFERROR(D36/D9,0)</f>
        <v>10377.783695652173</v>
      </c>
      <c r="E37" s="424">
        <f t="shared" si="19"/>
        <v>10883.270323093548</v>
      </c>
      <c r="F37" s="424">
        <f t="shared" si="19"/>
        <v>10954.754314930771</v>
      </c>
      <c r="G37" s="424">
        <f t="shared" si="19"/>
        <v>11001.903330823405</v>
      </c>
      <c r="H37" s="424">
        <f t="shared" si="19"/>
        <v>11035.336269365454</v>
      </c>
      <c r="I37" s="424">
        <f t="shared" si="19"/>
        <v>11177.786215741073</v>
      </c>
    </row>
    <row r="38" spans="1:9">
      <c r="A38" t="s">
        <v>450</v>
      </c>
      <c r="B38" s="424">
        <f t="shared" ref="B38:I38" si="20">B10-B12-B16-B28-B20-B24-B30-B32</f>
        <v>10253443.322230412</v>
      </c>
      <c r="C38" s="424">
        <f t="shared" si="20"/>
        <v>0</v>
      </c>
      <c r="D38" s="424">
        <f t="shared" si="20"/>
        <v>327593.02</v>
      </c>
      <c r="E38" s="424">
        <f t="shared" si="20"/>
        <v>849238.84515899979</v>
      </c>
      <c r="F38" s="424">
        <f t="shared" si="20"/>
        <v>1464828.0503230006</v>
      </c>
      <c r="G38" s="424">
        <f t="shared" si="20"/>
        <v>1929999.7021370004</v>
      </c>
      <c r="H38" s="424">
        <f t="shared" si="20"/>
        <v>2742626.6616020496</v>
      </c>
      <c r="I38" s="424">
        <f t="shared" si="20"/>
        <v>2939157.0430093613</v>
      </c>
    </row>
    <row r="39" spans="1:9">
      <c r="A39" t="s">
        <v>451</v>
      </c>
      <c r="B39" s="424">
        <f>IFERROR(B38/B9,0)</f>
        <v>4085.0371801714787</v>
      </c>
      <c r="C39" s="424"/>
      <c r="D39" s="424">
        <f t="shared" ref="D39:I39" si="21">IFERROR(D38/D9,0)</f>
        <v>1424.3174782608696</v>
      </c>
      <c r="E39" s="424">
        <f t="shared" si="21"/>
        <v>2739.480145674193</v>
      </c>
      <c r="F39" s="424">
        <f t="shared" si="21"/>
        <v>3755.9693598025656</v>
      </c>
      <c r="G39" s="424">
        <f t="shared" si="21"/>
        <v>4106.3823449723413</v>
      </c>
      <c r="H39" s="424">
        <f t="shared" si="21"/>
        <v>4986.5939301855451</v>
      </c>
      <c r="I39" s="424">
        <f t="shared" si="21"/>
        <v>5248.494719659574</v>
      </c>
    </row>
  </sheetData>
  <conditionalFormatting sqref="I1">
    <cfRule type="expression" dxfId="0" priority="1" stopIfTrue="1">
      <formula>MOD(ROW(),2)=0</formula>
    </cfRule>
  </conditionalFormatting>
  <hyperlinks>
    <hyperlink ref="I1" location="HypLink1" display="HypLink1" xr:uid="{00000000-0004-0000-1900-000000000000}"/>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R81"/>
  <sheetViews>
    <sheetView workbookViewId="0">
      <selection activeCell="R33" sqref="R33"/>
    </sheetView>
  </sheetViews>
  <sheetFormatPr defaultColWidth="8.6640625" defaultRowHeight="13.2"/>
  <cols>
    <col min="1" max="1" width="1.33203125" style="5" customWidth="1"/>
    <col min="2" max="2" width="2.6640625" style="5" customWidth="1"/>
    <col min="3" max="5" width="8.6640625" style="5"/>
    <col min="6" max="6" width="16.33203125" style="5" customWidth="1"/>
    <col min="7" max="17" width="8.6640625" style="1089"/>
    <col min="18" max="16384" width="8.6640625" style="5"/>
  </cols>
  <sheetData>
    <row r="1" spans="1:18" ht="15.6">
      <c r="A1" s="20" t="s">
        <v>1155</v>
      </c>
      <c r="B1" s="20"/>
      <c r="C1" s="20"/>
      <c r="D1" s="20"/>
    </row>
    <row r="2" spans="1:18" ht="15.6">
      <c r="A2" s="1310" t="str">
        <f>SchoolName</f>
        <v>Game Changers Sports Academy</v>
      </c>
      <c r="B2" s="1310"/>
      <c r="C2" s="1310"/>
      <c r="D2" s="1310"/>
    </row>
    <row r="3" spans="1:18">
      <c r="A3" s="9" t="s">
        <v>325</v>
      </c>
    </row>
    <row r="4" spans="1:18">
      <c r="A4" s="8" t="s">
        <v>5</v>
      </c>
    </row>
    <row r="5" spans="1:18">
      <c r="A5" s="7" t="str">
        <f ca="1">CELL("filename")</f>
        <v>https://myccmortgage-my.sharepoint.com/personal/dolly_alexander_myccmortgage_com/Documents/Documents/GCSA Hylo Park/[Attachment 24 Financial Budget Template.xlsx]Cover &amp; Loc</v>
      </c>
    </row>
    <row r="6" spans="1:18">
      <c r="A6" s="1088"/>
      <c r="B6" s="1089"/>
      <c r="C6" s="1089"/>
      <c r="D6" s="1089"/>
      <c r="E6" s="1089"/>
      <c r="F6" s="1089"/>
      <c r="R6" s="1089"/>
    </row>
    <row r="7" spans="1:18">
      <c r="A7" s="1088"/>
      <c r="B7" s="1089"/>
      <c r="C7" s="1089"/>
      <c r="D7" s="1089"/>
      <c r="E7" s="1089"/>
      <c r="F7" s="1089"/>
      <c r="R7" s="1089"/>
    </row>
    <row r="8" spans="1:18">
      <c r="A8" s="1088"/>
      <c r="B8" s="1089"/>
      <c r="C8" s="1089"/>
      <c r="D8" s="1089"/>
      <c r="E8" s="1089"/>
      <c r="F8" s="1089"/>
      <c r="R8" s="1089"/>
    </row>
    <row r="9" spans="1:18">
      <c r="A9" s="1088"/>
      <c r="B9" s="1089"/>
      <c r="C9" s="1089"/>
      <c r="D9" s="1089"/>
      <c r="E9" s="1089"/>
      <c r="F9" s="1089"/>
      <c r="R9" s="1089"/>
    </row>
    <row r="10" spans="1:18">
      <c r="A10" s="1088"/>
      <c r="B10" s="1089"/>
      <c r="C10" s="1089"/>
      <c r="D10" s="1089"/>
      <c r="E10" s="1089"/>
      <c r="F10" s="1089"/>
      <c r="R10" s="1089"/>
    </row>
    <row r="11" spans="1:18">
      <c r="A11" s="1088"/>
      <c r="B11" s="1089"/>
      <c r="C11" s="1089"/>
      <c r="D11" s="1089"/>
      <c r="E11" s="1089"/>
      <c r="F11" s="1089"/>
      <c r="R11" s="1089"/>
    </row>
    <row r="12" spans="1:18">
      <c r="A12" s="1088"/>
      <c r="B12" s="1089"/>
      <c r="C12" s="1089"/>
      <c r="D12" s="1089"/>
      <c r="E12" s="1089"/>
      <c r="F12" s="1089"/>
      <c r="R12" s="1089"/>
    </row>
    <row r="13" spans="1:18">
      <c r="A13" s="1088"/>
      <c r="B13" s="1089"/>
      <c r="C13" s="1089"/>
      <c r="D13" s="1089"/>
      <c r="E13" s="1089"/>
      <c r="F13" s="1089"/>
      <c r="R13" s="1089"/>
    </row>
    <row r="14" spans="1:18">
      <c r="A14" s="1088"/>
      <c r="B14" s="1089"/>
      <c r="C14" s="1089"/>
      <c r="D14" s="1089"/>
      <c r="E14" s="1089"/>
      <c r="F14" s="1089"/>
      <c r="R14" s="1089"/>
    </row>
    <row r="15" spans="1:18">
      <c r="A15" s="1088"/>
      <c r="B15" s="1089"/>
      <c r="C15" s="1089"/>
      <c r="D15" s="1089"/>
      <c r="E15" s="1089"/>
      <c r="F15" s="1089"/>
      <c r="R15" s="1089"/>
    </row>
    <row r="16" spans="1:18">
      <c r="A16" s="1088"/>
      <c r="B16" s="1089"/>
      <c r="C16" s="1089"/>
      <c r="D16" s="1089"/>
      <c r="E16" s="1089"/>
      <c r="F16" s="1089"/>
      <c r="R16" s="1089"/>
    </row>
    <row r="17" spans="1:18">
      <c r="A17" s="1088"/>
      <c r="B17" s="1089"/>
      <c r="C17" s="1089"/>
      <c r="D17" s="1089"/>
      <c r="E17" s="1089"/>
      <c r="F17" s="1089"/>
      <c r="R17" s="1089"/>
    </row>
    <row r="18" spans="1:18">
      <c r="A18" s="1088"/>
      <c r="B18" s="1089"/>
      <c r="C18" s="1089"/>
      <c r="D18" s="1089"/>
      <c r="E18" s="1089"/>
      <c r="F18" s="1089"/>
      <c r="R18" s="1089"/>
    </row>
    <row r="19" spans="1:18">
      <c r="A19" s="1088"/>
      <c r="B19" s="1089"/>
      <c r="C19" s="1089"/>
      <c r="D19" s="1089"/>
      <c r="E19" s="1089"/>
      <c r="F19" s="1089"/>
      <c r="R19" s="1089"/>
    </row>
    <row r="20" spans="1:18">
      <c r="A20" s="1088"/>
      <c r="B20" s="1089"/>
      <c r="C20" s="1089"/>
      <c r="D20" s="1089"/>
      <c r="E20" s="1089"/>
      <c r="F20" s="1089"/>
      <c r="R20" s="1089"/>
    </row>
    <row r="21" spans="1:18">
      <c r="A21" s="1088"/>
      <c r="B21" s="1089"/>
      <c r="C21" s="1089"/>
      <c r="D21" s="1089"/>
      <c r="E21" s="1089"/>
      <c r="F21" s="1089"/>
      <c r="R21" s="1089"/>
    </row>
    <row r="22" spans="1:18">
      <c r="A22" s="1088"/>
      <c r="B22" s="1089"/>
      <c r="C22" s="1089"/>
      <c r="D22" s="1089"/>
      <c r="E22" s="1089"/>
      <c r="F22" s="1089"/>
      <c r="R22" s="1089"/>
    </row>
    <row r="23" spans="1:18">
      <c r="A23" s="1088"/>
      <c r="B23" s="1089"/>
      <c r="C23" s="1089"/>
      <c r="D23" s="1089"/>
      <c r="E23" s="1089"/>
      <c r="F23" s="1089"/>
      <c r="R23" s="1089"/>
    </row>
    <row r="24" spans="1:18">
      <c r="A24" s="1088"/>
      <c r="B24" s="1089"/>
      <c r="C24" s="1089"/>
      <c r="D24" s="1089"/>
      <c r="E24" s="1089"/>
      <c r="F24" s="1089"/>
      <c r="R24" s="1089"/>
    </row>
    <row r="25" spans="1:18">
      <c r="A25" s="1088"/>
      <c r="B25" s="1089"/>
      <c r="C25" s="1089"/>
      <c r="D25" s="1089"/>
      <c r="E25" s="1089"/>
      <c r="F25" s="1089"/>
      <c r="R25" s="1089"/>
    </row>
    <row r="26" spans="1:18">
      <c r="A26" s="1088"/>
      <c r="B26" s="1089"/>
      <c r="C26" s="1089"/>
      <c r="D26" s="1089"/>
      <c r="E26" s="1089"/>
      <c r="F26" s="1089"/>
      <c r="R26" s="1089"/>
    </row>
    <row r="27" spans="1:18">
      <c r="A27" s="1088"/>
      <c r="B27" s="1089"/>
      <c r="C27" s="1089"/>
      <c r="D27" s="1089"/>
      <c r="E27" s="1089"/>
      <c r="F27" s="1089"/>
      <c r="R27" s="1089"/>
    </row>
    <row r="28" spans="1:18">
      <c r="A28" s="1088"/>
      <c r="B28" s="1089"/>
      <c r="C28" s="1089"/>
      <c r="D28" s="1089"/>
      <c r="E28" s="1089"/>
      <c r="F28" s="1089"/>
      <c r="R28" s="1089"/>
    </row>
    <row r="29" spans="1:18">
      <c r="A29" s="1088"/>
      <c r="B29" s="1089"/>
      <c r="C29" s="1089"/>
      <c r="D29" s="1089"/>
      <c r="E29" s="1089"/>
      <c r="F29" s="1089"/>
      <c r="R29" s="1089"/>
    </row>
    <row r="30" spans="1:18">
      <c r="A30" s="1088"/>
      <c r="B30" s="1088"/>
      <c r="C30" s="1088"/>
      <c r="D30" s="1088"/>
      <c r="E30" s="1088"/>
      <c r="F30" s="1089"/>
      <c r="R30" s="1089"/>
    </row>
    <row r="31" spans="1:18">
      <c r="A31" s="1088"/>
      <c r="B31" s="1088"/>
      <c r="C31" s="1088"/>
      <c r="D31" s="1088"/>
      <c r="E31" s="1088"/>
      <c r="F31" s="1089"/>
      <c r="R31" s="1089"/>
    </row>
    <row r="32" spans="1:18">
      <c r="A32" s="1088"/>
      <c r="B32" s="1088"/>
      <c r="C32" s="1088"/>
      <c r="D32" s="1088"/>
      <c r="E32" s="1088"/>
      <c r="F32" s="1089"/>
      <c r="R32" s="1089"/>
    </row>
    <row r="33" spans="1:18">
      <c r="A33" s="1088"/>
      <c r="B33" s="1088"/>
      <c r="C33" s="1088"/>
      <c r="D33" s="1088"/>
      <c r="E33" s="1088"/>
      <c r="F33" s="1089"/>
      <c r="R33" s="1089"/>
    </row>
    <row r="34" spans="1:18">
      <c r="A34" s="1088"/>
      <c r="B34" s="1088"/>
      <c r="C34" s="1088"/>
      <c r="D34" s="1088"/>
      <c r="E34" s="1088"/>
      <c r="F34" s="1089"/>
      <c r="R34" s="1089"/>
    </row>
    <row r="35" spans="1:18">
      <c r="A35" s="1088"/>
      <c r="B35" s="1088"/>
      <c r="C35" s="1088"/>
      <c r="D35" s="1088"/>
      <c r="E35" s="1088"/>
      <c r="F35" s="1089"/>
      <c r="R35" s="1089"/>
    </row>
    <row r="36" spans="1:18">
      <c r="A36" s="1088"/>
      <c r="B36" s="1088"/>
      <c r="C36" s="1088"/>
      <c r="D36" s="1088"/>
      <c r="E36" s="1088"/>
      <c r="F36" s="1089"/>
      <c r="R36" s="1089"/>
    </row>
    <row r="37" spans="1:18">
      <c r="A37" s="1088"/>
      <c r="B37" s="1088"/>
      <c r="C37" s="1088"/>
      <c r="D37" s="1088"/>
      <c r="E37" s="1088"/>
      <c r="F37" s="1089"/>
      <c r="R37" s="1089"/>
    </row>
    <row r="38" spans="1:18">
      <c r="A38" s="1088"/>
      <c r="B38" s="1088"/>
      <c r="C38" s="1088"/>
      <c r="D38" s="1088"/>
      <c r="E38" s="1088"/>
      <c r="F38" s="1089"/>
      <c r="R38" s="1089"/>
    </row>
    <row r="39" spans="1:18">
      <c r="A39" s="1088"/>
      <c r="B39" s="1088"/>
      <c r="C39" s="1088"/>
      <c r="D39" s="1088"/>
      <c r="E39" s="1088"/>
      <c r="F39" s="1089"/>
      <c r="R39" s="1089"/>
    </row>
    <row r="40" spans="1:18">
      <c r="A40" s="1088"/>
      <c r="B40" s="1088"/>
      <c r="C40" s="1088"/>
      <c r="D40" s="1088"/>
      <c r="E40" s="1088"/>
      <c r="F40" s="1089"/>
      <c r="R40" s="1089"/>
    </row>
    <row r="41" spans="1:18">
      <c r="A41" s="1088"/>
      <c r="B41" s="1088"/>
      <c r="C41" s="1088"/>
      <c r="D41" s="1088"/>
      <c r="E41" s="1088"/>
      <c r="F41" s="1089"/>
      <c r="R41" s="1089"/>
    </row>
    <row r="42" spans="1:18">
      <c r="A42" s="1088"/>
      <c r="B42" s="1088"/>
      <c r="C42" s="1088"/>
      <c r="D42" s="1088"/>
      <c r="E42" s="1088"/>
      <c r="F42" s="1089"/>
      <c r="R42" s="1089"/>
    </row>
    <row r="43" spans="1:18">
      <c r="A43" s="1088"/>
      <c r="B43" s="1088"/>
      <c r="C43" s="1088"/>
      <c r="D43" s="1088"/>
      <c r="E43" s="1088"/>
      <c r="F43" s="1089"/>
      <c r="R43" s="1089"/>
    </row>
    <row r="44" spans="1:18">
      <c r="A44" s="1088"/>
      <c r="B44" s="1088"/>
      <c r="C44" s="1088"/>
      <c r="D44" s="1088"/>
      <c r="E44" s="1088"/>
      <c r="F44" s="1089"/>
      <c r="R44" s="1089"/>
    </row>
    <row r="45" spans="1:18">
      <c r="A45" s="1088"/>
      <c r="B45" s="1088"/>
      <c r="C45" s="1088"/>
      <c r="D45" s="1088"/>
      <c r="E45" s="1088"/>
      <c r="F45" s="1089"/>
      <c r="R45" s="1089"/>
    </row>
    <row r="46" spans="1:18">
      <c r="A46" s="1088"/>
      <c r="B46" s="1088"/>
      <c r="C46" s="1088"/>
      <c r="D46" s="1088"/>
      <c r="E46" s="1088"/>
      <c r="F46" s="1089"/>
      <c r="R46" s="1089"/>
    </row>
    <row r="47" spans="1:18">
      <c r="A47" s="1088"/>
      <c r="B47" s="1088"/>
      <c r="C47" s="1088"/>
      <c r="D47" s="1088"/>
      <c r="E47" s="1088"/>
      <c r="F47" s="1089"/>
      <c r="R47" s="1089"/>
    </row>
    <row r="48" spans="1:18">
      <c r="A48" s="1088"/>
      <c r="B48" s="1088"/>
      <c r="C48" s="1088"/>
      <c r="D48" s="1088"/>
      <c r="E48" s="1088"/>
      <c r="F48" s="1089"/>
      <c r="R48" s="1089"/>
    </row>
    <row r="49" spans="1:18">
      <c r="A49" s="1088"/>
      <c r="B49" s="1088"/>
      <c r="C49" s="1088"/>
      <c r="D49" s="1088"/>
      <c r="E49" s="1088"/>
      <c r="F49" s="1089"/>
      <c r="R49" s="1089"/>
    </row>
    <row r="50" spans="1:18">
      <c r="A50" s="1088"/>
      <c r="B50" s="1088"/>
      <c r="C50" s="1088"/>
      <c r="D50" s="1088"/>
      <c r="E50" s="1088"/>
      <c r="F50" s="1089"/>
      <c r="R50" s="1089"/>
    </row>
    <row r="51" spans="1:18">
      <c r="A51" s="1088"/>
      <c r="B51" s="1088"/>
      <c r="C51" s="1088"/>
      <c r="D51" s="1088"/>
      <c r="E51" s="1088"/>
      <c r="F51" s="1089"/>
      <c r="R51" s="1089"/>
    </row>
    <row r="52" spans="1:18">
      <c r="A52" s="1088"/>
      <c r="B52" s="1088"/>
      <c r="C52" s="1088"/>
      <c r="D52" s="1088"/>
      <c r="E52" s="1088"/>
      <c r="F52" s="1089"/>
      <c r="R52" s="1089"/>
    </row>
    <row r="53" spans="1:18">
      <c r="A53" s="1088"/>
      <c r="B53" s="1088"/>
      <c r="C53" s="1088"/>
      <c r="D53" s="1088"/>
      <c r="E53" s="1088"/>
      <c r="F53" s="1089"/>
      <c r="R53" s="1089"/>
    </row>
    <row r="54" spans="1:18">
      <c r="A54" s="1088"/>
      <c r="B54" s="1088"/>
      <c r="C54" s="1088"/>
      <c r="D54" s="1088"/>
      <c r="E54" s="1088"/>
      <c r="F54" s="1089"/>
      <c r="R54" s="1089"/>
    </row>
    <row r="55" spans="1:18">
      <c r="A55" s="1088"/>
      <c r="B55" s="1088"/>
      <c r="C55" s="1088"/>
      <c r="D55" s="1088"/>
      <c r="E55" s="1088"/>
      <c r="F55" s="1089"/>
      <c r="R55" s="1089"/>
    </row>
    <row r="56" spans="1:18">
      <c r="A56" s="1088"/>
      <c r="B56" s="1088"/>
      <c r="C56" s="1088"/>
      <c r="D56" s="1088"/>
      <c r="E56" s="1088"/>
      <c r="F56" s="1089"/>
      <c r="R56" s="1089"/>
    </row>
    <row r="57" spans="1:18">
      <c r="A57" s="1088"/>
      <c r="B57" s="1088"/>
      <c r="C57" s="1088"/>
      <c r="D57" s="1088"/>
      <c r="E57" s="1088"/>
      <c r="F57" s="1089"/>
      <c r="R57" s="1089"/>
    </row>
    <row r="58" spans="1:18">
      <c r="A58" s="1088"/>
      <c r="B58" s="1088"/>
      <c r="C58" s="1088"/>
      <c r="D58" s="1088"/>
      <c r="E58" s="1088"/>
      <c r="F58" s="1089"/>
      <c r="R58" s="1089"/>
    </row>
    <row r="59" spans="1:18">
      <c r="A59" s="1088"/>
      <c r="B59" s="1088"/>
      <c r="C59" s="1088"/>
      <c r="D59" s="1088"/>
      <c r="E59" s="1088"/>
      <c r="F59" s="1089"/>
      <c r="R59" s="1089"/>
    </row>
    <row r="60" spans="1:18">
      <c r="A60" s="1088"/>
      <c r="B60" s="1088"/>
      <c r="C60" s="1088"/>
      <c r="D60" s="1088"/>
      <c r="E60" s="1088"/>
      <c r="F60" s="1089"/>
      <c r="R60" s="1089"/>
    </row>
    <row r="61" spans="1:18">
      <c r="A61" s="1088"/>
      <c r="B61" s="1088"/>
      <c r="C61" s="1088"/>
      <c r="D61" s="1088"/>
      <c r="E61" s="1088"/>
      <c r="F61" s="1089"/>
      <c r="R61" s="1089"/>
    </row>
    <row r="62" spans="1:18">
      <c r="A62" s="1088"/>
      <c r="B62" s="1088"/>
      <c r="C62" s="1088"/>
      <c r="D62" s="1088"/>
      <c r="E62" s="1088"/>
      <c r="F62" s="1089"/>
      <c r="R62" s="1089"/>
    </row>
    <row r="63" spans="1:18">
      <c r="A63" s="1088"/>
      <c r="B63" s="1088"/>
      <c r="C63" s="1088"/>
      <c r="D63" s="1088"/>
      <c r="E63" s="1088"/>
      <c r="F63" s="1089"/>
      <c r="R63" s="1089"/>
    </row>
    <row r="64" spans="1:18">
      <c r="A64" s="1088"/>
      <c r="B64" s="1088"/>
      <c r="C64" s="1088"/>
      <c r="D64" s="1088"/>
      <c r="E64" s="1088"/>
      <c r="F64" s="1089"/>
      <c r="R64" s="1089"/>
    </row>
    <row r="65" spans="1:18">
      <c r="A65" s="1088"/>
      <c r="B65" s="1088"/>
      <c r="C65" s="1088"/>
      <c r="D65" s="1088"/>
      <c r="E65" s="1088"/>
      <c r="F65" s="1089"/>
      <c r="R65" s="1089"/>
    </row>
    <row r="66" spans="1:18">
      <c r="A66" s="1088"/>
      <c r="B66" s="1088"/>
      <c r="C66" s="1088"/>
      <c r="D66" s="1088"/>
      <c r="E66" s="1088"/>
      <c r="F66" s="1089"/>
      <c r="R66" s="1089"/>
    </row>
    <row r="67" spans="1:18">
      <c r="A67" s="1088"/>
      <c r="B67" s="1088"/>
      <c r="C67" s="1088"/>
      <c r="D67" s="1088"/>
      <c r="E67" s="1088"/>
      <c r="F67" s="1089"/>
    </row>
    <row r="68" spans="1:18">
      <c r="A68" s="1088"/>
      <c r="B68" s="1088"/>
      <c r="C68" s="1088"/>
      <c r="D68" s="1088"/>
      <c r="E68" s="1088"/>
      <c r="F68" s="1089"/>
    </row>
    <row r="69" spans="1:18">
      <c r="A69" s="1088"/>
      <c r="B69" s="1088"/>
      <c r="C69" s="1088"/>
      <c r="D69" s="1088"/>
      <c r="E69" s="1088"/>
      <c r="F69" s="1089"/>
    </row>
    <row r="70" spans="1:18">
      <c r="A70" s="6"/>
      <c r="B70" s="6"/>
      <c r="C70" s="6"/>
      <c r="D70" s="6"/>
      <c r="E70" s="6"/>
    </row>
    <row r="71" spans="1:18">
      <c r="A71" s="6"/>
      <c r="B71" s="6"/>
      <c r="C71" s="6"/>
      <c r="D71" s="6"/>
      <c r="E71" s="6"/>
    </row>
    <row r="72" spans="1:18">
      <c r="A72" s="6"/>
      <c r="B72" s="6"/>
      <c r="C72" s="6"/>
      <c r="D72" s="6"/>
      <c r="E72" s="6"/>
    </row>
    <row r="73" spans="1:18">
      <c r="A73" s="6"/>
      <c r="B73" s="6"/>
      <c r="C73" s="6"/>
      <c r="D73" s="6"/>
      <c r="E73" s="6"/>
    </row>
    <row r="74" spans="1:18">
      <c r="A74" s="6"/>
      <c r="B74" s="6"/>
      <c r="C74" s="6"/>
      <c r="D74" s="6"/>
      <c r="E74" s="6"/>
    </row>
    <row r="75" spans="1:18">
      <c r="A75" s="6"/>
      <c r="B75" s="6"/>
      <c r="C75" s="6"/>
      <c r="D75" s="6"/>
      <c r="E75" s="6"/>
    </row>
    <row r="76" spans="1:18">
      <c r="A76" s="6"/>
      <c r="B76" s="6"/>
      <c r="C76" s="6"/>
      <c r="D76" s="6"/>
      <c r="E76" s="6"/>
    </row>
    <row r="77" spans="1:18">
      <c r="A77" s="6"/>
      <c r="B77" s="6"/>
      <c r="C77" s="6"/>
      <c r="D77" s="6"/>
      <c r="E77" s="6"/>
    </row>
    <row r="78" spans="1:18">
      <c r="A78" s="6"/>
      <c r="B78" s="6"/>
      <c r="C78" s="6"/>
      <c r="D78" s="6"/>
      <c r="E78" s="6"/>
    </row>
    <row r="79" spans="1:18">
      <c r="A79" s="6"/>
      <c r="B79" s="6"/>
      <c r="C79" s="6"/>
      <c r="D79" s="6"/>
      <c r="E79" s="6"/>
    </row>
    <row r="80" spans="1:18">
      <c r="A80" s="6"/>
      <c r="B80" s="6"/>
      <c r="C80" s="6"/>
      <c r="D80" s="6"/>
      <c r="E80" s="6"/>
    </row>
    <row r="81" spans="1:5">
      <c r="A81" s="6"/>
      <c r="B81" s="6"/>
      <c r="C81" s="6"/>
      <c r="D81" s="6"/>
      <c r="E81"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0" tint="-0.14999847407452621"/>
  </sheetPr>
  <dimension ref="A1:P79"/>
  <sheetViews>
    <sheetView workbookViewId="0"/>
  </sheetViews>
  <sheetFormatPr defaultColWidth="9.33203125" defaultRowHeight="13.2"/>
  <cols>
    <col min="1" max="1" width="9.33203125" style="5"/>
    <col min="2" max="2" width="2.33203125" style="5" customWidth="1"/>
    <col min="3" max="3" width="19.5546875" style="5" customWidth="1"/>
    <col min="4" max="8" width="11.6640625" style="5" customWidth="1"/>
    <col min="9" max="16384" width="9.33203125" style="5"/>
  </cols>
  <sheetData>
    <row r="1" spans="1:16" ht="15.6">
      <c r="A1" s="258"/>
      <c r="B1" s="258"/>
      <c r="C1" s="258"/>
    </row>
    <row r="2" spans="1:16" ht="15.6">
      <c r="A2" s="24"/>
      <c r="B2" s="26"/>
      <c r="C2" s="26"/>
    </row>
    <row r="3" spans="1:16">
      <c r="A3" s="9" t="s">
        <v>325</v>
      </c>
    </row>
    <row r="4" spans="1:16">
      <c r="A4" s="8" t="s">
        <v>5</v>
      </c>
    </row>
    <row r="5" spans="1:16">
      <c r="A5" s="7" t="str">
        <f ca="1">CELL("filename")</f>
        <v>https://myccmortgage-my.sharepoint.com/personal/dolly_alexander_myccmortgage_com/Documents/Documents/GCSA Hylo Park/[Attachment 24 Financial Budget Template.xlsx]Cover &amp; Loc</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c r="I8" s="6"/>
      <c r="J8" s="6"/>
      <c r="K8" s="6"/>
      <c r="L8" s="6"/>
      <c r="M8" s="6"/>
      <c r="N8" s="6"/>
      <c r="O8" s="6"/>
      <c r="P8" s="6"/>
    </row>
    <row r="9" spans="1:16">
      <c r="A9" s="6"/>
      <c r="B9" s="6"/>
      <c r="C9" s="5" t="s">
        <v>1156</v>
      </c>
      <c r="I9" s="6"/>
      <c r="J9" s="6"/>
      <c r="K9" s="6"/>
      <c r="L9" s="6"/>
      <c r="M9" s="6"/>
      <c r="N9" s="6"/>
      <c r="O9" s="6"/>
      <c r="P9" s="6"/>
    </row>
    <row r="10" spans="1:16">
      <c r="A10" s="6"/>
      <c r="B10" s="6"/>
      <c r="I10" s="6"/>
      <c r="J10" s="6"/>
      <c r="K10" s="6"/>
      <c r="L10" s="6"/>
      <c r="M10" s="6"/>
      <c r="N10" s="6"/>
      <c r="O10" s="6"/>
      <c r="P10" s="6"/>
    </row>
    <row r="11" spans="1:16">
      <c r="A11" s="6"/>
      <c r="B11" s="6"/>
      <c r="I11" s="6"/>
      <c r="J11" s="6"/>
      <c r="K11" s="6"/>
      <c r="L11" s="6"/>
      <c r="M11" s="6"/>
      <c r="N11" s="6"/>
      <c r="O11" s="6"/>
      <c r="P11" s="6"/>
    </row>
    <row r="12" spans="1:16">
      <c r="A12" s="6"/>
      <c r="B12" s="6"/>
      <c r="I12" s="6"/>
      <c r="J12" s="6"/>
      <c r="K12" s="6"/>
      <c r="L12" s="6"/>
      <c r="M12" s="6"/>
      <c r="N12" s="6"/>
      <c r="O12" s="6"/>
      <c r="P12" s="6"/>
    </row>
    <row r="13" spans="1:16">
      <c r="A13" s="6"/>
      <c r="B13" s="6"/>
      <c r="I13" s="6"/>
      <c r="J13" s="6"/>
      <c r="K13" s="6"/>
      <c r="L13" s="6"/>
      <c r="M13" s="6"/>
      <c r="N13" s="6"/>
      <c r="O13" s="6"/>
      <c r="P13" s="6"/>
    </row>
    <row r="14" spans="1:16">
      <c r="A14" s="6"/>
      <c r="B14" s="6"/>
      <c r="I14" s="6"/>
      <c r="J14" s="6"/>
      <c r="K14" s="6"/>
      <c r="L14" s="6"/>
      <c r="M14" s="6"/>
      <c r="N14" s="6"/>
      <c r="O14" s="6"/>
      <c r="P14" s="6"/>
    </row>
    <row r="15" spans="1:16">
      <c r="A15" s="6"/>
      <c r="B15" s="6"/>
      <c r="I15" s="6"/>
      <c r="J15" s="6"/>
      <c r="K15" s="6"/>
      <c r="L15" s="6"/>
      <c r="M15" s="6"/>
      <c r="N15" s="6"/>
      <c r="O15" s="6"/>
      <c r="P15" s="6"/>
    </row>
    <row r="16" spans="1:16">
      <c r="A16" s="6"/>
      <c r="B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theme="0" tint="-0.249977111117893"/>
  </sheetPr>
  <dimension ref="A1:P80"/>
  <sheetViews>
    <sheetView workbookViewId="0">
      <selection activeCell="E27" sqref="E27"/>
    </sheetView>
  </sheetViews>
  <sheetFormatPr defaultColWidth="9.33203125" defaultRowHeight="13.2"/>
  <cols>
    <col min="1" max="16384" width="9.33203125" style="5"/>
  </cols>
  <sheetData>
    <row r="1" spans="1:16" ht="15.6">
      <c r="A1" s="258"/>
      <c r="B1" s="258"/>
      <c r="C1" s="258"/>
    </row>
    <row r="2" spans="1:16" ht="15.6">
      <c r="A2" s="24"/>
      <c r="B2" s="26"/>
      <c r="C2" s="26"/>
    </row>
    <row r="3" spans="1:16">
      <c r="A3" s="9" t="s">
        <v>325</v>
      </c>
    </row>
    <row r="4" spans="1:16">
      <c r="A4" s="8" t="s">
        <v>5</v>
      </c>
    </row>
    <row r="5" spans="1:16">
      <c r="A5" s="7" t="str">
        <f ca="1">CELL("filename")</f>
        <v>https://myccmortgage-my.sharepoint.com/personal/dolly_alexander_myccmortgage_com/Documents/Documents/GCSA Hylo Park/[Attachment 24 Financial Budget Template.xlsx]Cover &amp; Loc</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t="s">
        <v>1156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NOC_x002d_FIP xmlns="edb173ee-3fb8-4f75-bf43-79a22ca96f2e" xsi:nil="true"/>
    <DateTimeMod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8" ma:contentTypeDescription="Create a new document." ma:contentTypeScope="" ma:versionID="06741e460f85220bfd3ec1247d3de744">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54eaaf796b0db1ec07c5955adc1ca781"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Dateandtime" minOccurs="0"/>
                <xsd:element ref="ns2:NOC_x002d_FIP"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Dateandtime" ma:index="2" nillable="true" ma:displayName="Date and time" ma:format="DateTime" ma:internalName="Dateandtime" ma:readOnly="false">
      <xsd:simpleType>
        <xsd:restriction base="dms:DateTime"/>
      </xsd:simpleType>
    </xsd:element>
    <xsd:element name="NOC_x002d_FIP" ma:index="4" nillable="true" ma:displayName="NOC-FIP" ma:description="School received or is continuing under a Notice Of Concern (NOC) or is required to submit a Financial Improvement Plan (FIP)" ma:format="Dropdown" ma:internalName="NOC_x002d_FIP"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OCR" ma:index="19" nillable="true" ma:displayName="Extracted Text" ma:hidden="true" ma:internalName="MediaServiceOCR"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TimeMod" ma:index="30" nillable="true" ma:displayName="Date &amp; Time Mod" ma:format="DateTime" ma:hidden="true" ma:internalName="DateTimeMo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51d1bbaf-8935-41e2-b6d1-001bd16c079b}" ma:internalName="TaxCatchAll" ma:readOnly="false"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http://schemas.microsoft.com/office/2006/metadata/properties"/>
    <ds:schemaRef ds:uri="http://schemas.microsoft.com/office/2006/documentManagement/types"/>
    <ds:schemaRef ds:uri="9224003f-e6e7-470a-941a-44de56618887"/>
    <ds:schemaRef ds:uri="http://purl.org/dc/terms/"/>
    <ds:schemaRef ds:uri="http://schemas.openxmlformats.org/package/2006/metadata/core-properties"/>
    <ds:schemaRef ds:uri="http://purl.org/dc/dcmitype/"/>
    <ds:schemaRef ds:uri="http://schemas.microsoft.com/office/infopath/2007/PartnerControls"/>
    <ds:schemaRef ds:uri="edb173ee-3fb8-4f75-bf43-79a22ca96f2e"/>
    <ds:schemaRef ds:uri="http://purl.org/dc/elements/1.1/"/>
    <ds:schemaRef ds:uri="http://schemas.microsoft.com/sharepoint/v3"/>
    <ds:schemaRef ds:uri="http://www.w3.org/XML/1998/namespace"/>
  </ds:schemaRefs>
</ds:datastoreItem>
</file>

<file path=customXml/itemProps3.xml><?xml version="1.0" encoding="utf-8"?>
<ds:datastoreItem xmlns:ds="http://schemas.openxmlformats.org/officeDocument/2006/customXml" ds:itemID="{70D1C523-7EC1-47E9-8976-965C5136CA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Instructions</vt:lpstr>
      <vt:lpstr>Resources</vt:lpstr>
      <vt:lpstr>Cover &amp; Loc</vt:lpstr>
      <vt:lpstr>Checklist &amp; TOC</vt:lpstr>
      <vt:lpstr>Mkt Res</vt:lpstr>
      <vt:lpstr> Enrol &amp; Rev</vt:lpstr>
      <vt:lpstr>Pre Y1 (Incubation)</vt:lpstr>
      <vt:lpstr>CF Y1 Mo</vt:lpstr>
      <vt:lpstr>Staff</vt:lpstr>
      <vt:lpstr>Facilities</vt:lpstr>
      <vt:lpstr>Gen Optg</vt:lpstr>
      <vt:lpstr>Ins</vt:lpstr>
      <vt:lpstr>FFE&amp;T</vt:lpstr>
      <vt:lpstr>Marketing</vt:lpstr>
      <vt:lpstr>EMO-CMO-BOSP</vt:lpstr>
      <vt:lpstr>Summary</vt:lpstr>
      <vt:lpstr>Statistics</vt:lpstr>
      <vt:lpstr>Info--&gt;</vt:lpstr>
      <vt:lpstr>PCFP Rates</vt:lpstr>
      <vt:lpstr>Demographics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 &amp; Loc'!Print_Area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Dolly Alexander</cp:lastModifiedBy>
  <cp:revision/>
  <dcterms:created xsi:type="dcterms:W3CDTF">2009-03-05T15:43:16Z</dcterms:created>
  <dcterms:modified xsi:type="dcterms:W3CDTF">2025-05-09T16:49:35Z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