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12"/>
  <workbookPr autoCompressPictures="0" defaultThemeVersion="124226"/>
  <mc:AlternateContent xmlns:mc="http://schemas.openxmlformats.org/markup-compatibility/2006">
    <mc:Choice Requires="x15">
      <x15ac:absPath xmlns:x15ac="http://schemas.microsoft.com/office/spreadsheetml/2010/11/ac" url="C:\Users\Traci\OneDrive\Desktop\"/>
    </mc:Choice>
  </mc:AlternateContent>
  <xr:revisionPtr revIDLastSave="1" documentId="8_{6BDC11EF-8565-4E69-964A-8B91E95D653F}" xr6:coauthVersionLast="47" xr6:coauthVersionMax="47" xr10:uidLastSave="{A113189A-EDFA-4ECB-8144-B997AD864FBF}"/>
  <bookViews>
    <workbookView xWindow="732" yWindow="732" windowWidth="17280" windowHeight="8964" activeTab="6" xr2:uid="{00000000-000D-0000-FFFF-FFFF00000000}"/>
  </bookViews>
  <sheets>
    <sheet name="Summary and Contact Data" sheetId="6" r:id="rId1"/>
    <sheet name="Achievement Data" sheetId="4" r:id="rId2"/>
    <sheet name="Other Achievement Data Info" sheetId="5" r:id="rId3"/>
    <sheet name="Audit Information" sheetId="7" r:id="rId4"/>
    <sheet name="Other Audit Data Info" sheetId="8" r:id="rId5"/>
    <sheet name="2018-19 Subject Data" sheetId="13" r:id="rId6"/>
    <sheet name="2017-18 Subject Data" sheetId="14" r:id="rId7"/>
    <sheet name="Sheet1" sheetId="15" r:id="rId8"/>
  </sheets>
  <definedNames>
    <definedName name="_xlnm._FilterDatabase" localSheetId="1" hidden="1">'Achievement Data'!$B$8:$AQ$8</definedName>
    <definedName name="_xlnm._FilterDatabase" localSheetId="0" hidden="1">'Summary and Contact Data'!$A$2:$O$44</definedName>
    <definedName name="_xlnm.Print_Area" localSheetId="1">'Achievement Data'!$C$5:$AO$119</definedName>
    <definedName name="_xlnm.Print_Titles" localSheetId="1">'Achievement Data'!$C:$J,'Achievement Data'!$5:$8</definedName>
    <definedName name="Z_FE609B12_881B_4D3A_A5D2_40CEDA1948BB_.wvu.PrintArea" localSheetId="1" hidden="1">'Achievement Data'!$C$5:$AO$119</definedName>
    <definedName name="Z_FE609B12_881B_4D3A_A5D2_40CEDA1948BB_.wvu.PrintTitles" localSheetId="1" hidden="1">'Achievement Data'!$C:$J,'Achievement Data'!$5:$8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79" i="7" l="1"/>
  <c r="W46" i="7"/>
  <c r="V46" i="7"/>
  <c r="U46" i="7"/>
  <c r="Q46" i="7"/>
  <c r="P46" i="7"/>
  <c r="T46" i="7" s="1"/>
  <c r="X46" i="7" s="1"/>
  <c r="V58" i="7"/>
  <c r="U58" i="7"/>
  <c r="Q58" i="7"/>
  <c r="P58" i="7"/>
  <c r="Q114" i="7"/>
  <c r="P114" i="7"/>
  <c r="Q113" i="7"/>
  <c r="P113" i="7"/>
  <c r="T113" i="7" s="1"/>
  <c r="X113" i="7" s="1"/>
  <c r="Q112" i="7"/>
  <c r="V112" i="7" s="1"/>
  <c r="P112" i="7"/>
  <c r="P111" i="7"/>
  <c r="Q131" i="7"/>
  <c r="P131" i="7"/>
  <c r="Q60" i="7"/>
  <c r="V60" i="7" s="1"/>
  <c r="P60" i="7"/>
  <c r="Q59" i="7"/>
  <c r="P59" i="7"/>
  <c r="Q53" i="7"/>
  <c r="P53" i="7"/>
  <c r="Q52" i="7"/>
  <c r="P52" i="7"/>
  <c r="Q49" i="7"/>
  <c r="P49" i="7"/>
  <c r="Q33" i="7"/>
  <c r="V33" i="7" s="1"/>
  <c r="P33" i="7"/>
  <c r="Q30" i="7"/>
  <c r="V30" i="7" s="1"/>
  <c r="P30" i="7"/>
  <c r="Q24" i="7"/>
  <c r="P24" i="7"/>
  <c r="Q22" i="7"/>
  <c r="P22" i="7"/>
  <c r="P19" i="7"/>
  <c r="T19" i="7" s="1"/>
  <c r="X19" i="7" s="1"/>
  <c r="Q71" i="7"/>
  <c r="V71" i="7" s="1"/>
  <c r="P71" i="7"/>
  <c r="P74" i="7"/>
  <c r="Q80" i="7"/>
  <c r="P80" i="7"/>
  <c r="Q91" i="7"/>
  <c r="P91" i="7"/>
  <c r="Q117" i="7"/>
  <c r="V117" i="7" s="1"/>
  <c r="P117" i="7"/>
  <c r="Q123" i="7"/>
  <c r="P123" i="7"/>
  <c r="W16" i="7"/>
  <c r="W15" i="7"/>
  <c r="Q15" i="7"/>
  <c r="P15" i="7"/>
  <c r="W14" i="7"/>
  <c r="W13" i="7"/>
  <c r="I13" i="7"/>
  <c r="J13" i="7" s="1"/>
  <c r="P79" i="7"/>
  <c r="T79" i="7" s="1"/>
  <c r="J78" i="7"/>
  <c r="O78" i="7"/>
  <c r="J16" i="7"/>
  <c r="Q122" i="7"/>
  <c r="P122" i="7"/>
  <c r="T122" i="7" s="1"/>
  <c r="X122" i="7" s="1"/>
  <c r="Q121" i="7"/>
  <c r="V121" i="7" s="1"/>
  <c r="P121" i="7"/>
  <c r="W120" i="7"/>
  <c r="Q120" i="7"/>
  <c r="P120" i="7"/>
  <c r="W110" i="7"/>
  <c r="Q110" i="7"/>
  <c r="P110" i="7"/>
  <c r="T110" i="7" s="1"/>
  <c r="X110" i="7" s="1"/>
  <c r="W109" i="7"/>
  <c r="Q109" i="7"/>
  <c r="P109" i="7"/>
  <c r="P108" i="7"/>
  <c r="W108" i="7"/>
  <c r="Q108" i="7"/>
  <c r="V108" i="7" s="1"/>
  <c r="L108" i="7"/>
  <c r="W107" i="7"/>
  <c r="Q107" i="7"/>
  <c r="V107" i="7" s="1"/>
  <c r="P107" i="7"/>
  <c r="Q106" i="7"/>
  <c r="P106" i="7"/>
  <c r="Q105" i="7"/>
  <c r="V105" i="7" s="1"/>
  <c r="P105" i="7"/>
  <c r="T105" i="7" s="1"/>
  <c r="X105" i="7" s="1"/>
  <c r="Q104" i="7"/>
  <c r="P104" i="7"/>
  <c r="T104" i="7" s="1"/>
  <c r="X104" i="7" s="1"/>
  <c r="W103" i="7"/>
  <c r="Q103" i="7"/>
  <c r="V103" i="7" s="1"/>
  <c r="P103" i="7"/>
  <c r="Q102" i="7"/>
  <c r="P102" i="7"/>
  <c r="Q101" i="7"/>
  <c r="V101" i="7" s="1"/>
  <c r="P101" i="7"/>
  <c r="Q100" i="7"/>
  <c r="V100" i="7" s="1"/>
  <c r="P100" i="7"/>
  <c r="Q115" i="7"/>
  <c r="V115" i="7" s="1"/>
  <c r="P115" i="7"/>
  <c r="Q99" i="7"/>
  <c r="V99" i="7" s="1"/>
  <c r="P99" i="7"/>
  <c r="Q98" i="7"/>
  <c r="P98" i="7"/>
  <c r="Y96" i="7"/>
  <c r="W97" i="7"/>
  <c r="Q97" i="7"/>
  <c r="V97" i="7" s="1"/>
  <c r="P97" i="7"/>
  <c r="M97" i="7"/>
  <c r="O97" i="7"/>
  <c r="U97" i="7"/>
  <c r="J97" i="7"/>
  <c r="W96" i="7"/>
  <c r="Q96" i="7"/>
  <c r="V96" i="7" s="1"/>
  <c r="P96" i="7"/>
  <c r="W95" i="7"/>
  <c r="Q95" i="7"/>
  <c r="P95" i="7"/>
  <c r="Q94" i="7"/>
  <c r="V94" i="7" s="1"/>
  <c r="P94" i="7"/>
  <c r="W93" i="7"/>
  <c r="Q93" i="7"/>
  <c r="V93" i="7" s="1"/>
  <c r="P93" i="7"/>
  <c r="W92" i="7"/>
  <c r="Q92" i="7"/>
  <c r="V92" i="7" s="1"/>
  <c r="P92" i="7"/>
  <c r="W91" i="7"/>
  <c r="V91" i="7"/>
  <c r="Q90" i="7"/>
  <c r="V90" i="7" s="1"/>
  <c r="P90" i="7"/>
  <c r="Q89" i="7"/>
  <c r="P89" i="7"/>
  <c r="Q88" i="7"/>
  <c r="V88" i="7" s="1"/>
  <c r="P88" i="7"/>
  <c r="Q86" i="7"/>
  <c r="V86" i="7" s="1"/>
  <c r="P86" i="7"/>
  <c r="Q85" i="7"/>
  <c r="V85" i="7" s="1"/>
  <c r="P85" i="7"/>
  <c r="Q84" i="7"/>
  <c r="V84" i="7" s="1"/>
  <c r="P84" i="7"/>
  <c r="J84" i="7"/>
  <c r="M84" i="7"/>
  <c r="O84" i="7"/>
  <c r="U84" i="7"/>
  <c r="Y84" i="7"/>
  <c r="U87" i="7"/>
  <c r="Q87" i="7"/>
  <c r="V87" i="7" s="1"/>
  <c r="P87" i="7"/>
  <c r="O87" i="7"/>
  <c r="M87" i="7"/>
  <c r="J87" i="7"/>
  <c r="W83" i="7"/>
  <c r="Q83" i="7"/>
  <c r="V83" i="7" s="1"/>
  <c r="P83" i="7"/>
  <c r="W82" i="7"/>
  <c r="Q82" i="7"/>
  <c r="V82" i="7" s="1"/>
  <c r="P82" i="7"/>
  <c r="W81" i="7"/>
  <c r="Q81" i="7"/>
  <c r="V81" i="7" s="1"/>
  <c r="P81" i="7"/>
  <c r="V80" i="7"/>
  <c r="Q119" i="7"/>
  <c r="P119" i="7"/>
  <c r="Q118" i="7"/>
  <c r="P118" i="7"/>
  <c r="P116" i="7"/>
  <c r="T116" i="7" s="1"/>
  <c r="X116" i="7" s="1"/>
  <c r="Q75" i="7"/>
  <c r="V75" i="7" s="1"/>
  <c r="P75" i="7"/>
  <c r="Q74" i="7"/>
  <c r="V74" i="7" s="1"/>
  <c r="Q73" i="7"/>
  <c r="V73" i="7" s="1"/>
  <c r="P73" i="7"/>
  <c r="Q72" i="7"/>
  <c r="V72" i="7" s="1"/>
  <c r="P72" i="7"/>
  <c r="Q70" i="7"/>
  <c r="V70" i="7" s="1"/>
  <c r="P70" i="7"/>
  <c r="Q69" i="7"/>
  <c r="V69" i="7" s="1"/>
  <c r="P69" i="7"/>
  <c r="Q68" i="7"/>
  <c r="V68" i="7" s="1"/>
  <c r="P68" i="7"/>
  <c r="Q67" i="7"/>
  <c r="V67" i="7" s="1"/>
  <c r="P67" i="7"/>
  <c r="W66" i="7"/>
  <c r="Q66" i="7"/>
  <c r="V66" i="7" s="1"/>
  <c r="P66" i="7"/>
  <c r="W65" i="7"/>
  <c r="Q65" i="7"/>
  <c r="P65" i="7"/>
  <c r="Q64" i="7"/>
  <c r="V64" i="7" s="1"/>
  <c r="P64" i="7"/>
  <c r="Y61" i="7"/>
  <c r="Q61" i="7"/>
  <c r="V61" i="7" s="1"/>
  <c r="P61" i="7"/>
  <c r="J61" i="7"/>
  <c r="M61" i="7"/>
  <c r="O61" i="7"/>
  <c r="U61" i="7"/>
  <c r="U63" i="7"/>
  <c r="Q63" i="7"/>
  <c r="V63" i="7" s="1"/>
  <c r="P63" i="7"/>
  <c r="O63" i="7"/>
  <c r="M63" i="7"/>
  <c r="J63" i="7"/>
  <c r="Q62" i="7"/>
  <c r="V62" i="7" s="1"/>
  <c r="P62" i="7"/>
  <c r="W126" i="7"/>
  <c r="Q126" i="7"/>
  <c r="V126" i="7" s="1"/>
  <c r="P126" i="7"/>
  <c r="W125" i="7"/>
  <c r="Q125" i="7"/>
  <c r="V125" i="7" s="1"/>
  <c r="P125" i="7"/>
  <c r="W124" i="7"/>
  <c r="Q124" i="7"/>
  <c r="V124" i="7" s="1"/>
  <c r="P124" i="7"/>
  <c r="W123" i="7"/>
  <c r="W130" i="7"/>
  <c r="Q130" i="7"/>
  <c r="V130" i="7" s="1"/>
  <c r="P130" i="7"/>
  <c r="W129" i="7"/>
  <c r="Q129" i="7"/>
  <c r="P129" i="7"/>
  <c r="W128" i="7"/>
  <c r="Q128" i="7"/>
  <c r="V128" i="7" s="1"/>
  <c r="P128" i="7"/>
  <c r="P127" i="7"/>
  <c r="W127" i="7"/>
  <c r="Q127" i="7"/>
  <c r="V127" i="7" s="1"/>
  <c r="Q135" i="7"/>
  <c r="P135" i="7"/>
  <c r="Q134" i="7"/>
  <c r="P134" i="7"/>
  <c r="Q133" i="7"/>
  <c r="V133" i="7" s="1"/>
  <c r="P133" i="7"/>
  <c r="Q132" i="7"/>
  <c r="V132" i="7" s="1"/>
  <c r="P132" i="7"/>
  <c r="Q139" i="7"/>
  <c r="V139" i="7" s="1"/>
  <c r="P139" i="7"/>
  <c r="Q138" i="7"/>
  <c r="V138" i="7" s="1"/>
  <c r="P138" i="7"/>
  <c r="Q137" i="7"/>
  <c r="V137" i="7" s="1"/>
  <c r="P137" i="7"/>
  <c r="Q136" i="7"/>
  <c r="V136" i="7" s="1"/>
  <c r="P136" i="7"/>
  <c r="Q145" i="7"/>
  <c r="V145" i="7" s="1"/>
  <c r="P145" i="7"/>
  <c r="Q144" i="7"/>
  <c r="V144" i="7" s="1"/>
  <c r="P144" i="7"/>
  <c r="Q143" i="7"/>
  <c r="V143" i="7" s="1"/>
  <c r="P143" i="7"/>
  <c r="Q142" i="7"/>
  <c r="V142" i="7" s="1"/>
  <c r="P142" i="7"/>
  <c r="W149" i="7"/>
  <c r="Q149" i="7"/>
  <c r="V149" i="7" s="1"/>
  <c r="P149" i="7"/>
  <c r="W148" i="7"/>
  <c r="Q148" i="7"/>
  <c r="V148" i="7" s="1"/>
  <c r="P148" i="7"/>
  <c r="W147" i="7"/>
  <c r="Q147" i="7"/>
  <c r="V147" i="7" s="1"/>
  <c r="P147" i="7"/>
  <c r="W146" i="7"/>
  <c r="Q146" i="7"/>
  <c r="P146" i="7"/>
  <c r="P57" i="7"/>
  <c r="T57" i="7" s="1"/>
  <c r="Q56" i="7"/>
  <c r="P56" i="7"/>
  <c r="Q55" i="7"/>
  <c r="V55" i="7" s="1"/>
  <c r="P55" i="7"/>
  <c r="P54" i="7"/>
  <c r="T54" i="7" s="1"/>
  <c r="X54" i="7" s="1"/>
  <c r="W53" i="7"/>
  <c r="W52" i="7"/>
  <c r="V52" i="7"/>
  <c r="W51" i="7"/>
  <c r="Q51" i="7"/>
  <c r="P51" i="7"/>
  <c r="W50" i="7"/>
  <c r="Q50" i="7"/>
  <c r="V50" i="7" s="1"/>
  <c r="P50" i="7"/>
  <c r="W49" i="7"/>
  <c r="V49" i="7"/>
  <c r="W48" i="7"/>
  <c r="Q48" i="7"/>
  <c r="V48" i="7" s="1"/>
  <c r="P48" i="7"/>
  <c r="W47" i="7"/>
  <c r="Q47" i="7"/>
  <c r="V47" i="7" s="1"/>
  <c r="P47" i="7"/>
  <c r="Q45" i="7"/>
  <c r="V45" i="7" s="1"/>
  <c r="P45" i="7"/>
  <c r="Q44" i="7"/>
  <c r="V44" i="7" s="1"/>
  <c r="P44" i="7"/>
  <c r="Q43" i="7"/>
  <c r="V43" i="7" s="1"/>
  <c r="P43" i="7"/>
  <c r="Q42" i="7"/>
  <c r="V42" i="7" s="1"/>
  <c r="P42" i="7"/>
  <c r="W41" i="7"/>
  <c r="Q41" i="7"/>
  <c r="V41" i="7" s="1"/>
  <c r="P41" i="7"/>
  <c r="W40" i="7"/>
  <c r="Q40" i="7"/>
  <c r="V40" i="7" s="1"/>
  <c r="P40" i="7"/>
  <c r="W39" i="7"/>
  <c r="Q39" i="7"/>
  <c r="V39" i="7" s="1"/>
  <c r="P39" i="7"/>
  <c r="W38" i="7"/>
  <c r="Q38" i="7"/>
  <c r="V38" i="7" s="1"/>
  <c r="P38" i="7"/>
  <c r="Q37" i="7"/>
  <c r="V37" i="7" s="1"/>
  <c r="P37" i="7"/>
  <c r="Q36" i="7"/>
  <c r="P36" i="7"/>
  <c r="Q35" i="7"/>
  <c r="P35" i="7"/>
  <c r="Q34" i="7"/>
  <c r="V34" i="7" s="1"/>
  <c r="P34" i="7"/>
  <c r="Q32" i="7"/>
  <c r="V32" i="7" s="1"/>
  <c r="P32" i="7"/>
  <c r="Q31" i="7"/>
  <c r="V31" i="7" s="1"/>
  <c r="P31" i="7"/>
  <c r="W29" i="7"/>
  <c r="Q29" i="7"/>
  <c r="V29" i="7" s="1"/>
  <c r="P29" i="7"/>
  <c r="W28" i="7"/>
  <c r="Q28" i="7"/>
  <c r="V28" i="7" s="1"/>
  <c r="P28" i="7"/>
  <c r="W27" i="7"/>
  <c r="Y27" i="7"/>
  <c r="Q27" i="7"/>
  <c r="V27" i="7" s="1"/>
  <c r="P27" i="7"/>
  <c r="W26" i="7"/>
  <c r="Q26" i="7"/>
  <c r="V26" i="7" s="1"/>
  <c r="P26" i="7"/>
  <c r="P25" i="7"/>
  <c r="T25" i="7" s="1"/>
  <c r="X25" i="7" s="1"/>
  <c r="W24" i="7"/>
  <c r="V24" i="7"/>
  <c r="W23" i="7"/>
  <c r="Q23" i="7"/>
  <c r="V23" i="7" s="1"/>
  <c r="P23" i="7"/>
  <c r="W22" i="7"/>
  <c r="W21" i="7"/>
  <c r="Q21" i="7"/>
  <c r="P21" i="7"/>
  <c r="P20" i="7"/>
  <c r="T20" i="7" s="1"/>
  <c r="X20" i="7" s="1"/>
  <c r="M19" i="7"/>
  <c r="J19" i="7"/>
  <c r="P18" i="7"/>
  <c r="Q17" i="7"/>
  <c r="V17" i="7" s="1"/>
  <c r="P17" i="7"/>
  <c r="Y148" i="7"/>
  <c r="Y147" i="7"/>
  <c r="Y146" i="7"/>
  <c r="Y144" i="7"/>
  <c r="Y143" i="7"/>
  <c r="Y142" i="7"/>
  <c r="Y140" i="7"/>
  <c r="Y139" i="7"/>
  <c r="Y138" i="7"/>
  <c r="Y137" i="7"/>
  <c r="Y136" i="7"/>
  <c r="Y134" i="7"/>
  <c r="Y133" i="7"/>
  <c r="Y132" i="7"/>
  <c r="Y131" i="7"/>
  <c r="Y129" i="7"/>
  <c r="Y128" i="7"/>
  <c r="Y127" i="7"/>
  <c r="Y125" i="7"/>
  <c r="Y124" i="7"/>
  <c r="Y123" i="7"/>
  <c r="Y121" i="7"/>
  <c r="Y120" i="7"/>
  <c r="Y119" i="7"/>
  <c r="Y118" i="7"/>
  <c r="Y117" i="7"/>
  <c r="Y116" i="7"/>
  <c r="Y113" i="7"/>
  <c r="Y112" i="7"/>
  <c r="Y111" i="7"/>
  <c r="Y109" i="7"/>
  <c r="Y108" i="7"/>
  <c r="Y107" i="7"/>
  <c r="Y105" i="7"/>
  <c r="Y104" i="7"/>
  <c r="Y103" i="7"/>
  <c r="Y101" i="7"/>
  <c r="Y100" i="7"/>
  <c r="Y98" i="7"/>
  <c r="Y95" i="7"/>
  <c r="Y92" i="7"/>
  <c r="Y91" i="7"/>
  <c r="Y90" i="7"/>
  <c r="Y88" i="7"/>
  <c r="Y86" i="7"/>
  <c r="Y85" i="7"/>
  <c r="Y82" i="7"/>
  <c r="Y81" i="7"/>
  <c r="Y80" i="7"/>
  <c r="Y78" i="7"/>
  <c r="Y77" i="7"/>
  <c r="Y76" i="7"/>
  <c r="Y74" i="7"/>
  <c r="Y73" i="7"/>
  <c r="Y72" i="7"/>
  <c r="Y70" i="7"/>
  <c r="Y69" i="7"/>
  <c r="Y68" i="7"/>
  <c r="Y66" i="7"/>
  <c r="Y65" i="7"/>
  <c r="Y64" i="7"/>
  <c r="Y62" i="7"/>
  <c r="Y60" i="7"/>
  <c r="Y59" i="7"/>
  <c r="Y58" i="7"/>
  <c r="Y56" i="7"/>
  <c r="Y55" i="7"/>
  <c r="Y54" i="7"/>
  <c r="Y52" i="7"/>
  <c r="Y51" i="7"/>
  <c r="Y50" i="7"/>
  <c r="Y48" i="7"/>
  <c r="Y47" i="7"/>
  <c r="Y46" i="7"/>
  <c r="Y44" i="7"/>
  <c r="Y43" i="7"/>
  <c r="Y42" i="7"/>
  <c r="Y40" i="7"/>
  <c r="Y39" i="7"/>
  <c r="Y38" i="7"/>
  <c r="Y36" i="7"/>
  <c r="Y35" i="7"/>
  <c r="Y34" i="7"/>
  <c r="Y32" i="7"/>
  <c r="Y31" i="7"/>
  <c r="Y30" i="7"/>
  <c r="Y28" i="7"/>
  <c r="Y26" i="7"/>
  <c r="Y23" i="7"/>
  <c r="Y22" i="7"/>
  <c r="Y21" i="7"/>
  <c r="Y19" i="7"/>
  <c r="Y18" i="7"/>
  <c r="Y17" i="7"/>
  <c r="Y15" i="7"/>
  <c r="Y14" i="7"/>
  <c r="Y13" i="7"/>
  <c r="W12" i="7"/>
  <c r="Q12" i="7"/>
  <c r="V12" i="7" s="1"/>
  <c r="P12" i="7"/>
  <c r="Y11" i="7"/>
  <c r="W11" i="7"/>
  <c r="Q11" i="7"/>
  <c r="V11" i="7" s="1"/>
  <c r="P11" i="7"/>
  <c r="Y10" i="7"/>
  <c r="W10" i="7"/>
  <c r="Q10" i="7"/>
  <c r="V10" i="7" s="1"/>
  <c r="P10" i="7"/>
  <c r="M149" i="7"/>
  <c r="M148" i="7"/>
  <c r="M147" i="7"/>
  <c r="M146" i="7"/>
  <c r="M145" i="7"/>
  <c r="M144" i="7"/>
  <c r="M143" i="7"/>
  <c r="M142" i="7"/>
  <c r="M141" i="7"/>
  <c r="M140" i="7"/>
  <c r="M139" i="7"/>
  <c r="M138" i="7"/>
  <c r="M137" i="7"/>
  <c r="M136" i="7"/>
  <c r="M135" i="7"/>
  <c r="M134" i="7"/>
  <c r="M133" i="7"/>
  <c r="M132" i="7"/>
  <c r="M131" i="7"/>
  <c r="M130" i="7"/>
  <c r="M129" i="7"/>
  <c r="M128" i="7"/>
  <c r="M127" i="7"/>
  <c r="M126" i="7"/>
  <c r="M125" i="7"/>
  <c r="M124" i="7"/>
  <c r="M123" i="7"/>
  <c r="M122" i="7"/>
  <c r="M121" i="7"/>
  <c r="M120" i="7"/>
  <c r="M119" i="7"/>
  <c r="M118" i="7"/>
  <c r="M117" i="7"/>
  <c r="M116" i="7"/>
  <c r="M115" i="7"/>
  <c r="M114" i="7"/>
  <c r="M113" i="7"/>
  <c r="M112" i="7"/>
  <c r="M111" i="7"/>
  <c r="M110" i="7"/>
  <c r="M109" i="7"/>
  <c r="M108" i="7"/>
  <c r="M107" i="7"/>
  <c r="M106" i="7"/>
  <c r="M105" i="7"/>
  <c r="M104" i="7"/>
  <c r="M103" i="7"/>
  <c r="M102" i="7"/>
  <c r="M101" i="7"/>
  <c r="M100" i="7"/>
  <c r="M99" i="7"/>
  <c r="M98" i="7"/>
  <c r="M96" i="7"/>
  <c r="M95" i="7"/>
  <c r="M94" i="7"/>
  <c r="M93" i="7"/>
  <c r="M92" i="7"/>
  <c r="M91" i="7"/>
  <c r="M90" i="7"/>
  <c r="M89" i="7"/>
  <c r="M88" i="7"/>
  <c r="M86" i="7"/>
  <c r="M85" i="7"/>
  <c r="M83" i="7"/>
  <c r="M82" i="7"/>
  <c r="M81" i="7"/>
  <c r="M80" i="7"/>
  <c r="M79" i="7"/>
  <c r="M78" i="7"/>
  <c r="M77" i="7"/>
  <c r="M76" i="7"/>
  <c r="M75" i="7"/>
  <c r="M74" i="7"/>
  <c r="M73" i="7"/>
  <c r="M72" i="7"/>
  <c r="M71" i="7"/>
  <c r="M70" i="7"/>
  <c r="M69" i="7"/>
  <c r="M68" i="7"/>
  <c r="M67" i="7"/>
  <c r="M66" i="7"/>
  <c r="M65" i="7"/>
  <c r="M64" i="7"/>
  <c r="M62" i="7"/>
  <c r="M60" i="7"/>
  <c r="M59" i="7"/>
  <c r="M58" i="7"/>
  <c r="M57" i="7"/>
  <c r="M56" i="7"/>
  <c r="M55" i="7"/>
  <c r="M54" i="7"/>
  <c r="M53" i="7"/>
  <c r="M52" i="7"/>
  <c r="M51" i="7"/>
  <c r="M50" i="7"/>
  <c r="M49" i="7"/>
  <c r="M48" i="7"/>
  <c r="M47" i="7"/>
  <c r="M46" i="7"/>
  <c r="M45" i="7"/>
  <c r="M44" i="7"/>
  <c r="M43" i="7"/>
  <c r="M42" i="7"/>
  <c r="M41" i="7"/>
  <c r="M40" i="7"/>
  <c r="M39" i="7"/>
  <c r="M38" i="7"/>
  <c r="M37" i="7"/>
  <c r="M36" i="7"/>
  <c r="M35" i="7"/>
  <c r="M34" i="7"/>
  <c r="M33" i="7"/>
  <c r="M32" i="7"/>
  <c r="M31" i="7"/>
  <c r="M30" i="7"/>
  <c r="M29" i="7"/>
  <c r="M28" i="7"/>
  <c r="M27" i="7"/>
  <c r="M26" i="7"/>
  <c r="M25" i="7"/>
  <c r="M24" i="7"/>
  <c r="M23" i="7"/>
  <c r="M22" i="7"/>
  <c r="M21" i="7"/>
  <c r="M20" i="7"/>
  <c r="M18" i="7"/>
  <c r="M17" i="7"/>
  <c r="M16" i="7"/>
  <c r="M15" i="7"/>
  <c r="M14" i="7"/>
  <c r="M13" i="7"/>
  <c r="V141" i="7"/>
  <c r="V140" i="7"/>
  <c r="V131" i="7"/>
  <c r="V122" i="7"/>
  <c r="V120" i="7"/>
  <c r="V119" i="7"/>
  <c r="V116" i="7"/>
  <c r="V114" i="7"/>
  <c r="V113" i="7"/>
  <c r="V111" i="7"/>
  <c r="V110" i="7"/>
  <c r="V109" i="7"/>
  <c r="V106" i="7"/>
  <c r="V104" i="7"/>
  <c r="V102" i="7"/>
  <c r="V95" i="7"/>
  <c r="V89" i="7"/>
  <c r="V79" i="7"/>
  <c r="V78" i="7"/>
  <c r="V77" i="7"/>
  <c r="V76" i="7"/>
  <c r="V65" i="7"/>
  <c r="V57" i="7"/>
  <c r="V54" i="7"/>
  <c r="V51" i="7"/>
  <c r="V35" i="7"/>
  <c r="V25" i="7"/>
  <c r="V20" i="7"/>
  <c r="V19" i="7"/>
  <c r="V18" i="7"/>
  <c r="V16" i="7"/>
  <c r="V15" i="7"/>
  <c r="V14" i="7"/>
  <c r="V13" i="7"/>
  <c r="U149" i="7"/>
  <c r="U148" i="7"/>
  <c r="U147" i="7"/>
  <c r="U146" i="7"/>
  <c r="U145" i="7"/>
  <c r="U144" i="7"/>
  <c r="U143" i="7"/>
  <c r="U142" i="7"/>
  <c r="U141" i="7"/>
  <c r="U140" i="7"/>
  <c r="U139" i="7"/>
  <c r="U138" i="7"/>
  <c r="U137" i="7"/>
  <c r="U136" i="7"/>
  <c r="U135" i="7"/>
  <c r="U134" i="7"/>
  <c r="U133" i="7"/>
  <c r="U132" i="7"/>
  <c r="U131" i="7"/>
  <c r="U130" i="7"/>
  <c r="U129" i="7"/>
  <c r="U128" i="7"/>
  <c r="U127" i="7"/>
  <c r="U126" i="7"/>
  <c r="U125" i="7"/>
  <c r="U124" i="7"/>
  <c r="U123" i="7"/>
  <c r="U122" i="7"/>
  <c r="U121" i="7"/>
  <c r="U120" i="7"/>
  <c r="U119" i="7"/>
  <c r="U118" i="7"/>
  <c r="U117" i="7"/>
  <c r="U116" i="7"/>
  <c r="U115" i="7"/>
  <c r="U114" i="7"/>
  <c r="U113" i="7"/>
  <c r="U112" i="7"/>
  <c r="U111" i="7"/>
  <c r="U110" i="7"/>
  <c r="U109" i="7"/>
  <c r="U108" i="7"/>
  <c r="U107" i="7"/>
  <c r="U106" i="7"/>
  <c r="U105" i="7"/>
  <c r="U104" i="7"/>
  <c r="U103" i="7"/>
  <c r="U102" i="7"/>
  <c r="U101" i="7"/>
  <c r="U100" i="7"/>
  <c r="U99" i="7"/>
  <c r="U98" i="7"/>
  <c r="U96" i="7"/>
  <c r="U95" i="7"/>
  <c r="U94" i="7"/>
  <c r="U93" i="7"/>
  <c r="U92" i="7"/>
  <c r="U91" i="7"/>
  <c r="U90" i="7"/>
  <c r="U89" i="7"/>
  <c r="U88" i="7"/>
  <c r="U86" i="7"/>
  <c r="U85" i="7"/>
  <c r="U83" i="7"/>
  <c r="U82" i="7"/>
  <c r="U81" i="7"/>
  <c r="U80" i="7"/>
  <c r="U78" i="7"/>
  <c r="U77" i="7"/>
  <c r="U76" i="7"/>
  <c r="U75" i="7"/>
  <c r="U74" i="7"/>
  <c r="U73" i="7"/>
  <c r="U72" i="7"/>
  <c r="U71" i="7"/>
  <c r="U70" i="7"/>
  <c r="U69" i="7"/>
  <c r="U68" i="7"/>
  <c r="U67" i="7"/>
  <c r="U66" i="7"/>
  <c r="U65" i="7"/>
  <c r="U64" i="7"/>
  <c r="U62" i="7"/>
  <c r="U60" i="7"/>
  <c r="U59" i="7"/>
  <c r="U57" i="7"/>
  <c r="U56" i="7"/>
  <c r="U55" i="7"/>
  <c r="U54" i="7"/>
  <c r="U53" i="7"/>
  <c r="U52" i="7"/>
  <c r="U51" i="7"/>
  <c r="U50" i="7"/>
  <c r="U49" i="7"/>
  <c r="U48" i="7"/>
  <c r="U47" i="7"/>
  <c r="U45" i="7"/>
  <c r="U44" i="7"/>
  <c r="U43" i="7"/>
  <c r="U42" i="7"/>
  <c r="U41" i="7"/>
  <c r="U40" i="7"/>
  <c r="U39" i="7"/>
  <c r="U38" i="7"/>
  <c r="U37" i="7"/>
  <c r="U36" i="7"/>
  <c r="U35" i="7"/>
  <c r="U34" i="7"/>
  <c r="U33" i="7"/>
  <c r="U32" i="7"/>
  <c r="U31" i="7"/>
  <c r="U30" i="7"/>
  <c r="U29" i="7"/>
  <c r="U28" i="7"/>
  <c r="U27" i="7"/>
  <c r="U26" i="7"/>
  <c r="U25" i="7"/>
  <c r="U24" i="7"/>
  <c r="U23" i="7"/>
  <c r="U22" i="7"/>
  <c r="U21" i="7"/>
  <c r="U20" i="7"/>
  <c r="U19" i="7"/>
  <c r="U18" i="7"/>
  <c r="U17" i="7"/>
  <c r="U15" i="7"/>
  <c r="U14" i="7"/>
  <c r="U13" i="7"/>
  <c r="U12" i="7"/>
  <c r="U11" i="7"/>
  <c r="U10" i="7"/>
  <c r="T141" i="7"/>
  <c r="X141" i="7" s="1"/>
  <c r="T140" i="7"/>
  <c r="X140" i="7" s="1"/>
  <c r="T131" i="7"/>
  <c r="X131" i="7" s="1"/>
  <c r="T114" i="7"/>
  <c r="X114" i="7" s="1"/>
  <c r="T111" i="7"/>
  <c r="X111" i="7" s="1"/>
  <c r="T106" i="7"/>
  <c r="X106" i="7" s="1"/>
  <c r="T103" i="7"/>
  <c r="X103" i="7" s="1"/>
  <c r="T86" i="7"/>
  <c r="X86" i="7" s="1"/>
  <c r="T78" i="7"/>
  <c r="X78" i="7" s="1"/>
  <c r="T77" i="7"/>
  <c r="X77" i="7" s="1"/>
  <c r="T76" i="7"/>
  <c r="X76" i="7" s="1"/>
  <c r="T18" i="7"/>
  <c r="X18" i="7" s="1"/>
  <c r="T16" i="7"/>
  <c r="T15" i="7"/>
  <c r="X15" i="7" s="1"/>
  <c r="T14" i="7"/>
  <c r="X14" i="7" s="1"/>
  <c r="T13" i="7"/>
  <c r="X13" i="7" s="1"/>
  <c r="Q9" i="7"/>
  <c r="V9" i="7" s="1"/>
  <c r="O149" i="7"/>
  <c r="O148" i="7"/>
  <c r="O147" i="7"/>
  <c r="O146" i="7"/>
  <c r="O145" i="7"/>
  <c r="O144" i="7"/>
  <c r="O143" i="7"/>
  <c r="O142" i="7"/>
  <c r="O141" i="7"/>
  <c r="O140" i="7"/>
  <c r="O139" i="7"/>
  <c r="O138" i="7"/>
  <c r="O137" i="7"/>
  <c r="O136" i="7"/>
  <c r="O135" i="7"/>
  <c r="O134" i="7"/>
  <c r="O133" i="7"/>
  <c r="O132" i="7"/>
  <c r="O131" i="7"/>
  <c r="O130" i="7"/>
  <c r="O129" i="7"/>
  <c r="O128" i="7"/>
  <c r="O127" i="7"/>
  <c r="O126" i="7"/>
  <c r="O125" i="7"/>
  <c r="O124" i="7"/>
  <c r="O123" i="7"/>
  <c r="O122" i="7"/>
  <c r="O121" i="7"/>
  <c r="O120" i="7"/>
  <c r="O119" i="7"/>
  <c r="O118" i="7"/>
  <c r="O117" i="7"/>
  <c r="O116" i="7"/>
  <c r="O115" i="7"/>
  <c r="O114" i="7"/>
  <c r="O113" i="7"/>
  <c r="O112" i="7"/>
  <c r="O111" i="7"/>
  <c r="O110" i="7"/>
  <c r="O109" i="7"/>
  <c r="O108" i="7"/>
  <c r="O107" i="7"/>
  <c r="O106" i="7"/>
  <c r="O105" i="7"/>
  <c r="O104" i="7"/>
  <c r="O103" i="7"/>
  <c r="O102" i="7"/>
  <c r="O101" i="7"/>
  <c r="O100" i="7"/>
  <c r="O99" i="7"/>
  <c r="O98" i="7"/>
  <c r="O96" i="7"/>
  <c r="O95" i="7"/>
  <c r="O94" i="7"/>
  <c r="O93" i="7"/>
  <c r="O92" i="7"/>
  <c r="O91" i="7"/>
  <c r="O90" i="7"/>
  <c r="O89" i="7"/>
  <c r="O88" i="7"/>
  <c r="O86" i="7"/>
  <c r="O85" i="7"/>
  <c r="O83" i="7"/>
  <c r="O82" i="7"/>
  <c r="O81" i="7"/>
  <c r="O80" i="7"/>
  <c r="O79" i="7"/>
  <c r="O77" i="7"/>
  <c r="O76" i="7"/>
  <c r="O75" i="7"/>
  <c r="O74" i="7"/>
  <c r="O73" i="7"/>
  <c r="O72" i="7"/>
  <c r="O71" i="7"/>
  <c r="O70" i="7"/>
  <c r="O69" i="7"/>
  <c r="O68" i="7"/>
  <c r="O67" i="7"/>
  <c r="O66" i="7"/>
  <c r="O65" i="7"/>
  <c r="O64" i="7"/>
  <c r="O62"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8" i="7"/>
  <c r="O17" i="7"/>
  <c r="O16" i="7"/>
  <c r="O15" i="7"/>
  <c r="O14" i="7"/>
  <c r="O13" i="7"/>
  <c r="O12" i="7"/>
  <c r="O11" i="7"/>
  <c r="O10" i="7"/>
  <c r="M12" i="7"/>
  <c r="M11" i="7"/>
  <c r="M1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6" i="7"/>
  <c r="J95" i="7"/>
  <c r="J94" i="7"/>
  <c r="J93" i="7"/>
  <c r="J92" i="7"/>
  <c r="J91" i="7"/>
  <c r="J90" i="7"/>
  <c r="J89" i="7"/>
  <c r="J88" i="7"/>
  <c r="J86" i="7"/>
  <c r="J85" i="7"/>
  <c r="J83" i="7"/>
  <c r="J82" i="7"/>
  <c r="J81" i="7"/>
  <c r="J80" i="7"/>
  <c r="J79" i="7"/>
  <c r="J77" i="7"/>
  <c r="J76" i="7"/>
  <c r="J75" i="7"/>
  <c r="J74" i="7"/>
  <c r="J73" i="7"/>
  <c r="J72" i="7"/>
  <c r="J71" i="7"/>
  <c r="J70" i="7"/>
  <c r="J69" i="7"/>
  <c r="J68" i="7"/>
  <c r="J67" i="7"/>
  <c r="J66" i="7"/>
  <c r="J65" i="7"/>
  <c r="J64" i="7"/>
  <c r="J62"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8" i="7"/>
  <c r="J17" i="7"/>
  <c r="J15" i="7"/>
  <c r="J14" i="7"/>
  <c r="J12" i="7"/>
  <c r="J11" i="7"/>
  <c r="J10" i="7"/>
  <c r="Y9" i="7"/>
  <c r="W9" i="7"/>
  <c r="U9" i="7"/>
  <c r="P9" i="7"/>
  <c r="O9" i="7"/>
  <c r="J9" i="7"/>
  <c r="T94" i="7" l="1"/>
  <c r="X94" i="7" s="1"/>
  <c r="T98" i="7"/>
  <c r="X98" i="7" s="1"/>
  <c r="T58" i="7"/>
  <c r="X58" i="7" s="1"/>
  <c r="T100" i="7"/>
  <c r="X100" i="7" s="1"/>
  <c r="X79" i="7"/>
  <c r="T112" i="7"/>
  <c r="X112" i="7" s="1"/>
  <c r="T107" i="7"/>
  <c r="X107" i="7" s="1"/>
  <c r="T109" i="7"/>
  <c r="X109" i="7" s="1"/>
  <c r="T121" i="7"/>
  <c r="X121" i="7" s="1"/>
  <c r="U16" i="7"/>
  <c r="T21" i="7"/>
  <c r="X21" i="7" s="1"/>
  <c r="T138" i="7"/>
  <c r="X138" i="7" s="1"/>
  <c r="T85" i="7"/>
  <c r="X85" i="7" s="1"/>
  <c r="T96" i="7"/>
  <c r="X96" i="7" s="1"/>
  <c r="T115" i="7"/>
  <c r="X115" i="7" s="1"/>
  <c r="T99" i="7"/>
  <c r="X99" i="7" s="1"/>
  <c r="T102" i="7"/>
  <c r="X102" i="7" s="1"/>
  <c r="T97" i="7"/>
  <c r="X97" i="7" s="1"/>
  <c r="T101" i="7"/>
  <c r="X101" i="7" s="1"/>
  <c r="T108" i="7"/>
  <c r="X108" i="7" s="1"/>
  <c r="T120" i="7"/>
  <c r="X120" i="7" s="1"/>
  <c r="T59" i="7"/>
  <c r="X59" i="7" s="1"/>
  <c r="V98" i="7"/>
  <c r="T127" i="7"/>
  <c r="X127" i="7" s="1"/>
  <c r="T33" i="7"/>
  <c r="X33" i="7" s="1"/>
  <c r="V21" i="7"/>
  <c r="T95" i="7"/>
  <c r="X95" i="7" s="1"/>
  <c r="T119" i="7"/>
  <c r="X119" i="7" s="1"/>
  <c r="T31" i="7"/>
  <c r="X31" i="7" s="1"/>
  <c r="T69" i="7"/>
  <c r="X69" i="7" s="1"/>
  <c r="T73" i="7"/>
  <c r="X73" i="7" s="1"/>
  <c r="T71" i="7"/>
  <c r="X71" i="7" s="1"/>
  <c r="T89" i="7"/>
  <c r="X89" i="7" s="1"/>
  <c r="T12" i="7"/>
  <c r="X12" i="7" s="1"/>
  <c r="T146" i="7"/>
  <c r="X146" i="7" s="1"/>
  <c r="T134" i="7"/>
  <c r="X134" i="7" s="1"/>
  <c r="T123" i="7"/>
  <c r="X123" i="7" s="1"/>
  <c r="T80" i="7"/>
  <c r="X80" i="7" s="1"/>
  <c r="T93" i="7"/>
  <c r="X93" i="7" s="1"/>
  <c r="T66" i="7"/>
  <c r="X66" i="7" s="1"/>
  <c r="T88" i="7"/>
  <c r="X88" i="7" s="1"/>
  <c r="V59" i="7"/>
  <c r="T26" i="7"/>
  <c r="X26" i="7" s="1"/>
  <c r="T142" i="7"/>
  <c r="X142" i="7" s="1"/>
  <c r="T36" i="7"/>
  <c r="X36" i="7" s="1"/>
  <c r="T56" i="7"/>
  <c r="X56" i="7" s="1"/>
  <c r="T39" i="7"/>
  <c r="X39" i="7" s="1"/>
  <c r="T136" i="7"/>
  <c r="X136" i="7" s="1"/>
  <c r="T52" i="7"/>
  <c r="X52" i="7" s="1"/>
  <c r="T30" i="7"/>
  <c r="T34" i="7"/>
  <c r="X34" i="7" s="1"/>
  <c r="T38" i="7"/>
  <c r="X38" i="7" s="1"/>
  <c r="T44" i="7"/>
  <c r="X44" i="7" s="1"/>
  <c r="T126" i="7"/>
  <c r="X126" i="7" s="1"/>
  <c r="T65" i="7"/>
  <c r="X65" i="7" s="1"/>
  <c r="T68" i="7"/>
  <c r="X68" i="7" s="1"/>
  <c r="T22" i="7"/>
  <c r="T91" i="7"/>
  <c r="X91" i="7" s="1"/>
  <c r="V22" i="7"/>
  <c r="V146" i="7"/>
  <c r="T145" i="7"/>
  <c r="X145" i="7" s="1"/>
  <c r="T81" i="7"/>
  <c r="X81" i="7" s="1"/>
  <c r="T117" i="7"/>
  <c r="X117" i="7" s="1"/>
  <c r="V134" i="7"/>
  <c r="V123" i="7"/>
  <c r="T90" i="7"/>
  <c r="X90" i="7" s="1"/>
  <c r="T70" i="7"/>
  <c r="X70" i="7" s="1"/>
  <c r="T74" i="7"/>
  <c r="X74" i="7" s="1"/>
  <c r="T118" i="7"/>
  <c r="X118" i="7" s="1"/>
  <c r="T82" i="7"/>
  <c r="X82" i="7" s="1"/>
  <c r="T92" i="7"/>
  <c r="T24" i="7"/>
  <c r="X24" i="7" s="1"/>
  <c r="T50" i="7"/>
  <c r="T148" i="7"/>
  <c r="X148" i="7" s="1"/>
  <c r="T143" i="7"/>
  <c r="T137" i="7"/>
  <c r="X137" i="7" s="1"/>
  <c r="T133" i="7"/>
  <c r="X133" i="7" s="1"/>
  <c r="T60" i="7"/>
  <c r="X60" i="7" s="1"/>
  <c r="T87" i="7"/>
  <c r="X87" i="7" s="1"/>
  <c r="T27" i="7"/>
  <c r="X27" i="7" s="1"/>
  <c r="T37" i="7"/>
  <c r="X37" i="7" s="1"/>
  <c r="T40" i="7"/>
  <c r="X40" i="7" s="1"/>
  <c r="T128" i="7"/>
  <c r="X128" i="7" s="1"/>
  <c r="T64" i="7"/>
  <c r="X64" i="7" s="1"/>
  <c r="T75" i="7"/>
  <c r="X75" i="7" s="1"/>
  <c r="T48" i="7"/>
  <c r="X48" i="7" s="1"/>
  <c r="T83" i="7"/>
  <c r="X83" i="7" s="1"/>
  <c r="T62" i="7"/>
  <c r="X62" i="7" s="1"/>
  <c r="T11" i="7"/>
  <c r="X11" i="7" s="1"/>
  <c r="V56" i="7"/>
  <c r="V36" i="7"/>
  <c r="T53" i="7"/>
  <c r="X53" i="7" s="1"/>
  <c r="T84" i="7"/>
  <c r="X84" i="7" s="1"/>
  <c r="T23" i="7"/>
  <c r="X23" i="7" s="1"/>
  <c r="V118" i="7"/>
  <c r="O19" i="7"/>
  <c r="T28" i="7"/>
  <c r="X28" i="7" s="1"/>
  <c r="T35" i="7"/>
  <c r="X35" i="7" s="1"/>
  <c r="T41" i="7"/>
  <c r="X41" i="7" s="1"/>
  <c r="T45" i="7"/>
  <c r="X45" i="7" s="1"/>
  <c r="T49" i="7"/>
  <c r="T147" i="7"/>
  <c r="X147" i="7" s="1"/>
  <c r="T135" i="7"/>
  <c r="X135" i="7" s="1"/>
  <c r="T129" i="7"/>
  <c r="X129" i="7" s="1"/>
  <c r="T42" i="7"/>
  <c r="X42" i="7" s="1"/>
  <c r="T63" i="7"/>
  <c r="X63" i="7" s="1"/>
  <c r="T61" i="7"/>
  <c r="X61" i="7" s="1"/>
  <c r="T72" i="7"/>
  <c r="X72" i="7" s="1"/>
  <c r="T67" i="7"/>
  <c r="X67" i="7" s="1"/>
  <c r="T9" i="7"/>
  <c r="V135" i="7"/>
  <c r="X16" i="7"/>
  <c r="T139" i="7"/>
  <c r="X139" i="7" s="1"/>
  <c r="T32" i="7"/>
  <c r="T47" i="7"/>
  <c r="X47" i="7" s="1"/>
  <c r="T130" i="7"/>
  <c r="X130" i="7" s="1"/>
  <c r="V129" i="7"/>
  <c r="T125" i="7"/>
  <c r="X125" i="7" s="1"/>
  <c r="T29" i="7"/>
  <c r="X29" i="7" s="1"/>
  <c r="T43" i="7"/>
  <c r="X43" i="7" s="1"/>
  <c r="T10" i="7"/>
  <c r="X10" i="7" s="1"/>
  <c r="T144" i="7"/>
  <c r="T51" i="7"/>
  <c r="X51" i="7" s="1"/>
  <c r="T149" i="7"/>
  <c r="X149" i="7" s="1"/>
  <c r="T124" i="7"/>
  <c r="X124" i="7" s="1"/>
  <c r="T132" i="7"/>
  <c r="X57" i="7"/>
  <c r="T55" i="7"/>
  <c r="X55" i="7" s="1"/>
  <c r="V53" i="7"/>
  <c r="T17" i="7"/>
  <c r="AJ60" i="4"/>
  <c r="AB60" i="4"/>
  <c r="AJ93" i="4"/>
  <c r="AJ34" i="4"/>
  <c r="AB34" i="4"/>
  <c r="AJ82" i="4"/>
  <c r="AJ37" i="4"/>
  <c r="AJ71" i="4"/>
  <c r="AB71" i="4"/>
  <c r="T71" i="4"/>
  <c r="AJ28" i="4"/>
  <c r="AB28" i="4"/>
  <c r="AJ92" i="4"/>
  <c r="AB92" i="4"/>
  <c r="T92" i="4"/>
  <c r="AB40" i="4"/>
  <c r="AJ40" i="4"/>
  <c r="T86" i="4"/>
  <c r="AB86" i="4"/>
  <c r="AJ86" i="4"/>
  <c r="AJ80" i="4"/>
  <c r="AB80" i="4"/>
  <c r="T80" i="4"/>
  <c r="AJ74" i="4"/>
  <c r="AJ48" i="4"/>
  <c r="AJ25" i="4"/>
  <c r="AJ9" i="4"/>
  <c r="AJ102" i="4"/>
  <c r="AJ99" i="4"/>
  <c r="AJ83" i="4"/>
  <c r="AJ106" i="4"/>
  <c r="AJ63" i="4"/>
  <c r="AJ18" i="4"/>
  <c r="AJ46" i="4"/>
  <c r="AJ75" i="4"/>
  <c r="AJ69" i="4"/>
  <c r="AJ78" i="4"/>
  <c r="AJ22" i="4"/>
  <c r="AJ21" i="4"/>
  <c r="AJ117" i="4"/>
  <c r="AJ31" i="4"/>
  <c r="AJ54" i="4"/>
  <c r="AJ66" i="4"/>
  <c r="AJ109" i="4"/>
  <c r="AB109" i="4"/>
  <c r="T109" i="4"/>
  <c r="AB66" i="4"/>
  <c r="AB54" i="4"/>
  <c r="AB46" i="4"/>
  <c r="AB31" i="4"/>
  <c r="AB117" i="4"/>
  <c r="T117" i="4"/>
  <c r="AB83" i="4"/>
  <c r="T83" i="4"/>
  <c r="AB78" i="4"/>
  <c r="T78" i="4"/>
  <c r="AB69" i="4"/>
  <c r="T69" i="4"/>
  <c r="AB75" i="4"/>
  <c r="T75" i="4"/>
  <c r="AB106" i="4"/>
  <c r="T106" i="4"/>
  <c r="AB9" i="4"/>
  <c r="AJ51" i="4"/>
  <c r="AB51" i="4"/>
  <c r="AJ96" i="4"/>
  <c r="AB96" i="4"/>
  <c r="T96" i="4"/>
  <c r="M9" i="7"/>
  <c r="X49" i="7" l="1"/>
  <c r="X22" i="7"/>
  <c r="X143" i="7"/>
  <c r="X50" i="7"/>
  <c r="X30" i="7"/>
  <c r="X144" i="7"/>
  <c r="X92" i="7"/>
  <c r="X132" i="7"/>
  <c r="X17" i="7"/>
  <c r="X32" i="7"/>
  <c r="X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Heather Roth</author>
    <author>Patrick J. Gavin</author>
  </authors>
  <commentList>
    <comment ref="AB7" authorId="0" shapeId="0" xr:uid="{00000000-0006-0000-0100-000001000000}">
      <text>
        <r>
          <rPr>
            <b/>
            <sz val="9"/>
            <color indexed="81"/>
            <rFont val="Tahoma"/>
            <family val="2"/>
          </rPr>
          <t xml:space="preserve">If your state only administers an ELA exam </t>
        </r>
        <r>
          <rPr>
            <b/>
            <u/>
            <sz val="9"/>
            <color indexed="81"/>
            <rFont val="Tahoma"/>
            <family val="2"/>
          </rPr>
          <t>and not</t>
        </r>
        <r>
          <rPr>
            <b/>
            <sz val="9"/>
            <color indexed="81"/>
            <rFont val="Tahoma"/>
            <family val="2"/>
          </rPr>
          <t xml:space="preserve"> Reading, please include the ELA results here</t>
        </r>
      </text>
    </comment>
    <comment ref="C8" authorId="0" shapeId="0" xr:uid="{00000000-0006-0000-0100-000002000000}">
      <text>
        <r>
          <rPr>
            <sz val="9"/>
            <color indexed="81"/>
            <rFont val="Tahoma"/>
            <family val="2"/>
          </rPr>
          <t>Unique number assigned to the organization upon registering for the application. Entity ID for the District and State should match the EID assigned to your Charter.</t>
        </r>
      </text>
    </comment>
    <comment ref="D8" authorId="0" shapeId="0" xr:uid="{00000000-0006-0000-0100-000003000000}">
      <text>
        <r>
          <rPr>
            <sz val="9"/>
            <color indexed="81"/>
            <rFont val="Tahoma"/>
            <family val="2"/>
          </rPr>
          <t xml:space="preserve">Unique number assigned to each campus/school of the organization by the state
</t>
        </r>
      </text>
    </comment>
    <comment ref="G8" authorId="0" shapeId="0" xr:uid="{00000000-0006-0000-0100-000004000000}">
      <text>
        <r>
          <rPr>
            <sz val="9"/>
            <color indexed="81"/>
            <rFont val="Tahoma"/>
            <family val="2"/>
          </rPr>
          <t>Indicates whether you are entering data for the school, district or state</t>
        </r>
      </text>
    </comment>
    <comment ref="H8" authorId="0" shapeId="0" xr:uid="{00000000-0006-0000-0100-000005000000}">
      <text>
        <r>
          <rPr>
            <sz val="9"/>
            <color indexed="81"/>
            <rFont val="Tahoma"/>
            <family val="2"/>
          </rPr>
          <t>For a given academic year, it is the year in which the</t>
        </r>
        <r>
          <rPr>
            <b/>
            <sz val="9"/>
            <color indexed="81"/>
            <rFont val="Tahoma"/>
            <family val="2"/>
          </rPr>
          <t xml:space="preserve"> spring term</t>
        </r>
        <r>
          <rPr>
            <sz val="9"/>
            <color indexed="81"/>
            <rFont val="Tahoma"/>
            <family val="2"/>
          </rPr>
          <t xml:space="preserve"> exists (e.g. the academic year 2010-2011 would be expressed as 2011)</t>
        </r>
      </text>
    </comment>
    <comment ref="I8" authorId="1" shapeId="0" xr:uid="{00000000-0006-0000-0100-000006000000}">
      <text>
        <r>
          <rPr>
            <sz val="9"/>
            <color indexed="81"/>
            <rFont val="Tahoma"/>
            <family val="2"/>
          </rPr>
          <t xml:space="preserve">The name of the state test administered to the cohort (e.g., California Standards Test or CST)
</t>
        </r>
      </text>
    </comment>
    <comment ref="J8" authorId="0" shapeId="0" xr:uid="{00000000-0006-0000-0100-000007000000}">
      <text>
        <r>
          <rPr>
            <sz val="9"/>
            <color indexed="81"/>
            <rFont val="Tahoma"/>
            <family val="2"/>
          </rPr>
          <t>Rating on A-F, Star Scale, etc.</t>
        </r>
      </text>
    </comment>
    <comment ref="M8" authorId="0" shapeId="0" xr:uid="{00000000-0006-0000-0100-000008000000}">
      <text>
        <r>
          <rPr>
            <b/>
            <sz val="9"/>
            <color indexed="81"/>
            <rFont val="Tahoma"/>
            <family val="2"/>
          </rPr>
          <t>Note: This should be entered as a raw number</t>
        </r>
      </text>
    </comment>
    <comment ref="N8" authorId="0" shapeId="0" xr:uid="{00000000-0006-0000-0100-000009000000}">
      <text>
        <r>
          <rPr>
            <sz val="9"/>
            <color indexed="81"/>
            <rFont val="Tahoma"/>
            <family val="2"/>
          </rPr>
          <t xml:space="preserve">Students that qualify for Free and Reduced Lunch (FRL)
</t>
        </r>
        <r>
          <rPr>
            <b/>
            <sz val="9"/>
            <color indexed="81"/>
            <rFont val="Tahoma"/>
            <family val="2"/>
          </rPr>
          <t>Note: This should be entered as a raw number</t>
        </r>
      </text>
    </comment>
    <comment ref="O8" authorId="0" shapeId="0" xr:uid="{00000000-0006-0000-0100-00000A000000}">
      <text>
        <r>
          <rPr>
            <sz val="9"/>
            <color indexed="81"/>
            <rFont val="Tahoma"/>
            <family val="2"/>
          </rPr>
          <t>Reported English Language Learner classification as defined by your operating state</t>
        </r>
      </text>
    </comment>
    <comment ref="P8" authorId="0" shapeId="0" xr:uid="{00000000-0006-0000-0100-00000B000000}">
      <text>
        <r>
          <rPr>
            <sz val="9"/>
            <color indexed="81"/>
            <rFont val="Tahoma"/>
            <family val="2"/>
          </rPr>
          <t>Reported Special Education classification as defined by your operating state</t>
        </r>
      </text>
    </comment>
    <comment ref="Q8" authorId="0" shapeId="0" xr:uid="{00000000-0006-0000-0100-00000C000000}">
      <text>
        <r>
          <rPr>
            <sz val="9"/>
            <color indexed="81"/>
            <rFont val="Tahoma"/>
            <family val="2"/>
          </rPr>
          <t xml:space="preserve">For the purposes of our analysis, all students who are Caucasian or Asian &amp; Hawaiian/Pacific Islander should not be included in the minority count
</t>
        </r>
        <r>
          <rPr>
            <b/>
            <sz val="9"/>
            <color indexed="81"/>
            <rFont val="Tahoma"/>
            <family val="2"/>
          </rPr>
          <t>Note: This should be entered as a raw number</t>
        </r>
      </text>
    </comment>
    <comment ref="R8" authorId="0" shapeId="0" xr:uid="{00000000-0006-0000-0100-00000D000000}">
      <text>
        <r>
          <rPr>
            <sz val="9"/>
            <color indexed="81"/>
            <rFont val="Tahoma"/>
            <family val="2"/>
          </rPr>
          <t xml:space="preserve">For the purposes of our analysis, all students who are Caucasian or Asian &amp; Hawaiian/Pacific Islander should not be included in the minority count
</t>
        </r>
        <r>
          <rPr>
            <b/>
            <sz val="9"/>
            <color indexed="81"/>
            <rFont val="Tahoma"/>
            <family val="2"/>
          </rPr>
          <t>Note: This should be entered as a raw number</t>
        </r>
      </text>
    </comment>
    <comment ref="S8" authorId="0" shapeId="0" xr:uid="{00000000-0006-0000-0100-00000E000000}">
      <text>
        <r>
          <rPr>
            <sz val="9"/>
            <color indexed="81"/>
            <rFont val="Tahoma"/>
            <family val="2"/>
          </rPr>
          <t xml:space="preserve">For the purposes of our analysis, all students who are Caucasian or Asian &amp; Hawaiian/Pacific Islander should not be included in the minority count
</t>
        </r>
        <r>
          <rPr>
            <b/>
            <sz val="9"/>
            <color indexed="81"/>
            <rFont val="Tahoma"/>
            <family val="2"/>
          </rPr>
          <t>Note: This should be entered as a raw number</t>
        </r>
      </text>
    </comment>
    <comment ref="T8" authorId="0" shapeId="0" xr:uid="{00000000-0006-0000-0100-00000F000000}">
      <text>
        <r>
          <rPr>
            <b/>
            <sz val="9"/>
            <color indexed="81"/>
            <rFont val="Tahoma"/>
            <family val="2"/>
          </rPr>
          <t xml:space="preserve">Note: </t>
        </r>
        <r>
          <rPr>
            <sz val="9"/>
            <color indexed="81"/>
            <rFont val="Tahoma"/>
            <family val="2"/>
          </rPr>
          <t>Conditional formatting is included in this cell to ensure the proper summation of the following proficiency bands</t>
        </r>
      </text>
    </comment>
    <comment ref="U8" authorId="0" shapeId="0" xr:uid="{00000000-0006-0000-0100-000010000000}">
      <text>
        <r>
          <rPr>
            <b/>
            <sz val="9"/>
            <color indexed="81"/>
            <rFont val="Tahoma"/>
            <family val="2"/>
          </rPr>
          <t xml:space="preserve">Note: </t>
        </r>
        <r>
          <rPr>
            <sz val="9"/>
            <color indexed="81"/>
            <rFont val="Tahoma"/>
            <family val="2"/>
          </rPr>
          <t>Leave this column blank if your state only has four proficiency bands</t>
        </r>
      </text>
    </comment>
    <comment ref="AB8" authorId="0" shapeId="0" xr:uid="{00000000-0006-0000-0100-000011000000}">
      <text>
        <r>
          <rPr>
            <b/>
            <sz val="9"/>
            <color indexed="81"/>
            <rFont val="Tahoma"/>
            <family val="2"/>
          </rPr>
          <t xml:space="preserve">Note: </t>
        </r>
        <r>
          <rPr>
            <sz val="9"/>
            <color indexed="81"/>
            <rFont val="Tahoma"/>
            <family val="2"/>
          </rPr>
          <t>Conditional formatting is included in this cell to ensure the proper summation of the following proficiency bands</t>
        </r>
      </text>
    </comment>
    <comment ref="AC8" authorId="0" shapeId="0" xr:uid="{00000000-0006-0000-0100-000012000000}">
      <text>
        <r>
          <rPr>
            <b/>
            <sz val="9"/>
            <color indexed="81"/>
            <rFont val="Tahoma"/>
            <family val="2"/>
          </rPr>
          <t xml:space="preserve">Note: </t>
        </r>
        <r>
          <rPr>
            <sz val="9"/>
            <color indexed="81"/>
            <rFont val="Tahoma"/>
            <family val="2"/>
          </rPr>
          <t xml:space="preserve">Leave this column blank if your state only has four proficiency bands
</t>
        </r>
      </text>
    </comment>
    <comment ref="AJ8" authorId="0" shapeId="0" xr:uid="{00000000-0006-0000-0100-000013000000}">
      <text>
        <r>
          <rPr>
            <b/>
            <sz val="9"/>
            <color indexed="81"/>
            <rFont val="Tahoma"/>
            <family val="2"/>
          </rPr>
          <t>Note:</t>
        </r>
        <r>
          <rPr>
            <sz val="9"/>
            <color indexed="81"/>
            <rFont val="Tahoma"/>
            <family val="2"/>
          </rPr>
          <t xml:space="preserve"> Conditional formatting is included in this cell to ensure the proper summation of the following proficiency bands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Heather Roth</author>
    <author>tc={A1B3F366-AA7D-42F9-BF19-F23D4184BF4E}</author>
  </authors>
  <commentList>
    <comment ref="C8" authorId="0" shapeId="0" xr:uid="{00000000-0006-0000-0300-000001000000}">
      <text>
        <r>
          <rPr>
            <sz val="9"/>
            <color indexed="81"/>
            <rFont val="Tahoma"/>
            <family val="2"/>
          </rPr>
          <t>Unique number assigned to the organization upon registering for the application. Entity ID for the District and State should match the EID assigned to your Charter.</t>
        </r>
      </text>
    </comment>
    <comment ref="D8" authorId="0" shapeId="0" xr:uid="{00000000-0006-0000-0300-000002000000}">
      <text>
        <r>
          <rPr>
            <sz val="9"/>
            <color indexed="81"/>
            <rFont val="Tahoma"/>
            <family val="2"/>
          </rPr>
          <t xml:space="preserve">Unique number assigned to each campus/school of the organization by the state
</t>
        </r>
      </text>
    </comment>
    <comment ref="O8" authorId="1" shapeId="0" xr:uid="{A1B3F366-AA7D-42F9-BF19-F23D4184BF4E}">
      <text>
        <t>[Threaded comment]
Your version of Excel allows you to read this threaded comment; however, any edits to it will get removed if the file is opened in a newer version of Excel. Learn more: https://go.microsoft.com/fwlink/?linkid=870924
Comment:
    Reference note *1</t>
      </text>
    </comment>
  </commentList>
</comments>
</file>

<file path=xl/sharedStrings.xml><?xml version="1.0" encoding="utf-8"?>
<sst xmlns="http://schemas.openxmlformats.org/spreadsheetml/2006/main" count="6609" uniqueCount="489">
  <si>
    <t>School Contact Info</t>
  </si>
  <si>
    <t>Authorizer Contact Information</t>
  </si>
  <si>
    <t>Charter School Name</t>
  </si>
  <si>
    <t>Name of Campus (if more than one)</t>
  </si>
  <si>
    <t>Year Opened</t>
  </si>
  <si>
    <t>Year EMO Began Mgmt</t>
  </si>
  <si>
    <t>City</t>
  </si>
  <si>
    <t>State</t>
  </si>
  <si>
    <t>Contact Name</t>
  </si>
  <si>
    <t>Contact Title</t>
  </si>
  <si>
    <t>Contact Email</t>
  </si>
  <si>
    <t>Contact Phone</t>
  </si>
  <si>
    <t>Authorizing Organization</t>
  </si>
  <si>
    <t>Affiliation</t>
  </si>
  <si>
    <t>Akron Preparatory School</t>
  </si>
  <si>
    <t>Akron</t>
  </si>
  <si>
    <t>OH</t>
  </si>
  <si>
    <t>Ashley D. Miles</t>
  </si>
  <si>
    <t>Principal</t>
  </si>
  <si>
    <t>Ashley Miles &lt;amiles02@akronprep.org&gt;</t>
  </si>
  <si>
    <t>(330) 247-6232</t>
  </si>
  <si>
    <t>Ohio Council of Community Schools</t>
  </si>
  <si>
    <t>Lenny Schafer</t>
  </si>
  <si>
    <t>Executive Director</t>
  </si>
  <si>
    <t>(419) 720-5200</t>
  </si>
  <si>
    <t>Local board contracting with Accel Schools as an EMO for services</t>
  </si>
  <si>
    <t xml:space="preserve">Banning Lewis Ranch Academy </t>
  </si>
  <si>
    <t>Banning Lewis Preparatory Academy</t>
  </si>
  <si>
    <t>Colorado Springs</t>
  </si>
  <si>
    <t>CO</t>
  </si>
  <si>
    <t>Shannon Molnar</t>
  </si>
  <si>
    <t>smolnar@blracademy.org</t>
  </si>
  <si>
    <t>(719) 522-2900</t>
  </si>
  <si>
    <t>Falcon School District D-49</t>
  </si>
  <si>
    <t>Andy Franko</t>
  </si>
  <si>
    <t xml:space="preserve">Director </t>
  </si>
  <si>
    <t>afranko@d49.org</t>
  </si>
  <si>
    <t>(719) 495-1100</t>
  </si>
  <si>
    <t>Broadway Academy</t>
  </si>
  <si>
    <t>Broadway Academy at Mt Pleasant</t>
  </si>
  <si>
    <t xml:space="preserve">Cleveland </t>
  </si>
  <si>
    <t>Donna L. Baynes</t>
  </si>
  <si>
    <t>Donna Baynes &lt;dbaynes@acabroadway.com&gt;</t>
  </si>
  <si>
    <t>(216) 271-7747</t>
  </si>
  <si>
    <t>St Aloysius Orphanage</t>
  </si>
  <si>
    <t>Dave L. Cash Jr</t>
  </si>
  <si>
    <t xml:space="preserve">President </t>
  </si>
  <si>
    <t xml:space="preserve">(614) 837-8945 </t>
  </si>
  <si>
    <t>Canton College Preparatory School</t>
  </si>
  <si>
    <t xml:space="preserve">Canton </t>
  </si>
  <si>
    <t>Darryl M. Lindsay</t>
  </si>
  <si>
    <t>Darryl Lindsay &lt;dlindsay@cantoncollegeprep.org&gt;</t>
  </si>
  <si>
    <t>(330) 455-0498</t>
  </si>
  <si>
    <t>Capital Collegiate Preparatory Academy</t>
  </si>
  <si>
    <t xml:space="preserve">Columbus </t>
  </si>
  <si>
    <t>Antwan Pratt</t>
  </si>
  <si>
    <t>Antwan Pratt &lt;apratt1@capcollprep.org&gt;</t>
  </si>
  <si>
    <t>(614) 300-3685</t>
  </si>
  <si>
    <t>Cleveland Arts and Social Sciences Academy</t>
  </si>
  <si>
    <t>Alvin C. McDaniel</t>
  </si>
  <si>
    <t>Cory McDaniel &lt;amcdaniel@clevelandartsocsci.org&gt;</t>
  </si>
  <si>
    <t>(216) 229-3000</t>
  </si>
  <si>
    <t>Cleveland College Preparatory School</t>
  </si>
  <si>
    <t>Antonio Gaines</t>
  </si>
  <si>
    <t>againes@clevelandcollegeprep.org</t>
  </si>
  <si>
    <t>(216) 341-1347</t>
  </si>
  <si>
    <t>Cleveland Preparatory Academy</t>
  </si>
  <si>
    <t>Robert Williams</t>
  </si>
  <si>
    <t>Robert Williams &lt;rwilliams2@clevelandprepacademy.org&gt;</t>
  </si>
  <si>
    <t>(216) 741-2991</t>
  </si>
  <si>
    <t>Columbus Arts &amp; Technology Academy</t>
  </si>
  <si>
    <t>Antoinette M. Bates</t>
  </si>
  <si>
    <t>Antoinette Bates &lt;abates@columbusata.org&gt;</t>
  </si>
  <si>
    <t>(614) 577-0900</t>
  </si>
  <si>
    <t>Columbus Bilingual Academy-North</t>
  </si>
  <si>
    <t>Steve Fawcett</t>
  </si>
  <si>
    <t>sfawcett@cbaschool.org</t>
  </si>
  <si>
    <t>(614) 547-4500</t>
  </si>
  <si>
    <t>Richland Academy of the Arts</t>
  </si>
  <si>
    <t>Marianne Cooper</t>
  </si>
  <si>
    <t>Director</t>
  </si>
  <si>
    <t>(419) 522-8224</t>
  </si>
  <si>
    <t>Columbus Humanities  Arts and Technology Academy</t>
  </si>
  <si>
    <t>Erin E. Johnson</t>
  </si>
  <si>
    <t>Erin Johnson &lt;erjohnson1@COLUMBUSHUMANITIESATA.ORG&gt;</t>
  </si>
  <si>
    <t>(614) 261-1200</t>
  </si>
  <si>
    <t>Cornerstone Academy Community School</t>
  </si>
  <si>
    <t>Westerville</t>
  </si>
  <si>
    <t>Luis E. Leon</t>
  </si>
  <si>
    <t>Luis Leon &lt;LLeon@cornerstoneacad.org&gt;</t>
  </si>
  <si>
    <t>(614) 775-0615</t>
  </si>
  <si>
    <t>East Academy</t>
  </si>
  <si>
    <t>Paul Cowan</t>
  </si>
  <si>
    <t>pcowan@accelschools.com</t>
  </si>
  <si>
    <t>(216) 383-1214</t>
  </si>
  <si>
    <t>Eastland Preparatory Academy</t>
  </si>
  <si>
    <t>Shannan J. Enoch</t>
  </si>
  <si>
    <t>senoch@eastlandprep.org</t>
  </si>
  <si>
    <t>(614) 547-4493</t>
  </si>
  <si>
    <t>North Central Ohio ESC</t>
  </si>
  <si>
    <t xml:space="preserve">Krista Gerhart  </t>
  </si>
  <si>
    <t>kgerhart@ncoesc.org</t>
  </si>
  <si>
    <t>(419) 569-2182</t>
  </si>
  <si>
    <t>Euclid Preparatory School</t>
  </si>
  <si>
    <t>Euclid</t>
  </si>
  <si>
    <t>Darlene D. Goss</t>
  </si>
  <si>
    <t>Darlene Goss &lt;dgoss@euclidprep.org&gt;</t>
  </si>
  <si>
    <t>(216) 750-2070</t>
  </si>
  <si>
    <t>Foundation Academy</t>
  </si>
  <si>
    <t>Mansfield</t>
  </si>
  <si>
    <t>Sandra A. Kimani Mithi</t>
  </si>
  <si>
    <t>mkimani@foundationacad.org</t>
  </si>
  <si>
    <t>(419) 526-9540</t>
  </si>
  <si>
    <t>Hope Academy Northcoast</t>
  </si>
  <si>
    <t>Martin R. Ngom</t>
  </si>
  <si>
    <t>Martin Ngom &lt;mngom@acancoast.com&gt;</t>
  </si>
  <si>
    <t>(216) 429-0232</t>
  </si>
  <si>
    <t>Hope Academy Northwest Campus</t>
  </si>
  <si>
    <t>Nicole L. Dykstra</t>
  </si>
  <si>
    <t>Nicole Dykstra &lt;Ndykstra@acanwest.com&gt;</t>
  </si>
  <si>
    <t>(216) 226-6800</t>
  </si>
  <si>
    <t>Inkster Preparatory Academy</t>
  </si>
  <si>
    <t>Inkster</t>
  </si>
  <si>
    <t>MI</t>
  </si>
  <si>
    <t>Shawn Hurt</t>
  </si>
  <si>
    <t>shurt@inksterprep.org</t>
  </si>
  <si>
    <t>(313) 203-0153</t>
  </si>
  <si>
    <t>Central Michigan University</t>
  </si>
  <si>
    <t>Corey Northrop</t>
  </si>
  <si>
    <t>(989) 774-2100</t>
  </si>
  <si>
    <t>Lake Erie College Preparatory School</t>
  </si>
  <si>
    <t>Denecia M. Dillard</t>
  </si>
  <si>
    <t>Denecia Dillard &lt;ddillard@lakeerieprep.org&gt;</t>
  </si>
  <si>
    <t>(216) 453-4556</t>
  </si>
  <si>
    <t>Lincoln Park Academy</t>
  </si>
  <si>
    <t>Alissa M. Clugh</t>
  </si>
  <si>
    <t>Alissa Clugh &lt;AMClugh001@acalincolnp.com&gt;</t>
  </si>
  <si>
    <t>(216) 263-7008</t>
  </si>
  <si>
    <t>Buckeye Community Hope Foundation</t>
  </si>
  <si>
    <t>Peggy Young</t>
  </si>
  <si>
    <t>(614) 942-2003</t>
  </si>
  <si>
    <t>Lorain Bilingual Preparatory Academy</t>
  </si>
  <si>
    <t>Lorain</t>
  </si>
  <si>
    <t>Raul Saez</t>
  </si>
  <si>
    <t>Jay Saez &lt;rsaez@lorainbilingual.org&gt;</t>
  </si>
  <si>
    <t>(440) 434-6320</t>
  </si>
  <si>
    <t>Lorain Preparatory Academy</t>
  </si>
  <si>
    <t>Megan J. Wilson</t>
  </si>
  <si>
    <t>Megan Wilson &lt;mewilson@lorainprep.org&gt;</t>
  </si>
  <si>
    <t>(440) 282-3127</t>
  </si>
  <si>
    <t>Marion Preparatory Academy</t>
  </si>
  <si>
    <t>Marion</t>
  </si>
  <si>
    <t>Jennifer R. Hutton</t>
  </si>
  <si>
    <t>Jennifer Hutton &lt;jhutton1@marionprep.org&gt;</t>
  </si>
  <si>
    <t>(740) 914-3050</t>
  </si>
  <si>
    <t>Monroe Preparatory Academy</t>
  </si>
  <si>
    <t>Rachel A. Blackshire</t>
  </si>
  <si>
    <t>Rachel Blackshire &lt;RBlackshire@monroeprep.org&gt;</t>
  </si>
  <si>
    <t>(567) 998-7552</t>
  </si>
  <si>
    <t>Montgomery Preparatory Academy</t>
  </si>
  <si>
    <t>Dayton</t>
  </si>
  <si>
    <t>Emory Wyckoff</t>
  </si>
  <si>
    <t>Emory Wyckoff &lt;ewyckoff@montgomeryprep.org&gt;</t>
  </si>
  <si>
    <t>(937) 991-2900</t>
  </si>
  <si>
    <t>Mount Auburn Preparatory Academy</t>
  </si>
  <si>
    <t>Cincinnati</t>
  </si>
  <si>
    <t>William C. Horn</t>
  </si>
  <si>
    <t>chorn@mtauburnprep.org</t>
  </si>
  <si>
    <t>(513) 975-3391</t>
  </si>
  <si>
    <t>North Columbus Preparatory Academy</t>
  </si>
  <si>
    <t>Courtney C. Williams</t>
  </si>
  <si>
    <t>Courtney Williams &lt;cwilliams5@ncpawarriors.org&gt;</t>
  </si>
  <si>
    <t>(614) 745-8375</t>
  </si>
  <si>
    <t>Northeast Ohio College Preparatory School</t>
  </si>
  <si>
    <t>VEDA L. GILES-WEEKS</t>
  </si>
  <si>
    <t>Veda Giles-Weeks &lt;vgiles-weeks@neocollegeprep.org&gt;</t>
  </si>
  <si>
    <t>(216) 965-0580</t>
  </si>
  <si>
    <t>Local board contracting with Accel Schools as an ESP for services</t>
  </si>
  <si>
    <t>Ohio College Preparatory School</t>
  </si>
  <si>
    <t xml:space="preserve">Maple Heights </t>
  </si>
  <si>
    <t>Ashley D. Hall</t>
  </si>
  <si>
    <t>Ashley Hall-Green &lt;ahallgreen@ohiocollegeprep.org&gt;</t>
  </si>
  <si>
    <t>(216) 453-4550</t>
  </si>
  <si>
    <t xml:space="preserve">Ohio Distance Electronic Learning Academy </t>
  </si>
  <si>
    <t>Alternative Education Academy</t>
  </si>
  <si>
    <t>Raymond Lambert</t>
  </si>
  <si>
    <t>rlambert@delak12.com</t>
  </si>
  <si>
    <t>(866) 509-3099</t>
  </si>
  <si>
    <t>Parma Academy</t>
  </si>
  <si>
    <t>Parma</t>
  </si>
  <si>
    <t>Wendy J. Copen</t>
  </si>
  <si>
    <t>Wendy Copen &lt;wcopen@parmaacademy.org&gt;</t>
  </si>
  <si>
    <t>(216) 750-1205</t>
  </si>
  <si>
    <t>Riverside Academy</t>
  </si>
  <si>
    <t>Elizabeth A. Lucas</t>
  </si>
  <si>
    <t>Elizabeth Lucas &lt;elucas@acariverside.com&gt;</t>
  </si>
  <si>
    <t>(513) 921-7777</t>
  </si>
  <si>
    <t>South Columbus Preparatory Academy at German Village</t>
  </si>
  <si>
    <t>JAROD M. Hawk</t>
  </si>
  <si>
    <t>Jarod Hawk &lt;jhawk@accelschools.com&gt;</t>
  </si>
  <si>
    <t>(614) 669-6301</t>
  </si>
  <si>
    <t>STEAM Academy of Warren</t>
  </si>
  <si>
    <t>Warren</t>
  </si>
  <si>
    <t>Jonathan A. Natko</t>
  </si>
  <si>
    <t>Jon Natko &lt;JNatko@steamacademywarren.org&gt;</t>
  </si>
  <si>
    <t>(330) 394-3200</t>
  </si>
  <si>
    <t>STEAM Academy of Warrensville Heights</t>
  </si>
  <si>
    <t>Warrensville Heights</t>
  </si>
  <si>
    <t>Tamika Cleveland</t>
  </si>
  <si>
    <t>tcleveland@accelschools.com</t>
  </si>
  <si>
    <t>(216) 595-2866</t>
  </si>
  <si>
    <t>Toledo Preparatory Academy</t>
  </si>
  <si>
    <t>Toledo</t>
  </si>
  <si>
    <t>Amy S. Printy</t>
  </si>
  <si>
    <t>Amy Printy &lt;aprinty@accelschools.com&gt;</t>
  </si>
  <si>
    <t>(419) 574-0965</t>
  </si>
  <si>
    <t>University of Cleveland Preparatory School</t>
  </si>
  <si>
    <t>Phillip Penn</t>
  </si>
  <si>
    <t>ppenn@uniclevelandprep.org</t>
  </si>
  <si>
    <t>(216) 361-9720</t>
  </si>
  <si>
    <t>West Park Academy</t>
  </si>
  <si>
    <t>Michael F. Jaissle</t>
  </si>
  <si>
    <t>Michael Jaissle &lt;mfjaissle001@acawestpark.com&gt;</t>
  </si>
  <si>
    <t>(216) 251-5450</t>
  </si>
  <si>
    <t xml:space="preserve">Woodley Leadership Academy </t>
  </si>
  <si>
    <t>Saginaw</t>
  </si>
  <si>
    <t>Pamela Farris</t>
  </si>
  <si>
    <t>pfarris@accelschools.com</t>
  </si>
  <si>
    <t>(989) 717-4390</t>
  </si>
  <si>
    <t>Eastern Michigan University</t>
  </si>
  <si>
    <t>Dr. Malverne C. Winborne</t>
  </si>
  <si>
    <t>(734) 487-2086</t>
  </si>
  <si>
    <t>Wright Preparatory Academy</t>
  </si>
  <si>
    <t>Willie Banks</t>
  </si>
  <si>
    <t>wxbanks001@accelschools.com</t>
  </si>
  <si>
    <t>(234) 207-5455</t>
  </si>
  <si>
    <t>Youngstown Academy of Excellence</t>
  </si>
  <si>
    <t>Youngstown</t>
  </si>
  <si>
    <t>Heather R. Knapp</t>
  </si>
  <si>
    <t>Heather Knapp &lt;HKnapp@youngstownacademy.org&gt;</t>
  </si>
  <si>
    <t>(330) 746-3970</t>
  </si>
  <si>
    <t xml:space="preserve">Case Preparatory Academy </t>
  </si>
  <si>
    <t xml:space="preserve">Akron </t>
  </si>
  <si>
    <t>Natalee Long</t>
  </si>
  <si>
    <t>RVP</t>
  </si>
  <si>
    <t>nmlong@accelschools.com</t>
  </si>
  <si>
    <t>(216) 583-5230 x7206</t>
  </si>
  <si>
    <t>Central Point Preparatory Academy</t>
  </si>
  <si>
    <t>Columbus</t>
  </si>
  <si>
    <t xml:space="preserve">Chris Geisler </t>
  </si>
  <si>
    <t>cgeisler@centralpointprep.org</t>
  </si>
  <si>
    <t>(614) 669-6305</t>
  </si>
  <si>
    <t>George V. Voinovich High School</t>
  </si>
  <si>
    <t>Cleveland</t>
  </si>
  <si>
    <t>Brian Hessey</t>
  </si>
  <si>
    <t>bhessey@gvhighschool.org</t>
  </si>
  <si>
    <t>(216) 273-3033</t>
  </si>
  <si>
    <t>Educational Resource Consultants of Ohio (ERCO)</t>
  </si>
  <si>
    <t>J. Leonard Harding</t>
  </si>
  <si>
    <t>admin@ercoinc.org</t>
  </si>
  <si>
    <t>(513) 771-4006</t>
  </si>
  <si>
    <t>Michigan Online School</t>
  </si>
  <si>
    <t>Gobles</t>
  </si>
  <si>
    <t>Stephanie Hargens</t>
  </si>
  <si>
    <t>shargens@michiganonlineschool.com</t>
  </si>
  <si>
    <t>(269) 216-6972</t>
  </si>
  <si>
    <t>Gobles Public Schools</t>
  </si>
  <si>
    <t>Jeffery Rehlander</t>
  </si>
  <si>
    <t>Superintendent</t>
  </si>
  <si>
    <t>(269) 628-9390</t>
  </si>
  <si>
    <t>Northside Preparatory Academy</t>
  </si>
  <si>
    <t>Yolanda Clark</t>
  </si>
  <si>
    <t>yclark@northsideprepacademy.org</t>
  </si>
  <si>
    <t>(513) 276-4166</t>
  </si>
  <si>
    <t>Southfield Preparatory Academy</t>
  </si>
  <si>
    <t>Jarod Hawk</t>
  </si>
  <si>
    <t>jhawk@accelschools.com</t>
  </si>
  <si>
    <t>(330) 605-6830</t>
  </si>
  <si>
    <t xml:space="preserve">Virtual Preparatory Academy at Lucerne </t>
  </si>
  <si>
    <t>Lucerne Valley</t>
  </si>
  <si>
    <t>CA</t>
  </si>
  <si>
    <t>Michelle Romaine</t>
  </si>
  <si>
    <t>mromaine@vpreplucerne.org</t>
  </si>
  <si>
    <t>(888) 910-0404</t>
  </si>
  <si>
    <t>Lucerne Valley Unified School District</t>
  </si>
  <si>
    <t>Peter Livingston</t>
  </si>
  <si>
    <t>(760) 248-6108</t>
  </si>
  <si>
    <t>Virtual Preparatory Academy at Monterey</t>
  </si>
  <si>
    <t>Monterey</t>
  </si>
  <si>
    <t>mromaine@vprepmonterey.org</t>
  </si>
  <si>
    <t>(831) 920-5393</t>
  </si>
  <si>
    <t>Bradley Union School District</t>
  </si>
  <si>
    <t>Lindsay Lopez</t>
  </si>
  <si>
    <t>(805) 472-2310</t>
  </si>
  <si>
    <t>Academy with Community Partners</t>
  </si>
  <si>
    <t>Tempe</t>
  </si>
  <si>
    <t>AZ</t>
  </si>
  <si>
    <t>Gary Williamson</t>
  </si>
  <si>
    <t>gwilliamson@acpathope.org</t>
  </si>
  <si>
    <t>(480) 833-0068</t>
  </si>
  <si>
    <t>Arizona State Board of Charter Schools</t>
  </si>
  <si>
    <t>Shannon Black</t>
  </si>
  <si>
    <t>Lead Education Program Manager</t>
  </si>
  <si>
    <t>Charterschoolboard@asbcs.az.gov</t>
  </si>
  <si>
    <t>(602) 364-3080</t>
  </si>
  <si>
    <t>STATE TEST &amp; COLLEGE ENTRANCE EXAM DATA</t>
  </si>
  <si>
    <t>- Only fill in the yellow cells (all other cells are locked)</t>
  </si>
  <si>
    <t>- Please check the calculated values below and make sure they correspond with internal records</t>
  </si>
  <si>
    <t>- Discrepancies between publicly avaliable  data and reported data must be thoroughly explained on next tab</t>
  </si>
  <si>
    <t>Entity Description Data</t>
  </si>
  <si>
    <t>Student Demographic Information</t>
  </si>
  <si>
    <t>Math</t>
  </si>
  <si>
    <t>Reading/Language Arts</t>
  </si>
  <si>
    <t>Science</t>
  </si>
  <si>
    <t>Overall Scores &amp; Grades</t>
  </si>
  <si>
    <t>Entity ID</t>
  </si>
  <si>
    <t>School ID</t>
  </si>
  <si>
    <t>School</t>
  </si>
  <si>
    <t>Level</t>
  </si>
  <si>
    <t>Comparison Entity</t>
  </si>
  <si>
    <t>Assessment Year</t>
  </si>
  <si>
    <t xml:space="preserve">Test Name </t>
  </si>
  <si>
    <t>School/Campus Statewide Accountability Rating</t>
  </si>
  <si>
    <t>Grades Served</t>
  </si>
  <si>
    <t>Grades Tested</t>
  </si>
  <si>
    <t>Total # Students Enrolled</t>
  </si>
  <si>
    <t>Total # FRL</t>
  </si>
  <si>
    <t>Total # ELL</t>
  </si>
  <si>
    <t>Total # SPED</t>
  </si>
  <si>
    <t>Total # Black Students</t>
  </si>
  <si>
    <t>Total # Hispanic Students</t>
  </si>
  <si>
    <t>Total # Native American Students</t>
  </si>
  <si>
    <t># students tested</t>
  </si>
  <si>
    <t># students Far Below Basic</t>
  </si>
  <si>
    <t># students Below Basic</t>
  </si>
  <si>
    <t># students Basic</t>
  </si>
  <si>
    <t># students  Proficient</t>
  </si>
  <si>
    <t># students Advanced</t>
  </si>
  <si>
    <t>Mean Scale Score</t>
  </si>
  <si>
    <t># students no score</t>
  </si>
  <si>
    <t>Performance Index Score</t>
  </si>
  <si>
    <t>% of Students Not Tested</t>
  </si>
  <si>
    <t>Letter Grade of Performance Index</t>
  </si>
  <si>
    <t>013254</t>
  </si>
  <si>
    <t>K-8</t>
  </si>
  <si>
    <t>Charter</t>
  </si>
  <si>
    <t>2019-2020</t>
  </si>
  <si>
    <t>&lt;10</t>
  </si>
  <si>
    <t>NR</t>
  </si>
  <si>
    <t>2018-2019</t>
  </si>
  <si>
    <t>D</t>
  </si>
  <si>
    <t>2017-2018</t>
  </si>
  <si>
    <t>n/a</t>
  </si>
  <si>
    <t>F</t>
  </si>
  <si>
    <t>K-12</t>
  </si>
  <si>
    <t>012684</t>
  </si>
  <si>
    <t>013255</t>
  </si>
  <si>
    <t>017537</t>
  </si>
  <si>
    <t>007995</t>
  </si>
  <si>
    <t>012010</t>
  </si>
  <si>
    <t>013199</t>
  </si>
  <si>
    <t>000557</t>
  </si>
  <si>
    <t>011468</t>
  </si>
  <si>
    <t>000553</t>
  </si>
  <si>
    <t>133439</t>
  </si>
  <si>
    <t>C</t>
  </si>
  <si>
    <t>014187</t>
  </si>
  <si>
    <t>014090</t>
  </si>
  <si>
    <t>015712</t>
  </si>
  <si>
    <t>009192</t>
  </si>
  <si>
    <t>212b</t>
  </si>
  <si>
    <t>000575</t>
  </si>
  <si>
    <t>MI-82762-03034</t>
  </si>
  <si>
    <t>K-5</t>
  </si>
  <si>
    <t>NT</t>
  </si>
  <si>
    <t>013132</t>
  </si>
  <si>
    <t>O</t>
  </si>
  <si>
    <t>014065</t>
  </si>
  <si>
    <t>0,5</t>
  </si>
  <si>
    <t>017270</t>
  </si>
  <si>
    <t>008000</t>
  </si>
  <si>
    <t>017585</t>
  </si>
  <si>
    <t>008064</t>
  </si>
  <si>
    <t>017259</t>
  </si>
  <si>
    <t>017274</t>
  </si>
  <si>
    <t>017538</t>
  </si>
  <si>
    <t>011923</t>
  </si>
  <si>
    <t>013253</t>
  </si>
  <si>
    <t>143396</t>
  </si>
  <si>
    <t>017535</t>
  </si>
  <si>
    <t>016829</t>
  </si>
  <si>
    <t>B</t>
  </si>
  <si>
    <t>012644</t>
  </si>
  <si>
    <t>17-</t>
  </si>
  <si>
    <t>013147</t>
  </si>
  <si>
    <t>017536</t>
  </si>
  <si>
    <t>012541</t>
  </si>
  <si>
    <t>014189</t>
  </si>
  <si>
    <t>MI-73901-03407</t>
  </si>
  <si>
    <t>015713</t>
  </si>
  <si>
    <t>007984</t>
  </si>
  <si>
    <t>OTHER INFORMATION</t>
  </si>
  <si>
    <t>- Fill in the yellow cells with any additional notes necessary to explain the data</t>
  </si>
  <si>
    <t xml:space="preserve">Within the "Summary and Contact Data", nine Schools are included which are contracted by the Board with Accel Schools for either ESP or EMO services which commenced in SY20-21. Due to the timing, no academic achievement data has been finalized or published for the SY20-21 period and have been excluded from the "Achievement Data" set. Those Schools include, Case Preparatory Academy, Central Point Preparatory Academy, George V. Voinovich High School, Michigan Online School, Northside Preparatory Academy, Virtual Preparatory Academy at Lucerne, Virtual Preparatory Academy at Monterey, and Academy with Community Partners.  </t>
  </si>
  <si>
    <t>INDEPENDENT AUDIT DATA</t>
  </si>
  <si>
    <t>-Supply the requested data from each independent audit performed for the organization or a school in the past four years</t>
  </si>
  <si>
    <t>- Discrepancies between published data and reported data must be thoroughly explained on next tab</t>
  </si>
  <si>
    <t>Independent Audit Data</t>
  </si>
  <si>
    <t>School/Entity Name (as it appears on Independent Audit)</t>
  </si>
  <si>
    <t>First Fiscal Year of Operation</t>
  </si>
  <si>
    <t>Fiscal Year</t>
  </si>
  <si>
    <t>Cash</t>
  </si>
  <si>
    <t>Total Current Assets</t>
  </si>
  <si>
    <t>Non Current Assets</t>
  </si>
  <si>
    <t>Total Assets</t>
  </si>
  <si>
    <t>Current Liabilities</t>
  </si>
  <si>
    <t>Non Current Liabilities</t>
  </si>
  <si>
    <t>Total Liabilities</t>
  </si>
  <si>
    <t>Net Assets</t>
  </si>
  <si>
    <t>Funding</t>
  </si>
  <si>
    <t>Expenditures</t>
  </si>
  <si>
    <t>Change in Net Assets</t>
  </si>
  <si>
    <t>Current Ratio</t>
  </si>
  <si>
    <t>Unrestricted Days Cash</t>
  </si>
  <si>
    <t>Debt to Asset Ratio</t>
  </si>
  <si>
    <t>Surplus Margin</t>
  </si>
  <si>
    <t>Cash Flow</t>
  </si>
  <si>
    <t>Net Position (Beginning of Year)</t>
  </si>
  <si>
    <t>Net Position (End of Year)</t>
  </si>
  <si>
    <t>2016-2017</t>
  </si>
  <si>
    <t xml:space="preserve">1) Net assests also includes input/output of deferred inflows of resources, 2) Within the "Summary and Contact Data", nine Schools are included which are contracted by the Board with Accel Schools for either ESP or EMO services which commenced in SY20-21. Due to the timing, no audited financial statements have been finalized  for the SY20-21 period and have been excluded from the "Audit Information" set. Those Schools include, Case Preparatory Academy, Central Point Preparatory Academy, George V. Voinovich High School, Michigan Online School, Northside Preparatory Academy, Virtual Preparatory Academy at Lucerne, Virtual Preparatory Academy at Monterey, and Academy with Community Partners.  </t>
  </si>
  <si>
    <t>Building</t>
  </si>
  <si>
    <t>Grade Level</t>
  </si>
  <si>
    <t>Subject</t>
  </si>
  <si>
    <t>School Year</t>
  </si>
  <si>
    <t>Proficient or Higher</t>
  </si>
  <si>
    <t>Tested Students</t>
  </si>
  <si>
    <t>Proficient Percent</t>
  </si>
  <si>
    <t>Akron Preparatory School - 013254 (Summit)</t>
  </si>
  <si>
    <t>Third Grade</t>
  </si>
  <si>
    <t>English Language Arts</t>
  </si>
  <si>
    <t>2018-2019 School Year</t>
  </si>
  <si>
    <t>Mathematics</t>
  </si>
  <si>
    <t>Fourth Grade</t>
  </si>
  <si>
    <t>Fifth Grade</t>
  </si>
  <si>
    <t>Sixth Grade</t>
  </si>
  <si>
    <t>Seventh Grade</t>
  </si>
  <si>
    <t>Eighth Grade</t>
  </si>
  <si>
    <t>Broadway Academy - 012684 (Cuyahoga)</t>
  </si>
  <si>
    <t>Canton College Preparatory School - 013255 (Stark)</t>
  </si>
  <si>
    <t>Cleveland Arts and Social Sciences Academy - 007995 (Cuyahoga)</t>
  </si>
  <si>
    <t>Cleveland College Preparatory School - 012010 (Cuyahoga)</t>
  </si>
  <si>
    <t>Cleveland Preparatory Academy - 013199 (Cuyahoga)</t>
  </si>
  <si>
    <t>High School</t>
  </si>
  <si>
    <t>Algebra I</t>
  </si>
  <si>
    <t>American US History</t>
  </si>
  <si>
    <t>Biology</t>
  </si>
  <si>
    <t>English Language Arts I</t>
  </si>
  <si>
    <t>English Language Arts II</t>
  </si>
  <si>
    <t>Geometry</t>
  </si>
  <si>
    <t>Columbus Arts &amp; Technology Academy - 000557 (Franklin)</t>
  </si>
  <si>
    <t>American US Government</t>
  </si>
  <si>
    <t>Mathematics I</t>
  </si>
  <si>
    <t>Columbus Humanities, Arts and Technology Academy - 000553 (Franklin)</t>
  </si>
  <si>
    <t>Cornerstone Academy Community School - 133439 (Franklin)</t>
  </si>
  <si>
    <t>East Academy - 014187 (Cuyahoga)</t>
  </si>
  <si>
    <t>East Branch Preparatory AcademydbaWright Preparatory Academy - 015713 (Stark)</t>
  </si>
  <si>
    <t>Eastland Preparatory Academy - 014090 (Franklin)</t>
  </si>
  <si>
    <t>Euclid Preparatory School - 015712 (Cuyahoga)</t>
  </si>
  <si>
    <t>Foundation Academy - 009192 (Richland)</t>
  </si>
  <si>
    <t>Hope Academy Northcoast - 142968 (Cuyahoga)</t>
  </si>
  <si>
    <t>Hope Academy Northwest Campus - 000575 (Cuyahoga)</t>
  </si>
  <si>
    <t>Lake Erie College Preparatory School - 013132 (Cuyahoga)</t>
  </si>
  <si>
    <t>Lincoln Park Academy - 014065 (Cuyahoga)</t>
  </si>
  <si>
    <t>Lorain Bilingual Preparatory Academy - 017270 (Lorain)</t>
  </si>
  <si>
    <t>Lorain Preparatory Academy - 008000 (Lorain)</t>
  </si>
  <si>
    <t>Montgomery Preparatory Academy - 017259 (Montgomery)</t>
  </si>
  <si>
    <t>Northeast Ohio College Preparatory School - 011923 (Cuyahoga)</t>
  </si>
  <si>
    <t>Ohio College Preparatory School - 013253 (Cuyahoga)</t>
  </si>
  <si>
    <t>Riverside Academy - 133678 (Hamilton)</t>
  </si>
  <si>
    <t>South Columbus Preparatory Academy at German Village - 016829 (Franklin)</t>
  </si>
  <si>
    <t>STEAM Academy of Warren - 012644 (Trumbull)</t>
  </si>
  <si>
    <t>STEAM Academy of Warrensville Heights - 013147 (Cuyahoga)</t>
  </si>
  <si>
    <t>University of Cleveland Preparatory School - 012541 (Cuyahoga)</t>
  </si>
  <si>
    <t>West Park Academy - 014189 (Cuyahoga)</t>
  </si>
  <si>
    <t>Youngstown Academy of Excellence - 007984 (Mahoning)</t>
  </si>
  <si>
    <t>2017-2018 School Year</t>
  </si>
  <si>
    <t>Mathematics II</t>
  </si>
  <si>
    <t>Monroe Preparatory Academy - 008064 (Erie)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</si>
</sst>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s>
  <fonts count="26">
    <font>
      <sz val="11"/>
      <color theme="1"/>
      <name val="Calibri"/>
      <family val="2"/>
      <scheme val="minor"/>
    </font>
    <font>
      <sz val="11"/>
      <color theme="1"/>
      <name val="Calibri"/>
      <family val="2"/>
      <scheme val="minor"/>
    </font>
    <font>
      <sz val="10"/>
      <name val="Arial"/>
      <family val="2"/>
    </font>
    <font>
      <b/>
      <sz val="9"/>
      <color indexed="81"/>
      <name val="Tahoma"/>
      <family val="2"/>
    </font>
    <font>
      <b/>
      <u/>
      <sz val="9"/>
      <color indexed="81"/>
      <name val="Tahoma"/>
      <family val="2"/>
    </font>
    <font>
      <sz val="9"/>
      <color indexed="81"/>
      <name val="Tahoma"/>
      <family val="2"/>
    </font>
    <font>
      <sz val="11"/>
      <color indexed="8"/>
      <name val="Calibri"/>
      <family val="2"/>
    </font>
    <font>
      <sz val="10"/>
      <color theme="1"/>
      <name val="Arial"/>
      <family val="2"/>
    </font>
    <font>
      <b/>
      <sz val="14"/>
      <color theme="0"/>
      <name val="Cambria"/>
      <family val="1"/>
      <scheme val="major"/>
    </font>
    <font>
      <sz val="10"/>
      <name val="Cambria"/>
      <family val="1"/>
      <scheme val="major"/>
    </font>
    <font>
      <sz val="11"/>
      <color theme="0"/>
      <name val="Cambria"/>
      <family val="1"/>
      <scheme val="major"/>
    </font>
    <font>
      <b/>
      <sz val="16"/>
      <name val="Cambria"/>
      <family val="1"/>
      <scheme val="major"/>
    </font>
    <font>
      <b/>
      <sz val="10"/>
      <color indexed="8"/>
      <name val="Cambria"/>
      <family val="1"/>
      <scheme val="major"/>
    </font>
    <font>
      <b/>
      <sz val="10"/>
      <color theme="0"/>
      <name val="Cambria"/>
      <family val="1"/>
      <scheme val="major"/>
    </font>
    <font>
      <b/>
      <sz val="10"/>
      <name val="Cambria"/>
      <family val="1"/>
      <scheme val="major"/>
    </font>
    <font>
      <b/>
      <sz val="11"/>
      <color theme="0"/>
      <name val="Calibri"/>
      <family val="2"/>
      <scheme val="minor"/>
    </font>
    <font>
      <b/>
      <sz val="11"/>
      <color theme="1"/>
      <name val="Calibri"/>
      <family val="2"/>
      <scheme val="minor"/>
    </font>
    <font>
      <sz val="10"/>
      <color theme="0"/>
      <name val="Cambria"/>
      <family val="1"/>
      <scheme val="major"/>
    </font>
    <font>
      <b/>
      <sz val="10"/>
      <color theme="1"/>
      <name val="Calibri"/>
      <family val="2"/>
      <scheme val="minor"/>
    </font>
    <font>
      <sz val="10"/>
      <name val="Calibri"/>
      <family val="2"/>
      <scheme val="minor"/>
    </font>
    <font>
      <b/>
      <sz val="10"/>
      <name val="Calibri"/>
      <family val="2"/>
      <scheme val="minor"/>
    </font>
    <font>
      <sz val="11"/>
      <color rgb="FF000000"/>
      <name val="Arial"/>
      <family val="2"/>
    </font>
    <font>
      <sz val="10"/>
      <name val="MS Sans Serif"/>
      <family val="2"/>
    </font>
    <font>
      <sz val="11"/>
      <name val="Calibri"/>
      <family val="2"/>
    </font>
    <font>
      <sz val="8"/>
      <name val="Calibri"/>
      <family val="2"/>
      <scheme val="minor"/>
    </font>
    <font>
      <u/>
      <sz val="11"/>
      <color theme="10"/>
      <name val="Calibri"/>
      <family val="2"/>
      <scheme val="minor"/>
    </font>
  </fonts>
  <fills count="23">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bgColor indexed="64"/>
      </patternFill>
    </fill>
    <fill>
      <patternFill patternType="solid">
        <fgColor indexed="9"/>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99"/>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3" tint="0.39997558519241921"/>
        <bgColor indexed="64"/>
      </patternFill>
    </fill>
  </fills>
  <borders count="31">
    <border>
      <left/>
      <right/>
      <top/>
      <bottom/>
      <diagonal/>
    </border>
    <border>
      <left style="thin">
        <color rgb="FFB2B2B2"/>
      </left>
      <right style="thin">
        <color rgb="FFB2B2B2"/>
      </right>
      <top style="thin">
        <color rgb="FFB2B2B2"/>
      </top>
      <bottom style="thin">
        <color rgb="FFB2B2B2"/>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medium">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style="medium">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42">
    <xf numFmtId="0" fontId="0" fillId="0" borderId="0"/>
    <xf numFmtId="0" fontId="2" fillId="0" borderId="0"/>
    <xf numFmtId="0" fontId="1"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1" fillId="0" borderId="0"/>
    <xf numFmtId="0" fontId="22" fillId="0" borderId="0"/>
    <xf numFmtId="43" fontId="22" fillId="0" borderId="0" applyFont="0" applyFill="0" applyBorder="0" applyAlignment="0" applyProtection="0"/>
    <xf numFmtId="0" fontId="23" fillId="0" borderId="0"/>
    <xf numFmtId="0" fontId="25" fillId="0" borderId="0" applyNumberFormat="0" applyFill="0" applyBorder="0" applyAlignment="0" applyProtection="0"/>
  </cellStyleXfs>
  <cellXfs count="148">
    <xf numFmtId="0" fontId="0" fillId="0" borderId="0" xfId="0"/>
    <xf numFmtId="0" fontId="8" fillId="15" borderId="0" xfId="1" applyFont="1" applyFill="1" applyBorder="1" applyProtection="1"/>
    <xf numFmtId="0" fontId="9" fillId="15" borderId="0" xfId="1" applyFont="1" applyFill="1" applyBorder="1" applyProtection="1"/>
    <xf numFmtId="0" fontId="10" fillId="15" borderId="0" xfId="1" applyFont="1" applyFill="1" applyProtection="1"/>
    <xf numFmtId="0" fontId="11" fillId="15" borderId="0" xfId="2" applyFont="1" applyFill="1" applyProtection="1"/>
    <xf numFmtId="0" fontId="12" fillId="15" borderId="0" xfId="1" applyFont="1" applyFill="1" applyBorder="1" applyAlignment="1" applyProtection="1">
      <alignment vertical="center"/>
    </xf>
    <xf numFmtId="0" fontId="9" fillId="15" borderId="0" xfId="1" applyFont="1" applyFill="1" applyBorder="1" applyAlignment="1" applyProtection="1"/>
    <xf numFmtId="0" fontId="12" fillId="15" borderId="0" xfId="1" applyFont="1" applyFill="1" applyBorder="1" applyAlignment="1" applyProtection="1">
      <alignment horizontal="center" vertical="center"/>
    </xf>
    <xf numFmtId="0" fontId="9" fillId="16" borderId="0" xfId="1" applyFont="1" applyFill="1" applyBorder="1" applyProtection="1"/>
    <xf numFmtId="0" fontId="12" fillId="16" borderId="0" xfId="1" applyFont="1" applyFill="1" applyBorder="1" applyAlignment="1" applyProtection="1">
      <alignment vertical="center"/>
    </xf>
    <xf numFmtId="0" fontId="12" fillId="16" borderId="0" xfId="1" applyFont="1" applyFill="1" applyBorder="1" applyAlignment="1" applyProtection="1">
      <alignment horizontal="center" vertical="center"/>
    </xf>
    <xf numFmtId="0" fontId="9" fillId="0" borderId="0" xfId="1" applyFont="1" applyFill="1" applyBorder="1" applyProtection="1"/>
    <xf numFmtId="0" fontId="9" fillId="0" borderId="8" xfId="1" applyNumberFormat="1" applyFont="1" applyFill="1" applyBorder="1" applyAlignment="1" applyProtection="1">
      <alignment horizontal="center"/>
    </xf>
    <xf numFmtId="0" fontId="9" fillId="19" borderId="8" xfId="1" applyNumberFormat="1" applyFont="1" applyFill="1" applyBorder="1" applyAlignment="1" applyProtection="1">
      <alignment horizontal="center"/>
    </xf>
    <xf numFmtId="0" fontId="9" fillId="19" borderId="8" xfId="1" applyNumberFormat="1" applyFont="1" applyFill="1" applyBorder="1" applyAlignment="1" applyProtection="1">
      <alignment horizontal="center"/>
      <protection locked="0"/>
    </xf>
    <xf numFmtId="0" fontId="9" fillId="0" borderId="8" xfId="1" applyFont="1" applyFill="1" applyBorder="1" applyAlignment="1" applyProtection="1">
      <alignment horizontal="center" vertical="center"/>
    </xf>
    <xf numFmtId="0" fontId="9" fillId="19" borderId="8" xfId="1" applyFont="1" applyFill="1" applyBorder="1" applyAlignment="1" applyProtection="1">
      <alignment horizontal="center" vertical="center"/>
      <protection locked="0"/>
    </xf>
    <xf numFmtId="0" fontId="9" fillId="0" borderId="8" xfId="1" applyFont="1" applyFill="1" applyBorder="1" applyAlignment="1" applyProtection="1">
      <alignment horizontal="center" vertical="center"/>
      <protection locked="0"/>
    </xf>
    <xf numFmtId="49" fontId="8" fillId="15" borderId="0" xfId="1" applyNumberFormat="1" applyFont="1" applyFill="1" applyBorder="1"/>
    <xf numFmtId="0" fontId="9" fillId="15" borderId="0" xfId="1" applyFont="1" applyFill="1" applyBorder="1"/>
    <xf numFmtId="49" fontId="10" fillId="15" borderId="0" xfId="1" applyNumberFormat="1" applyFont="1" applyFill="1"/>
    <xf numFmtId="0" fontId="11" fillId="15" borderId="0" xfId="2" applyFont="1" applyFill="1"/>
    <xf numFmtId="0" fontId="12" fillId="15" borderId="0" xfId="1" applyFont="1" applyFill="1" applyBorder="1" applyAlignment="1">
      <alignment vertical="center"/>
    </xf>
    <xf numFmtId="0" fontId="9" fillId="15" borderId="0" xfId="1" applyFont="1" applyFill="1" applyBorder="1" applyAlignment="1"/>
    <xf numFmtId="0" fontId="12" fillId="15" borderId="0" xfId="1" applyFont="1" applyFill="1" applyBorder="1" applyAlignment="1">
      <alignment horizontal="center" vertical="center"/>
    </xf>
    <xf numFmtId="0" fontId="9" fillId="15" borderId="0" xfId="1" applyFont="1" applyFill="1" applyBorder="1" applyAlignment="1">
      <alignment horizontal="center" vertical="center"/>
    </xf>
    <xf numFmtId="0" fontId="9" fillId="16" borderId="0" xfId="1" applyFont="1" applyFill="1"/>
    <xf numFmtId="0" fontId="15" fillId="20" borderId="16" xfId="0" applyFont="1" applyFill="1" applyBorder="1" applyAlignment="1">
      <alignment wrapText="1"/>
    </xf>
    <xf numFmtId="0" fontId="15" fillId="20" borderId="12" xfId="0" applyFont="1" applyFill="1" applyBorder="1" applyAlignment="1">
      <alignment wrapText="1"/>
    </xf>
    <xf numFmtId="0" fontId="16" fillId="0" borderId="0" xfId="0" applyFont="1" applyAlignment="1">
      <alignment wrapText="1"/>
    </xf>
    <xf numFmtId="0" fontId="15" fillId="20" borderId="18" xfId="0" applyFont="1" applyFill="1" applyBorder="1" applyAlignment="1">
      <alignment horizontal="center" wrapText="1"/>
    </xf>
    <xf numFmtId="0" fontId="15" fillId="20" borderId="2" xfId="0" applyFont="1" applyFill="1" applyBorder="1" applyAlignment="1">
      <alignment horizontal="center" wrapText="1"/>
    </xf>
    <xf numFmtId="0" fontId="15" fillId="20" borderId="19" xfId="0" applyFont="1" applyFill="1" applyBorder="1" applyAlignment="1">
      <alignment horizontal="center" wrapText="1"/>
    </xf>
    <xf numFmtId="0" fontId="16" fillId="0" borderId="0" xfId="0" applyFont="1" applyAlignment="1">
      <alignment horizontal="center" wrapText="1"/>
    </xf>
    <xf numFmtId="0" fontId="17" fillId="15" borderId="0" xfId="1" quotePrefix="1" applyFont="1" applyFill="1" applyBorder="1" applyAlignment="1" applyProtection="1">
      <alignment horizontal="left"/>
    </xf>
    <xf numFmtId="0" fontId="19" fillId="16" borderId="0" xfId="1" applyFont="1" applyFill="1" applyBorder="1" applyProtection="1"/>
    <xf numFmtId="0" fontId="19" fillId="0" borderId="0" xfId="1" applyFont="1" applyFill="1" applyBorder="1" applyProtection="1"/>
    <xf numFmtId="0" fontId="10" fillId="15" borderId="0" xfId="1" quotePrefix="1" applyFont="1" applyFill="1" applyProtection="1"/>
    <xf numFmtId="0" fontId="9" fillId="16" borderId="0" xfId="1" applyFont="1" applyFill="1" applyBorder="1" applyAlignment="1" applyProtection="1"/>
    <xf numFmtId="0" fontId="9" fillId="16" borderId="0" xfId="1" applyFont="1" applyFill="1" applyBorder="1" applyAlignment="1" applyProtection="1">
      <alignment vertical="center"/>
    </xf>
    <xf numFmtId="49" fontId="9" fillId="0" borderId="8" xfId="1" applyNumberFormat="1" applyFont="1" applyFill="1" applyBorder="1" applyAlignment="1" applyProtection="1">
      <alignment horizontal="center"/>
      <protection locked="0"/>
    </xf>
    <xf numFmtId="49" fontId="14" fillId="18" borderId="8" xfId="1" applyNumberFormat="1" applyFont="1" applyFill="1" applyBorder="1" applyAlignment="1" applyProtection="1">
      <alignment horizontal="center" wrapText="1"/>
    </xf>
    <xf numFmtId="0" fontId="14" fillId="18" borderId="8" xfId="1" applyFont="1" applyFill="1" applyBorder="1" applyAlignment="1" applyProtection="1">
      <alignment horizontal="center" wrapText="1"/>
    </xf>
    <xf numFmtId="49" fontId="14" fillId="18" borderId="9" xfId="1" applyNumberFormat="1" applyFont="1" applyFill="1" applyBorder="1" applyAlignment="1" applyProtection="1">
      <alignment horizontal="center" wrapText="1"/>
    </xf>
    <xf numFmtId="49" fontId="9" fillId="0" borderId="9" xfId="1" applyNumberFormat="1" applyFont="1" applyFill="1" applyBorder="1" applyAlignment="1" applyProtection="1">
      <alignment horizontal="center"/>
      <protection locked="0"/>
    </xf>
    <xf numFmtId="14" fontId="0" fillId="0" borderId="0" xfId="0" applyNumberFormat="1" applyFill="1"/>
    <xf numFmtId="0" fontId="0" fillId="0" borderId="0" xfId="0" applyFill="1"/>
    <xf numFmtId="0" fontId="25" fillId="0" borderId="0" xfId="141" applyFill="1"/>
    <xf numFmtId="164" fontId="9" fillId="15" borderId="0" xfId="1" applyNumberFormat="1" applyFont="1" applyFill="1" applyBorder="1" applyProtection="1"/>
    <xf numFmtId="164" fontId="9" fillId="16" borderId="0" xfId="1" applyNumberFormat="1" applyFont="1" applyFill="1" applyBorder="1" applyProtection="1"/>
    <xf numFmtId="164" fontId="14" fillId="18" borderId="8" xfId="1" applyNumberFormat="1" applyFont="1" applyFill="1" applyBorder="1" applyAlignment="1" applyProtection="1">
      <alignment horizontal="center" wrapText="1"/>
    </xf>
    <xf numFmtId="0" fontId="14" fillId="18" borderId="14" xfId="1" applyFont="1" applyFill="1" applyBorder="1" applyAlignment="1" applyProtection="1">
      <alignment horizontal="center" wrapText="1"/>
    </xf>
    <xf numFmtId="0" fontId="9" fillId="19" borderId="14" xfId="1" applyFont="1" applyFill="1" applyBorder="1" applyProtection="1">
      <protection locked="0"/>
    </xf>
    <xf numFmtId="0" fontId="9" fillId="0" borderId="8" xfId="1" applyFont="1" applyFill="1" applyBorder="1" applyProtection="1"/>
    <xf numFmtId="164" fontId="9" fillId="0" borderId="8" xfId="1" applyNumberFormat="1" applyFont="1" applyFill="1" applyBorder="1" applyProtection="1"/>
    <xf numFmtId="0" fontId="9" fillId="16" borderId="8" xfId="1" applyFont="1" applyFill="1" applyBorder="1" applyProtection="1"/>
    <xf numFmtId="164" fontId="9" fillId="16" borderId="8" xfId="1" applyNumberFormat="1" applyFont="1" applyFill="1" applyBorder="1" applyProtection="1"/>
    <xf numFmtId="0" fontId="0" fillId="0" borderId="0" xfId="0" applyAlignment="1">
      <alignment horizontal="left"/>
    </xf>
    <xf numFmtId="10" fontId="0" fillId="0" borderId="0" xfId="0" applyNumberFormat="1" applyAlignment="1">
      <alignment horizontal="left"/>
    </xf>
    <xf numFmtId="0" fontId="16" fillId="0" borderId="0" xfId="0" applyFont="1" applyAlignment="1">
      <alignment horizontal="left"/>
    </xf>
    <xf numFmtId="42" fontId="9" fillId="15" borderId="0" xfId="1" applyNumberFormat="1" applyFont="1" applyFill="1" applyBorder="1" applyProtection="1"/>
    <xf numFmtId="42" fontId="12" fillId="15" borderId="0" xfId="1" applyNumberFormat="1" applyFont="1" applyFill="1" applyBorder="1" applyAlignment="1" applyProtection="1">
      <alignment vertical="center"/>
    </xf>
    <xf numFmtId="42" fontId="9" fillId="16" borderId="2" xfId="1" applyNumberFormat="1" applyFont="1" applyFill="1" applyBorder="1" applyAlignment="1" applyProtection="1">
      <alignment vertical="center"/>
    </xf>
    <xf numFmtId="42" fontId="9" fillId="16" borderId="0" xfId="1" applyNumberFormat="1" applyFont="1" applyFill="1" applyBorder="1" applyAlignment="1" applyProtection="1">
      <alignment vertical="center"/>
    </xf>
    <xf numFmtId="42" fontId="9" fillId="0" borderId="0" xfId="1" applyNumberFormat="1" applyFont="1" applyFill="1" applyBorder="1" applyProtection="1"/>
    <xf numFmtId="2" fontId="9" fillId="15" borderId="0" xfId="1" applyNumberFormat="1" applyFont="1" applyFill="1" applyBorder="1" applyProtection="1"/>
    <xf numFmtId="2" fontId="9" fillId="0" borderId="0" xfId="1" applyNumberFormat="1" applyFont="1" applyFill="1" applyBorder="1" applyProtection="1"/>
    <xf numFmtId="42" fontId="12" fillId="15" borderId="0" xfId="1" applyNumberFormat="1" applyFont="1" applyFill="1" applyBorder="1" applyAlignment="1" applyProtection="1">
      <alignment horizontal="center" vertical="center"/>
    </xf>
    <xf numFmtId="42" fontId="12" fillId="16" borderId="2" xfId="1" applyNumberFormat="1" applyFont="1" applyFill="1" applyBorder="1" applyAlignment="1" applyProtection="1">
      <alignment vertical="center"/>
    </xf>
    <xf numFmtId="42" fontId="12" fillId="16" borderId="0" xfId="1" applyNumberFormat="1" applyFont="1" applyFill="1" applyBorder="1" applyAlignment="1" applyProtection="1">
      <alignment vertical="center"/>
    </xf>
    <xf numFmtId="42" fontId="12" fillId="16" borderId="0" xfId="1" applyNumberFormat="1" applyFont="1" applyFill="1" applyBorder="1" applyAlignment="1" applyProtection="1">
      <alignment horizontal="center" vertical="center"/>
    </xf>
    <xf numFmtId="39" fontId="9" fillId="15" borderId="0" xfId="1" applyNumberFormat="1" applyFont="1" applyFill="1" applyBorder="1" applyProtection="1"/>
    <xf numFmtId="39" fontId="9" fillId="0" borderId="0" xfId="1" applyNumberFormat="1" applyFont="1" applyFill="1" applyBorder="1" applyProtection="1"/>
    <xf numFmtId="49" fontId="20" fillId="18" borderId="20" xfId="1" applyNumberFormat="1" applyFont="1" applyFill="1" applyBorder="1" applyAlignment="1" applyProtection="1">
      <alignment horizontal="center" wrapText="1"/>
    </xf>
    <xf numFmtId="49" fontId="9" fillId="19" borderId="21" xfId="1" applyNumberFormat="1" applyFont="1" applyFill="1" applyBorder="1" applyAlignment="1" applyProtection="1">
      <alignment horizontal="center"/>
      <protection locked="0"/>
    </xf>
    <xf numFmtId="49" fontId="9" fillId="19" borderId="22" xfId="1" applyNumberFormat="1" applyFont="1" applyFill="1" applyBorder="1" applyAlignment="1" applyProtection="1">
      <alignment horizontal="center"/>
      <protection locked="0"/>
    </xf>
    <xf numFmtId="49" fontId="9" fillId="19" borderId="0" xfId="1" applyNumberFormat="1" applyFont="1" applyFill="1" applyBorder="1" applyAlignment="1" applyProtection="1">
      <alignment horizontal="center"/>
      <protection locked="0"/>
    </xf>
    <xf numFmtId="0" fontId="9" fillId="19" borderId="0" xfId="1" applyNumberFormat="1" applyFont="1" applyFill="1" applyBorder="1" applyAlignment="1" applyProtection="1">
      <alignment horizontal="center"/>
    </xf>
    <xf numFmtId="14" fontId="9" fillId="19" borderId="0" xfId="1" applyNumberFormat="1" applyFont="1" applyFill="1" applyBorder="1" applyAlignment="1" applyProtection="1">
      <alignment horizontal="center"/>
    </xf>
    <xf numFmtId="0" fontId="9" fillId="0" borderId="0" xfId="1" applyNumberFormat="1" applyFont="1" applyFill="1" applyBorder="1" applyAlignment="1" applyProtection="1">
      <alignment horizontal="center"/>
    </xf>
    <xf numFmtId="42" fontId="9" fillId="19" borderId="0" xfId="1" applyNumberFormat="1" applyFont="1" applyFill="1" applyBorder="1" applyAlignment="1" applyProtection="1">
      <alignment horizontal="center" vertical="center"/>
      <protection locked="0"/>
    </xf>
    <xf numFmtId="42" fontId="9" fillId="19" borderId="0" xfId="1" applyNumberFormat="1" applyFont="1" applyFill="1" applyBorder="1" applyAlignment="1" applyProtection="1">
      <alignment horizontal="center"/>
    </xf>
    <xf numFmtId="42" fontId="9" fillId="19" borderId="0" xfId="1" applyNumberFormat="1" applyFont="1" applyFill="1" applyBorder="1" applyAlignment="1" applyProtection="1">
      <alignment horizontal="center"/>
      <protection locked="0"/>
    </xf>
    <xf numFmtId="2" fontId="9" fillId="19" borderId="0" xfId="1" applyNumberFormat="1" applyFont="1" applyFill="1" applyBorder="1" applyAlignment="1" applyProtection="1">
      <alignment horizontal="center" vertical="center"/>
      <protection locked="0"/>
    </xf>
    <xf numFmtId="39" fontId="9" fillId="19" borderId="0" xfId="1" applyNumberFormat="1" applyFont="1" applyFill="1" applyBorder="1" applyAlignment="1" applyProtection="1">
      <alignment horizontal="center" vertical="center"/>
      <protection locked="0"/>
    </xf>
    <xf numFmtId="49" fontId="9" fillId="0" borderId="0" xfId="1" applyNumberFormat="1" applyFont="1" applyFill="1" applyBorder="1" applyAlignment="1" applyProtection="1">
      <alignment horizontal="center"/>
      <protection locked="0"/>
    </xf>
    <xf numFmtId="2" fontId="9" fillId="19" borderId="0" xfId="1" applyNumberFormat="1" applyFont="1" applyFill="1" applyBorder="1" applyAlignment="1" applyProtection="1">
      <alignment horizontal="center"/>
      <protection locked="0"/>
    </xf>
    <xf numFmtId="39" fontId="9" fillId="19" borderId="0" xfId="1" applyNumberFormat="1" applyFont="1" applyFill="1" applyBorder="1" applyAlignment="1" applyProtection="1">
      <alignment horizontal="center"/>
      <protection locked="0"/>
    </xf>
    <xf numFmtId="49" fontId="20" fillId="18" borderId="23" xfId="1" applyNumberFormat="1" applyFont="1" applyFill="1" applyBorder="1" applyAlignment="1" applyProtection="1">
      <alignment horizontal="center" wrapText="1"/>
    </xf>
    <xf numFmtId="49" fontId="20" fillId="18" borderId="24" xfId="1" applyNumberFormat="1" applyFont="1" applyFill="1" applyBorder="1" applyAlignment="1" applyProtection="1">
      <alignment horizontal="center" wrapText="1"/>
    </xf>
    <xf numFmtId="0" fontId="20" fillId="18" borderId="24" xfId="1" applyFont="1" applyFill="1" applyBorder="1" applyAlignment="1" applyProtection="1">
      <alignment horizontal="center" wrapText="1"/>
    </xf>
    <xf numFmtId="42" fontId="18" fillId="0" borderId="24" xfId="0" applyNumberFormat="1" applyFont="1" applyFill="1" applyBorder="1" applyAlignment="1">
      <alignment wrapText="1"/>
    </xf>
    <xf numFmtId="42" fontId="18" fillId="0" borderId="24" xfId="0" applyNumberFormat="1" applyFont="1" applyBorder="1" applyAlignment="1">
      <alignment wrapText="1"/>
    </xf>
    <xf numFmtId="2" fontId="18" fillId="0" borderId="24" xfId="0" applyNumberFormat="1" applyFont="1" applyBorder="1" applyAlignment="1">
      <alignment wrapText="1"/>
    </xf>
    <xf numFmtId="39" fontId="18" fillId="0" borderId="24" xfId="0" applyNumberFormat="1" applyFont="1" applyBorder="1" applyAlignment="1">
      <alignment wrapText="1"/>
    </xf>
    <xf numFmtId="42" fontId="18" fillId="0" borderId="25" xfId="0" applyNumberFormat="1" applyFont="1" applyBorder="1" applyAlignment="1">
      <alignment wrapText="1"/>
    </xf>
    <xf numFmtId="49" fontId="9" fillId="19" borderId="26" xfId="1" applyNumberFormat="1" applyFont="1" applyFill="1" applyBorder="1" applyAlignment="1" applyProtection="1">
      <alignment horizontal="center"/>
      <protection locked="0"/>
    </xf>
    <xf numFmtId="42" fontId="9" fillId="19" borderId="27" xfId="1" applyNumberFormat="1" applyFont="1" applyFill="1" applyBorder="1" applyAlignment="1" applyProtection="1">
      <alignment horizontal="center" vertical="center"/>
      <protection locked="0"/>
    </xf>
    <xf numFmtId="49" fontId="9" fillId="19" borderId="28" xfId="1" applyNumberFormat="1" applyFont="1" applyFill="1" applyBorder="1" applyAlignment="1" applyProtection="1">
      <alignment horizontal="center"/>
      <protection locked="0"/>
    </xf>
    <xf numFmtId="49" fontId="9" fillId="19" borderId="29" xfId="1" applyNumberFormat="1" applyFont="1" applyFill="1" applyBorder="1" applyAlignment="1" applyProtection="1">
      <alignment horizontal="center"/>
      <protection locked="0"/>
    </xf>
    <xf numFmtId="0" fontId="9" fillId="19" borderId="29" xfId="1" applyNumberFormat="1" applyFont="1" applyFill="1" applyBorder="1" applyAlignment="1" applyProtection="1">
      <alignment horizontal="center"/>
    </xf>
    <xf numFmtId="14" fontId="9" fillId="19" borderId="29" xfId="1" applyNumberFormat="1" applyFont="1" applyFill="1" applyBorder="1" applyAlignment="1" applyProtection="1">
      <alignment horizontal="center"/>
    </xf>
    <xf numFmtId="0" fontId="9" fillId="0" borderId="29" xfId="1" applyNumberFormat="1" applyFont="1" applyFill="1" applyBorder="1" applyAlignment="1" applyProtection="1">
      <alignment horizontal="center"/>
    </xf>
    <xf numFmtId="42" fontId="9" fillId="19" borderId="29" xfId="1" applyNumberFormat="1" applyFont="1" applyFill="1" applyBorder="1" applyAlignment="1" applyProtection="1">
      <alignment horizontal="center" vertical="center"/>
      <protection locked="0"/>
    </xf>
    <xf numFmtId="42" fontId="9" fillId="19" borderId="29" xfId="1" applyNumberFormat="1" applyFont="1" applyFill="1" applyBorder="1" applyAlignment="1" applyProtection="1">
      <alignment horizontal="center"/>
    </xf>
    <xf numFmtId="42" fontId="9" fillId="19" borderId="29" xfId="1" applyNumberFormat="1" applyFont="1" applyFill="1" applyBorder="1" applyAlignment="1" applyProtection="1">
      <alignment horizontal="center"/>
      <protection locked="0"/>
    </xf>
    <xf numFmtId="2" fontId="9" fillId="19" borderId="29" xfId="1" applyNumberFormat="1" applyFont="1" applyFill="1" applyBorder="1" applyAlignment="1" applyProtection="1">
      <alignment horizontal="center" vertical="center"/>
      <protection locked="0"/>
    </xf>
    <xf numFmtId="39" fontId="9" fillId="19" borderId="29" xfId="1" applyNumberFormat="1" applyFont="1" applyFill="1" applyBorder="1" applyAlignment="1" applyProtection="1">
      <alignment horizontal="center" vertical="center"/>
      <protection locked="0"/>
    </xf>
    <xf numFmtId="42" fontId="9" fillId="19" borderId="30" xfId="1" applyNumberFormat="1" applyFont="1" applyFill="1" applyBorder="1" applyAlignment="1" applyProtection="1">
      <alignment horizontal="center" vertical="center"/>
      <protection locked="0"/>
    </xf>
    <xf numFmtId="41" fontId="9" fillId="19" borderId="0" xfId="1" applyNumberFormat="1" applyFont="1" applyFill="1" applyBorder="1" applyAlignment="1" applyProtection="1">
      <alignment horizontal="center" vertical="center"/>
      <protection locked="0"/>
    </xf>
    <xf numFmtId="41" fontId="9" fillId="19" borderId="0" xfId="1" applyNumberFormat="1" applyFont="1" applyFill="1" applyBorder="1" applyAlignment="1" applyProtection="1">
      <alignment horizontal="center"/>
    </xf>
    <xf numFmtId="41" fontId="9" fillId="19" borderId="0" xfId="1" applyNumberFormat="1" applyFont="1" applyFill="1" applyBorder="1" applyAlignment="1" applyProtection="1">
      <alignment horizontal="center"/>
      <protection locked="0"/>
    </xf>
    <xf numFmtId="41" fontId="9" fillId="19" borderId="27" xfId="1" applyNumberFormat="1" applyFont="1" applyFill="1" applyBorder="1" applyAlignment="1" applyProtection="1">
      <alignment horizontal="center" vertical="center"/>
      <protection locked="0"/>
    </xf>
    <xf numFmtId="41" fontId="9" fillId="19" borderId="27" xfId="1" applyNumberFormat="1" applyFont="1" applyFill="1" applyBorder="1" applyAlignment="1" applyProtection="1">
      <alignment horizontal="center"/>
      <protection locked="0"/>
    </xf>
    <xf numFmtId="2" fontId="9" fillId="0" borderId="8" xfId="1" applyNumberFormat="1" applyFont="1" applyFill="1" applyBorder="1" applyProtection="1"/>
    <xf numFmtId="10" fontId="9" fillId="19" borderId="8" xfId="1" applyNumberFormat="1" applyFont="1" applyFill="1" applyBorder="1" applyAlignment="1" applyProtection="1">
      <alignment horizontal="center" vertical="center"/>
      <protection locked="0"/>
    </xf>
    <xf numFmtId="164" fontId="9" fillId="19" borderId="8" xfId="1" applyNumberFormat="1" applyFont="1" applyFill="1" applyBorder="1" applyAlignment="1" applyProtection="1">
      <alignment horizontal="center" vertical="center"/>
      <protection locked="0"/>
    </xf>
    <xf numFmtId="0" fontId="9" fillId="19" borderId="14" xfId="1" applyFont="1" applyFill="1" applyBorder="1" applyAlignment="1" applyProtection="1">
      <alignment horizontal="center" vertical="center"/>
      <protection locked="0"/>
    </xf>
    <xf numFmtId="0" fontId="0" fillId="0" borderId="0" xfId="0" applyFill="1" applyBorder="1"/>
    <xf numFmtId="14" fontId="0" fillId="0" borderId="0" xfId="0" applyNumberFormat="1"/>
    <xf numFmtId="0" fontId="25" fillId="0" borderId="0" xfId="141"/>
    <xf numFmtId="0" fontId="9" fillId="15" borderId="0" xfId="1" applyFont="1" applyFill="1" applyBorder="1" applyAlignment="1" applyProtection="1">
      <alignment horizontal="center" vertical="center"/>
    </xf>
    <xf numFmtId="0" fontId="9" fillId="16" borderId="0" xfId="1" applyFont="1" applyFill="1" applyBorder="1" applyAlignment="1" applyProtection="1">
      <alignment horizontal="center" vertical="center"/>
    </xf>
    <xf numFmtId="49" fontId="13" fillId="17" borderId="6" xfId="1" applyNumberFormat="1" applyFont="1" applyFill="1" applyBorder="1" applyAlignment="1" applyProtection="1">
      <alignment horizontal="center"/>
    </xf>
    <xf numFmtId="0" fontId="15" fillId="21" borderId="16" xfId="0" applyFont="1" applyFill="1" applyBorder="1" applyAlignment="1">
      <alignment horizontal="center" wrapText="1"/>
    </xf>
    <xf numFmtId="0" fontId="15" fillId="21" borderId="12" xfId="0" applyFont="1" applyFill="1" applyBorder="1" applyAlignment="1">
      <alignment horizontal="center" wrapText="1"/>
    </xf>
    <xf numFmtId="0" fontId="15" fillId="21" borderId="17" xfId="0" applyFont="1" applyFill="1" applyBorder="1" applyAlignment="1">
      <alignment horizontal="center" wrapText="1"/>
    </xf>
    <xf numFmtId="0" fontId="15" fillId="22" borderId="12" xfId="0" applyFont="1" applyFill="1" applyBorder="1" applyAlignment="1">
      <alignment horizontal="center" wrapText="1"/>
    </xf>
    <xf numFmtId="0" fontId="15" fillId="22" borderId="17" xfId="0" applyFont="1" applyFill="1" applyBorder="1" applyAlignment="1">
      <alignment horizontal="center" wrapText="1"/>
    </xf>
    <xf numFmtId="0" fontId="13" fillId="17" borderId="6" xfId="1" applyFont="1" applyFill="1" applyBorder="1" applyAlignment="1" applyProtection="1">
      <alignment horizontal="center"/>
    </xf>
    <xf numFmtId="0" fontId="9" fillId="15" borderId="0" xfId="1" applyFont="1" applyFill="1" applyBorder="1" applyAlignment="1" applyProtection="1">
      <alignment horizontal="center" vertical="center"/>
    </xf>
    <xf numFmtId="0" fontId="9" fillId="16" borderId="0" xfId="1" applyFont="1" applyFill="1" applyBorder="1" applyAlignment="1" applyProtection="1">
      <alignment horizontal="center" vertical="center"/>
    </xf>
    <xf numFmtId="49" fontId="13" fillId="17" borderId="5" xfId="1" applyNumberFormat="1" applyFont="1" applyFill="1" applyBorder="1" applyAlignment="1" applyProtection="1">
      <alignment horizontal="center"/>
    </xf>
    <xf numFmtId="49" fontId="13" fillId="17" borderId="6" xfId="1" applyNumberFormat="1" applyFont="1" applyFill="1" applyBorder="1" applyAlignment="1" applyProtection="1">
      <alignment horizontal="center"/>
    </xf>
    <xf numFmtId="0" fontId="13" fillId="17" borderId="15" xfId="1" applyFont="1" applyFill="1" applyBorder="1" applyAlignment="1" applyProtection="1">
      <alignment horizontal="center"/>
    </xf>
    <xf numFmtId="0" fontId="13" fillId="17" borderId="7" xfId="1" applyFont="1" applyFill="1" applyBorder="1" applyAlignment="1" applyProtection="1">
      <alignment horizontal="center"/>
    </xf>
    <xf numFmtId="0" fontId="14" fillId="19" borderId="11" xfId="1" applyFont="1" applyFill="1" applyBorder="1" applyAlignment="1" applyProtection="1">
      <alignment horizontal="left" vertical="top" wrapText="1"/>
      <protection locked="0"/>
    </xf>
    <xf numFmtId="0" fontId="14" fillId="19" borderId="13" xfId="1" applyFont="1" applyFill="1" applyBorder="1" applyAlignment="1" applyProtection="1">
      <alignment horizontal="left" vertical="top" wrapText="1"/>
      <protection locked="0"/>
    </xf>
    <xf numFmtId="0" fontId="14" fillId="19" borderId="10" xfId="1" applyFont="1" applyFill="1" applyBorder="1" applyAlignment="1" applyProtection="1">
      <alignment horizontal="left" vertical="top" wrapText="1"/>
      <protection locked="0"/>
    </xf>
    <xf numFmtId="49" fontId="13" fillId="17" borderId="3" xfId="1" applyNumberFormat="1" applyFont="1" applyFill="1" applyBorder="1" applyAlignment="1" applyProtection="1">
      <alignment horizontal="center"/>
    </xf>
    <xf numFmtId="49" fontId="13" fillId="17" borderId="4" xfId="1" applyNumberFormat="1" applyFont="1" applyFill="1" applyBorder="1" applyAlignment="1" applyProtection="1">
      <alignment horizontal="center"/>
    </xf>
    <xf numFmtId="49" fontId="13" fillId="17" borderId="12" xfId="1" applyNumberFormat="1" applyFont="1" applyFill="1" applyBorder="1" applyAlignment="1" applyProtection="1">
      <alignment horizontal="center"/>
    </xf>
    <xf numFmtId="49" fontId="13" fillId="17" borderId="17" xfId="1" applyNumberFormat="1" applyFont="1" applyFill="1" applyBorder="1" applyAlignment="1" applyProtection="1">
      <alignment horizontal="center"/>
    </xf>
    <xf numFmtId="42" fontId="13" fillId="17" borderId="16" xfId="1" applyNumberFormat="1" applyFont="1" applyFill="1" applyBorder="1" applyAlignment="1" applyProtection="1">
      <alignment horizontal="center"/>
    </xf>
    <xf numFmtId="42" fontId="13" fillId="17" borderId="12" xfId="1" applyNumberFormat="1" applyFont="1" applyFill="1" applyBorder="1" applyAlignment="1" applyProtection="1">
      <alignment horizontal="center"/>
    </xf>
    <xf numFmtId="42" fontId="13" fillId="17" borderId="17" xfId="1" applyNumberFormat="1" applyFont="1" applyFill="1" applyBorder="1" applyAlignment="1" applyProtection="1">
      <alignment horizontal="center"/>
    </xf>
    <xf numFmtId="42" fontId="9" fillId="15" borderId="0" xfId="1" applyNumberFormat="1" applyFont="1" applyFill="1" applyBorder="1" applyAlignment="1" applyProtection="1">
      <alignment horizontal="center" vertical="center"/>
    </xf>
    <xf numFmtId="42" fontId="9" fillId="16" borderId="0" xfId="1" applyNumberFormat="1" applyFont="1" applyFill="1" applyBorder="1" applyAlignment="1" applyProtection="1">
      <alignment horizontal="center" vertical="center"/>
    </xf>
  </cellXfs>
  <cellStyles count="142">
    <cellStyle name="20% - Accent1 2" xfId="3" xr:uid="{00000000-0005-0000-0000-000000000000}"/>
    <cellStyle name="20% - Accent1 2 2" xfId="4" xr:uid="{00000000-0005-0000-0000-000001000000}"/>
    <cellStyle name="20% - Accent1 3" xfId="5" xr:uid="{00000000-0005-0000-0000-000002000000}"/>
    <cellStyle name="20% - Accent1 3 2" xfId="6" xr:uid="{00000000-0005-0000-0000-000003000000}"/>
    <cellStyle name="20% - Accent1 4" xfId="7" xr:uid="{00000000-0005-0000-0000-000004000000}"/>
    <cellStyle name="20% - Accent2 2" xfId="8" xr:uid="{00000000-0005-0000-0000-000005000000}"/>
    <cellStyle name="20% - Accent2 2 2" xfId="9" xr:uid="{00000000-0005-0000-0000-000006000000}"/>
    <cellStyle name="20% - Accent2 3" xfId="10" xr:uid="{00000000-0005-0000-0000-000007000000}"/>
    <cellStyle name="20% - Accent2 3 2" xfId="11" xr:uid="{00000000-0005-0000-0000-000008000000}"/>
    <cellStyle name="20% - Accent2 4" xfId="12" xr:uid="{00000000-0005-0000-0000-000009000000}"/>
    <cellStyle name="20% - Accent3 2" xfId="13" xr:uid="{00000000-0005-0000-0000-00000A000000}"/>
    <cellStyle name="20% - Accent3 2 2" xfId="14" xr:uid="{00000000-0005-0000-0000-00000B000000}"/>
    <cellStyle name="20% - Accent3 3" xfId="15" xr:uid="{00000000-0005-0000-0000-00000C000000}"/>
    <cellStyle name="20% - Accent3 3 2" xfId="16" xr:uid="{00000000-0005-0000-0000-00000D000000}"/>
    <cellStyle name="20% - Accent3 4" xfId="17" xr:uid="{00000000-0005-0000-0000-00000E000000}"/>
    <cellStyle name="20% - Accent4 2" xfId="18" xr:uid="{00000000-0005-0000-0000-00000F000000}"/>
    <cellStyle name="20% - Accent4 2 2" xfId="19" xr:uid="{00000000-0005-0000-0000-000010000000}"/>
    <cellStyle name="20% - Accent4 3" xfId="20" xr:uid="{00000000-0005-0000-0000-000011000000}"/>
    <cellStyle name="20% - Accent4 3 2" xfId="21" xr:uid="{00000000-0005-0000-0000-000012000000}"/>
    <cellStyle name="20% - Accent4 4" xfId="22" xr:uid="{00000000-0005-0000-0000-000013000000}"/>
    <cellStyle name="20% - Accent5 2" xfId="23" xr:uid="{00000000-0005-0000-0000-000014000000}"/>
    <cellStyle name="20% - Accent5 2 2" xfId="24" xr:uid="{00000000-0005-0000-0000-000015000000}"/>
    <cellStyle name="20% - Accent5 3" xfId="25" xr:uid="{00000000-0005-0000-0000-000016000000}"/>
    <cellStyle name="20% - Accent5 3 2" xfId="26" xr:uid="{00000000-0005-0000-0000-000017000000}"/>
    <cellStyle name="20% - Accent5 4" xfId="27" xr:uid="{00000000-0005-0000-0000-000018000000}"/>
    <cellStyle name="20% - Accent6 2" xfId="28" xr:uid="{00000000-0005-0000-0000-000019000000}"/>
    <cellStyle name="20% - Accent6 2 2" xfId="29" xr:uid="{00000000-0005-0000-0000-00001A000000}"/>
    <cellStyle name="20% - Accent6 3" xfId="30" xr:uid="{00000000-0005-0000-0000-00001B000000}"/>
    <cellStyle name="20% - Accent6 3 2" xfId="31" xr:uid="{00000000-0005-0000-0000-00001C000000}"/>
    <cellStyle name="20% - Accent6 4" xfId="32" xr:uid="{00000000-0005-0000-0000-00001D000000}"/>
    <cellStyle name="40% - Accent1 2" xfId="33" xr:uid="{00000000-0005-0000-0000-00001E000000}"/>
    <cellStyle name="40% - Accent1 2 2" xfId="34" xr:uid="{00000000-0005-0000-0000-00001F000000}"/>
    <cellStyle name="40% - Accent1 3" xfId="35" xr:uid="{00000000-0005-0000-0000-000020000000}"/>
    <cellStyle name="40% - Accent1 3 2" xfId="36" xr:uid="{00000000-0005-0000-0000-000021000000}"/>
    <cellStyle name="40% - Accent1 4" xfId="37" xr:uid="{00000000-0005-0000-0000-000022000000}"/>
    <cellStyle name="40% - Accent2 2" xfId="38" xr:uid="{00000000-0005-0000-0000-000023000000}"/>
    <cellStyle name="40% - Accent2 2 2" xfId="39" xr:uid="{00000000-0005-0000-0000-000024000000}"/>
    <cellStyle name="40% - Accent2 3" xfId="40" xr:uid="{00000000-0005-0000-0000-000025000000}"/>
    <cellStyle name="40% - Accent2 3 2" xfId="41" xr:uid="{00000000-0005-0000-0000-000026000000}"/>
    <cellStyle name="40% - Accent2 4" xfId="42" xr:uid="{00000000-0005-0000-0000-000027000000}"/>
    <cellStyle name="40% - Accent3 2" xfId="43" xr:uid="{00000000-0005-0000-0000-000028000000}"/>
    <cellStyle name="40% - Accent3 2 2" xfId="44" xr:uid="{00000000-0005-0000-0000-000029000000}"/>
    <cellStyle name="40% - Accent3 3" xfId="45" xr:uid="{00000000-0005-0000-0000-00002A000000}"/>
    <cellStyle name="40% - Accent3 3 2" xfId="46" xr:uid="{00000000-0005-0000-0000-00002B000000}"/>
    <cellStyle name="40% - Accent3 4" xfId="47" xr:uid="{00000000-0005-0000-0000-00002C000000}"/>
    <cellStyle name="40% - Accent4 2" xfId="48" xr:uid="{00000000-0005-0000-0000-00002D000000}"/>
    <cellStyle name="40% - Accent4 2 2" xfId="49" xr:uid="{00000000-0005-0000-0000-00002E000000}"/>
    <cellStyle name="40% - Accent4 3" xfId="50" xr:uid="{00000000-0005-0000-0000-00002F000000}"/>
    <cellStyle name="40% - Accent4 3 2" xfId="51" xr:uid="{00000000-0005-0000-0000-000030000000}"/>
    <cellStyle name="40% - Accent4 4" xfId="52" xr:uid="{00000000-0005-0000-0000-000031000000}"/>
    <cellStyle name="40% - Accent5 2" xfId="53" xr:uid="{00000000-0005-0000-0000-000032000000}"/>
    <cellStyle name="40% - Accent5 2 2" xfId="54" xr:uid="{00000000-0005-0000-0000-000033000000}"/>
    <cellStyle name="40% - Accent5 3" xfId="55" xr:uid="{00000000-0005-0000-0000-000034000000}"/>
    <cellStyle name="40% - Accent5 3 2" xfId="56" xr:uid="{00000000-0005-0000-0000-000035000000}"/>
    <cellStyle name="40% - Accent5 4" xfId="57" xr:uid="{00000000-0005-0000-0000-000036000000}"/>
    <cellStyle name="40% - Accent6 2" xfId="58" xr:uid="{00000000-0005-0000-0000-000037000000}"/>
    <cellStyle name="40% - Accent6 2 2" xfId="59" xr:uid="{00000000-0005-0000-0000-000038000000}"/>
    <cellStyle name="40% - Accent6 3" xfId="60" xr:uid="{00000000-0005-0000-0000-000039000000}"/>
    <cellStyle name="40% - Accent6 3 2" xfId="61" xr:uid="{00000000-0005-0000-0000-00003A000000}"/>
    <cellStyle name="40% - Accent6 4" xfId="62" xr:uid="{00000000-0005-0000-0000-00003B000000}"/>
    <cellStyle name="Comma 2" xfId="63" xr:uid="{00000000-0005-0000-0000-00003C000000}"/>
    <cellStyle name="Comma 2 2" xfId="64" xr:uid="{00000000-0005-0000-0000-00003D000000}"/>
    <cellStyle name="Comma 2 2 2" xfId="65" xr:uid="{00000000-0005-0000-0000-00003E000000}"/>
    <cellStyle name="Comma 2 3" xfId="66" xr:uid="{00000000-0005-0000-0000-00003F000000}"/>
    <cellStyle name="Comma 2 3 2" xfId="67" xr:uid="{00000000-0005-0000-0000-000040000000}"/>
    <cellStyle name="Comma 2 4" xfId="68" xr:uid="{00000000-0005-0000-0000-000041000000}"/>
    <cellStyle name="Comma 2 5" xfId="139" xr:uid="{80909278-A9CF-41EB-B479-30C43648C12F}"/>
    <cellStyle name="Currency 2" xfId="69" xr:uid="{00000000-0005-0000-0000-000042000000}"/>
    <cellStyle name="Currency 2 2" xfId="70" xr:uid="{00000000-0005-0000-0000-000043000000}"/>
    <cellStyle name="Currency 3" xfId="71" xr:uid="{00000000-0005-0000-0000-000044000000}"/>
    <cellStyle name="Currency 3 2" xfId="72" xr:uid="{00000000-0005-0000-0000-000045000000}"/>
    <cellStyle name="Currency 3 2 2" xfId="73" xr:uid="{00000000-0005-0000-0000-000046000000}"/>
    <cellStyle name="Currency 3 2 2 2" xfId="74" xr:uid="{00000000-0005-0000-0000-000047000000}"/>
    <cellStyle name="Currency 3 2 3" xfId="75" xr:uid="{00000000-0005-0000-0000-000048000000}"/>
    <cellStyle name="Currency 3 2 3 2" xfId="76" xr:uid="{00000000-0005-0000-0000-000049000000}"/>
    <cellStyle name="Currency 3 2 4" xfId="77" xr:uid="{00000000-0005-0000-0000-00004A000000}"/>
    <cellStyle name="Currency 3 3" xfId="78" xr:uid="{00000000-0005-0000-0000-00004B000000}"/>
    <cellStyle name="Currency 3 3 2" xfId="79" xr:uid="{00000000-0005-0000-0000-00004C000000}"/>
    <cellStyle name="Currency 3 4" xfId="80" xr:uid="{00000000-0005-0000-0000-00004D000000}"/>
    <cellStyle name="Currency 3 4 2" xfId="81" xr:uid="{00000000-0005-0000-0000-00004E000000}"/>
    <cellStyle name="Currency 3 5" xfId="82" xr:uid="{00000000-0005-0000-0000-00004F000000}"/>
    <cellStyle name="Currency 4" xfId="83" xr:uid="{00000000-0005-0000-0000-000050000000}"/>
    <cellStyle name="Currency 5" xfId="84" xr:uid="{00000000-0005-0000-0000-000051000000}"/>
    <cellStyle name="Currency 5 2" xfId="85" xr:uid="{00000000-0005-0000-0000-000052000000}"/>
    <cellStyle name="Currency 5 2 2" xfId="86" xr:uid="{00000000-0005-0000-0000-000053000000}"/>
    <cellStyle name="Currency 5 3" xfId="87" xr:uid="{00000000-0005-0000-0000-000054000000}"/>
    <cellStyle name="Currency 5 3 2" xfId="88" xr:uid="{00000000-0005-0000-0000-000055000000}"/>
    <cellStyle name="Currency 5 4" xfId="89" xr:uid="{00000000-0005-0000-0000-000056000000}"/>
    <cellStyle name="Currency 6" xfId="90" xr:uid="{00000000-0005-0000-0000-000057000000}"/>
    <cellStyle name="Currency 6 2" xfId="91" xr:uid="{00000000-0005-0000-0000-000058000000}"/>
    <cellStyle name="Currency 7" xfId="92" xr:uid="{00000000-0005-0000-0000-000059000000}"/>
    <cellStyle name="Currency 7 2" xfId="93" xr:uid="{00000000-0005-0000-0000-00005A000000}"/>
    <cellStyle name="Hyperlink" xfId="141" builtinId="8"/>
    <cellStyle name="Normal" xfId="0" builtinId="0"/>
    <cellStyle name="Normal 10" xfId="137" xr:uid="{ACD3F3D0-BD30-47AF-845C-CE9A5778A67D}"/>
    <cellStyle name="Normal 2" xfId="1" xr:uid="{00000000-0005-0000-0000-00005C000000}"/>
    <cellStyle name="Normal 2 2" xfId="94" xr:uid="{00000000-0005-0000-0000-00005D000000}"/>
    <cellStyle name="Normal 2 2 2" xfId="140" xr:uid="{44995EEC-DCD4-4A81-A110-8E0824EF1492}"/>
    <cellStyle name="Normal 2 3" xfId="95" xr:uid="{00000000-0005-0000-0000-00005E000000}"/>
    <cellStyle name="Normal 2 4" xfId="138" xr:uid="{F350F8C3-879F-4097-BDA0-4D5821AAB267}"/>
    <cellStyle name="Normal 3" xfId="2" xr:uid="{00000000-0005-0000-0000-00005F000000}"/>
    <cellStyle name="Normal 3 2" xfId="96" xr:uid="{00000000-0005-0000-0000-000060000000}"/>
    <cellStyle name="Normal 3 2 2" xfId="97" xr:uid="{00000000-0005-0000-0000-000061000000}"/>
    <cellStyle name="Normal 3 2 2 2" xfId="98" xr:uid="{00000000-0005-0000-0000-000062000000}"/>
    <cellStyle name="Normal 3 2 3" xfId="99" xr:uid="{00000000-0005-0000-0000-000063000000}"/>
    <cellStyle name="Normal 3 2 3 2" xfId="100" xr:uid="{00000000-0005-0000-0000-000064000000}"/>
    <cellStyle name="Normal 3 2 4" xfId="101" xr:uid="{00000000-0005-0000-0000-000065000000}"/>
    <cellStyle name="Normal 3 3" xfId="102" xr:uid="{00000000-0005-0000-0000-000066000000}"/>
    <cellStyle name="Normal 3 3 2" xfId="103" xr:uid="{00000000-0005-0000-0000-000067000000}"/>
    <cellStyle name="Normal 3 4" xfId="104" xr:uid="{00000000-0005-0000-0000-000068000000}"/>
    <cellStyle name="Normal 3 4 2" xfId="105" xr:uid="{00000000-0005-0000-0000-000069000000}"/>
    <cellStyle name="Normal 3 5" xfId="106" xr:uid="{00000000-0005-0000-0000-00006A000000}"/>
    <cellStyle name="Normal 4" xfId="107" xr:uid="{00000000-0005-0000-0000-00006B000000}"/>
    <cellStyle name="Normal 4 2" xfId="108" xr:uid="{00000000-0005-0000-0000-00006C000000}"/>
    <cellStyle name="Normal 5" xfId="109" xr:uid="{00000000-0005-0000-0000-00006D000000}"/>
    <cellStyle name="Normal 6" xfId="110" xr:uid="{00000000-0005-0000-0000-00006E000000}"/>
    <cellStyle name="Normal 6 2" xfId="111" xr:uid="{00000000-0005-0000-0000-00006F000000}"/>
    <cellStyle name="Normal 6 2 2" xfId="112" xr:uid="{00000000-0005-0000-0000-000070000000}"/>
    <cellStyle name="Normal 6 2 2 2" xfId="113" xr:uid="{00000000-0005-0000-0000-000071000000}"/>
    <cellStyle name="Normal 6 2 3" xfId="114" xr:uid="{00000000-0005-0000-0000-000072000000}"/>
    <cellStyle name="Normal 6 2 3 2" xfId="115" xr:uid="{00000000-0005-0000-0000-000073000000}"/>
    <cellStyle name="Normal 6 2 4" xfId="116" xr:uid="{00000000-0005-0000-0000-000074000000}"/>
    <cellStyle name="Normal 7" xfId="117" xr:uid="{00000000-0005-0000-0000-000075000000}"/>
    <cellStyle name="Normal 7 2" xfId="118" xr:uid="{00000000-0005-0000-0000-000076000000}"/>
    <cellStyle name="Normal 7 2 2" xfId="119" xr:uid="{00000000-0005-0000-0000-000077000000}"/>
    <cellStyle name="Normal 7 3" xfId="120" xr:uid="{00000000-0005-0000-0000-000078000000}"/>
    <cellStyle name="Normal 7 3 2" xfId="121" xr:uid="{00000000-0005-0000-0000-000079000000}"/>
    <cellStyle name="Normal 7 4" xfId="122" xr:uid="{00000000-0005-0000-0000-00007A000000}"/>
    <cellStyle name="Normal 8" xfId="123" xr:uid="{00000000-0005-0000-0000-00007B000000}"/>
    <cellStyle name="Normal 8 2" xfId="124" xr:uid="{00000000-0005-0000-0000-00007C000000}"/>
    <cellStyle name="Normal 9" xfId="125" xr:uid="{00000000-0005-0000-0000-00007D000000}"/>
    <cellStyle name="Normal 9 2" xfId="126" xr:uid="{00000000-0005-0000-0000-00007E000000}"/>
    <cellStyle name="Note 2" xfId="127" xr:uid="{00000000-0005-0000-0000-00007F000000}"/>
    <cellStyle name="Note 2 2" xfId="128" xr:uid="{00000000-0005-0000-0000-000080000000}"/>
    <cellStyle name="Note 2 2 2" xfId="129" xr:uid="{00000000-0005-0000-0000-000081000000}"/>
    <cellStyle name="Note 2 3" xfId="130" xr:uid="{00000000-0005-0000-0000-000082000000}"/>
    <cellStyle name="Note 2 3 2" xfId="131" xr:uid="{00000000-0005-0000-0000-000083000000}"/>
    <cellStyle name="Note 2 4" xfId="132" xr:uid="{00000000-0005-0000-0000-000084000000}"/>
    <cellStyle name="Note 3" xfId="133" xr:uid="{00000000-0005-0000-0000-000085000000}"/>
    <cellStyle name="Note 3 2" xfId="134" xr:uid="{00000000-0005-0000-0000-000086000000}"/>
    <cellStyle name="Note 4" xfId="135" xr:uid="{00000000-0005-0000-0000-000087000000}"/>
    <cellStyle name="Note 4 2" xfId="136" xr:uid="{00000000-0005-0000-0000-000088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Jason Leppo" id="{B6A3E0F3-4C21-47D7-ACD1-75DB98158DF4}" userId="S::jleppo@pansophiclearning.com::2a5e7f2c-e079-43c5-844f-8caa0e24eb4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O8" dT="2021-07-02T14:12:48.74" personId="{B6A3E0F3-4C21-47D7-ACD1-75DB98158DF4}" id="{A1B3F366-AA7D-42F9-BF19-F23D4184BF4E}">
    <text>Reference note *1</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mailto:jhawk@accelschools.com" TargetMode="External"/><Relationship Id="rId3" Type="http://schemas.openxmlformats.org/officeDocument/2006/relationships/hyperlink" Target="mailto:ppenn@uniclevelandprep.org" TargetMode="External"/><Relationship Id="rId7" Type="http://schemas.openxmlformats.org/officeDocument/2006/relationships/hyperlink" Target="mailto:kgerhart@ncoesc.org" TargetMode="External"/><Relationship Id="rId2" Type="http://schemas.openxmlformats.org/officeDocument/2006/relationships/hyperlink" Target="mailto:pcowan@accelschools.com" TargetMode="External"/><Relationship Id="rId1" Type="http://schemas.openxmlformats.org/officeDocument/2006/relationships/hyperlink" Target="mailto:smolnar@blracademy.org" TargetMode="External"/><Relationship Id="rId6" Type="http://schemas.openxmlformats.org/officeDocument/2006/relationships/hyperlink" Target="mailto:kgerhart@ncoesc.org" TargetMode="External"/><Relationship Id="rId11" Type="http://schemas.openxmlformats.org/officeDocument/2006/relationships/printerSettings" Target="../printerSettings/printerSettings1.bin"/><Relationship Id="rId5" Type="http://schemas.openxmlformats.org/officeDocument/2006/relationships/hyperlink" Target="mailto:afranko@d49.org" TargetMode="External"/><Relationship Id="rId10" Type="http://schemas.openxmlformats.org/officeDocument/2006/relationships/hyperlink" Target="mailto:mromaine@vprepmonterey.org" TargetMode="External"/><Relationship Id="rId4" Type="http://schemas.openxmlformats.org/officeDocument/2006/relationships/hyperlink" Target="mailto:pfarris@accelschools.com" TargetMode="External"/><Relationship Id="rId9" Type="http://schemas.openxmlformats.org/officeDocument/2006/relationships/hyperlink" Target="mailto:mromaine@vpreplucerne.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3"/>
  <sheetViews>
    <sheetView zoomScale="86" zoomScaleNormal="86" workbookViewId="0">
      <selection activeCell="A2" sqref="A2"/>
    </sheetView>
  </sheetViews>
  <sheetFormatPr defaultRowHeight="14.45"/>
  <cols>
    <col min="1" max="1" width="48.85546875" bestFit="1" customWidth="1"/>
    <col min="2" max="2" width="36.42578125" customWidth="1"/>
    <col min="3" max="3" width="11" bestFit="1" customWidth="1"/>
    <col min="4" max="4" width="11.5703125" customWidth="1"/>
    <col min="5" max="5" width="18" customWidth="1"/>
    <col min="6" max="6" width="9.42578125" customWidth="1"/>
    <col min="7" max="8" width="27.42578125" customWidth="1"/>
    <col min="9" max="9" width="36.7109375" customWidth="1"/>
    <col min="10" max="10" width="18.28515625" customWidth="1"/>
    <col min="11" max="11" width="36.7109375" customWidth="1"/>
    <col min="12" max="12" width="27.42578125" customWidth="1"/>
    <col min="13" max="13" width="27.7109375" customWidth="1"/>
    <col min="14" max="14" width="36.5703125" customWidth="1"/>
    <col min="15" max="15" width="18.28515625" customWidth="1"/>
    <col min="16" max="16" width="3.140625" customWidth="1"/>
    <col min="17" max="17" width="19" customWidth="1"/>
    <col min="248" max="248" width="36.42578125" customWidth="1"/>
    <col min="249" max="250" width="8" customWidth="1"/>
    <col min="251" max="251" width="18" customWidth="1"/>
    <col min="252" max="252" width="6.5703125" customWidth="1"/>
    <col min="253" max="254" width="10.42578125" customWidth="1"/>
    <col min="255" max="255" width="10.7109375" customWidth="1"/>
    <col min="256" max="262" width="7.42578125" customWidth="1"/>
    <col min="263" max="264" width="27.42578125" customWidth="1"/>
    <col min="265" max="265" width="36.7109375" customWidth="1"/>
    <col min="266" max="266" width="18.28515625" customWidth="1"/>
    <col min="267" max="267" width="36.7109375" customWidth="1"/>
    <col min="268" max="268" width="27.42578125" customWidth="1"/>
    <col min="269" max="269" width="27.7109375" customWidth="1"/>
    <col min="270" max="270" width="36.5703125" customWidth="1"/>
    <col min="271" max="271" width="18.28515625" customWidth="1"/>
    <col min="504" max="504" width="36.42578125" customWidth="1"/>
    <col min="505" max="506" width="8" customWidth="1"/>
    <col min="507" max="507" width="18" customWidth="1"/>
    <col min="508" max="508" width="6.5703125" customWidth="1"/>
    <col min="509" max="510" width="10.42578125" customWidth="1"/>
    <col min="511" max="511" width="10.7109375" customWidth="1"/>
    <col min="512" max="518" width="7.42578125" customWidth="1"/>
    <col min="519" max="520" width="27.42578125" customWidth="1"/>
    <col min="521" max="521" width="36.7109375" customWidth="1"/>
    <col min="522" max="522" width="18.28515625" customWidth="1"/>
    <col min="523" max="523" width="36.7109375" customWidth="1"/>
    <col min="524" max="524" width="27.42578125" customWidth="1"/>
    <col min="525" max="525" width="27.7109375" customWidth="1"/>
    <col min="526" max="526" width="36.5703125" customWidth="1"/>
    <col min="527" max="527" width="18.28515625" customWidth="1"/>
    <col min="760" max="760" width="36.42578125" customWidth="1"/>
    <col min="761" max="762" width="8" customWidth="1"/>
    <col min="763" max="763" width="18" customWidth="1"/>
    <col min="764" max="764" width="6.5703125" customWidth="1"/>
    <col min="765" max="766" width="10.42578125" customWidth="1"/>
    <col min="767" max="767" width="10.7109375" customWidth="1"/>
    <col min="768" max="774" width="7.42578125" customWidth="1"/>
    <col min="775" max="776" width="27.42578125" customWidth="1"/>
    <col min="777" max="777" width="36.7109375" customWidth="1"/>
    <col min="778" max="778" width="18.28515625" customWidth="1"/>
    <col min="779" max="779" width="36.7109375" customWidth="1"/>
    <col min="780" max="780" width="27.42578125" customWidth="1"/>
    <col min="781" max="781" width="27.7109375" customWidth="1"/>
    <col min="782" max="782" width="36.5703125" customWidth="1"/>
    <col min="783" max="783" width="18.28515625" customWidth="1"/>
    <col min="1016" max="1016" width="36.42578125" customWidth="1"/>
    <col min="1017" max="1018" width="8" customWidth="1"/>
    <col min="1019" max="1019" width="18" customWidth="1"/>
    <col min="1020" max="1020" width="6.5703125" customWidth="1"/>
    <col min="1021" max="1022" width="10.42578125" customWidth="1"/>
    <col min="1023" max="1023" width="10.7109375" customWidth="1"/>
    <col min="1024" max="1030" width="7.42578125" customWidth="1"/>
    <col min="1031" max="1032" width="27.42578125" customWidth="1"/>
    <col min="1033" max="1033" width="36.7109375" customWidth="1"/>
    <col min="1034" max="1034" width="18.28515625" customWidth="1"/>
    <col min="1035" max="1035" width="36.7109375" customWidth="1"/>
    <col min="1036" max="1036" width="27.42578125" customWidth="1"/>
    <col min="1037" max="1037" width="27.7109375" customWidth="1"/>
    <col min="1038" max="1038" width="36.5703125" customWidth="1"/>
    <col min="1039" max="1039" width="18.28515625" customWidth="1"/>
    <col min="1272" max="1272" width="36.42578125" customWidth="1"/>
    <col min="1273" max="1274" width="8" customWidth="1"/>
    <col min="1275" max="1275" width="18" customWidth="1"/>
    <col min="1276" max="1276" width="6.5703125" customWidth="1"/>
    <col min="1277" max="1278" width="10.42578125" customWidth="1"/>
    <col min="1279" max="1279" width="10.7109375" customWidth="1"/>
    <col min="1280" max="1286" width="7.42578125" customWidth="1"/>
    <col min="1287" max="1288" width="27.42578125" customWidth="1"/>
    <col min="1289" max="1289" width="36.7109375" customWidth="1"/>
    <col min="1290" max="1290" width="18.28515625" customWidth="1"/>
    <col min="1291" max="1291" width="36.7109375" customWidth="1"/>
    <col min="1292" max="1292" width="27.42578125" customWidth="1"/>
    <col min="1293" max="1293" width="27.7109375" customWidth="1"/>
    <col min="1294" max="1294" width="36.5703125" customWidth="1"/>
    <col min="1295" max="1295" width="18.28515625" customWidth="1"/>
    <col min="1528" max="1528" width="36.42578125" customWidth="1"/>
    <col min="1529" max="1530" width="8" customWidth="1"/>
    <col min="1531" max="1531" width="18" customWidth="1"/>
    <col min="1532" max="1532" width="6.5703125" customWidth="1"/>
    <col min="1533" max="1534" width="10.42578125" customWidth="1"/>
    <col min="1535" max="1535" width="10.7109375" customWidth="1"/>
    <col min="1536" max="1542" width="7.42578125" customWidth="1"/>
    <col min="1543" max="1544" width="27.42578125" customWidth="1"/>
    <col min="1545" max="1545" width="36.7109375" customWidth="1"/>
    <col min="1546" max="1546" width="18.28515625" customWidth="1"/>
    <col min="1547" max="1547" width="36.7109375" customWidth="1"/>
    <col min="1548" max="1548" width="27.42578125" customWidth="1"/>
    <col min="1549" max="1549" width="27.7109375" customWidth="1"/>
    <col min="1550" max="1550" width="36.5703125" customWidth="1"/>
    <col min="1551" max="1551" width="18.28515625" customWidth="1"/>
    <col min="1784" max="1784" width="36.42578125" customWidth="1"/>
    <col min="1785" max="1786" width="8" customWidth="1"/>
    <col min="1787" max="1787" width="18" customWidth="1"/>
    <col min="1788" max="1788" width="6.5703125" customWidth="1"/>
    <col min="1789" max="1790" width="10.42578125" customWidth="1"/>
    <col min="1791" max="1791" width="10.7109375" customWidth="1"/>
    <col min="1792" max="1798" width="7.42578125" customWidth="1"/>
    <col min="1799" max="1800" width="27.42578125" customWidth="1"/>
    <col min="1801" max="1801" width="36.7109375" customWidth="1"/>
    <col min="1802" max="1802" width="18.28515625" customWidth="1"/>
    <col min="1803" max="1803" width="36.7109375" customWidth="1"/>
    <col min="1804" max="1804" width="27.42578125" customWidth="1"/>
    <col min="1805" max="1805" width="27.7109375" customWidth="1"/>
    <col min="1806" max="1806" width="36.5703125" customWidth="1"/>
    <col min="1807" max="1807" width="18.28515625" customWidth="1"/>
    <col min="2040" max="2040" width="36.42578125" customWidth="1"/>
    <col min="2041" max="2042" width="8" customWidth="1"/>
    <col min="2043" max="2043" width="18" customWidth="1"/>
    <col min="2044" max="2044" width="6.5703125" customWidth="1"/>
    <col min="2045" max="2046" width="10.42578125" customWidth="1"/>
    <col min="2047" max="2047" width="10.7109375" customWidth="1"/>
    <col min="2048" max="2054" width="7.42578125" customWidth="1"/>
    <col min="2055" max="2056" width="27.42578125" customWidth="1"/>
    <col min="2057" max="2057" width="36.7109375" customWidth="1"/>
    <col min="2058" max="2058" width="18.28515625" customWidth="1"/>
    <col min="2059" max="2059" width="36.7109375" customWidth="1"/>
    <col min="2060" max="2060" width="27.42578125" customWidth="1"/>
    <col min="2061" max="2061" width="27.7109375" customWidth="1"/>
    <col min="2062" max="2062" width="36.5703125" customWidth="1"/>
    <col min="2063" max="2063" width="18.28515625" customWidth="1"/>
    <col min="2296" max="2296" width="36.42578125" customWidth="1"/>
    <col min="2297" max="2298" width="8" customWidth="1"/>
    <col min="2299" max="2299" width="18" customWidth="1"/>
    <col min="2300" max="2300" width="6.5703125" customWidth="1"/>
    <col min="2301" max="2302" width="10.42578125" customWidth="1"/>
    <col min="2303" max="2303" width="10.7109375" customWidth="1"/>
    <col min="2304" max="2310" width="7.42578125" customWidth="1"/>
    <col min="2311" max="2312" width="27.42578125" customWidth="1"/>
    <col min="2313" max="2313" width="36.7109375" customWidth="1"/>
    <col min="2314" max="2314" width="18.28515625" customWidth="1"/>
    <col min="2315" max="2315" width="36.7109375" customWidth="1"/>
    <col min="2316" max="2316" width="27.42578125" customWidth="1"/>
    <col min="2317" max="2317" width="27.7109375" customWidth="1"/>
    <col min="2318" max="2318" width="36.5703125" customWidth="1"/>
    <col min="2319" max="2319" width="18.28515625" customWidth="1"/>
    <col min="2552" max="2552" width="36.42578125" customWidth="1"/>
    <col min="2553" max="2554" width="8" customWidth="1"/>
    <col min="2555" max="2555" width="18" customWidth="1"/>
    <col min="2556" max="2556" width="6.5703125" customWidth="1"/>
    <col min="2557" max="2558" width="10.42578125" customWidth="1"/>
    <col min="2559" max="2559" width="10.7109375" customWidth="1"/>
    <col min="2560" max="2566" width="7.42578125" customWidth="1"/>
    <col min="2567" max="2568" width="27.42578125" customWidth="1"/>
    <col min="2569" max="2569" width="36.7109375" customWidth="1"/>
    <col min="2570" max="2570" width="18.28515625" customWidth="1"/>
    <col min="2571" max="2571" width="36.7109375" customWidth="1"/>
    <col min="2572" max="2572" width="27.42578125" customWidth="1"/>
    <col min="2573" max="2573" width="27.7109375" customWidth="1"/>
    <col min="2574" max="2574" width="36.5703125" customWidth="1"/>
    <col min="2575" max="2575" width="18.28515625" customWidth="1"/>
    <col min="2808" max="2808" width="36.42578125" customWidth="1"/>
    <col min="2809" max="2810" width="8" customWidth="1"/>
    <col min="2811" max="2811" width="18" customWidth="1"/>
    <col min="2812" max="2812" width="6.5703125" customWidth="1"/>
    <col min="2813" max="2814" width="10.42578125" customWidth="1"/>
    <col min="2815" max="2815" width="10.7109375" customWidth="1"/>
    <col min="2816" max="2822" width="7.42578125" customWidth="1"/>
    <col min="2823" max="2824" width="27.42578125" customWidth="1"/>
    <col min="2825" max="2825" width="36.7109375" customWidth="1"/>
    <col min="2826" max="2826" width="18.28515625" customWidth="1"/>
    <col min="2827" max="2827" width="36.7109375" customWidth="1"/>
    <col min="2828" max="2828" width="27.42578125" customWidth="1"/>
    <col min="2829" max="2829" width="27.7109375" customWidth="1"/>
    <col min="2830" max="2830" width="36.5703125" customWidth="1"/>
    <col min="2831" max="2831" width="18.28515625" customWidth="1"/>
    <col min="3064" max="3064" width="36.42578125" customWidth="1"/>
    <col min="3065" max="3066" width="8" customWidth="1"/>
    <col min="3067" max="3067" width="18" customWidth="1"/>
    <col min="3068" max="3068" width="6.5703125" customWidth="1"/>
    <col min="3069" max="3070" width="10.42578125" customWidth="1"/>
    <col min="3071" max="3071" width="10.7109375" customWidth="1"/>
    <col min="3072" max="3078" width="7.42578125" customWidth="1"/>
    <col min="3079" max="3080" width="27.42578125" customWidth="1"/>
    <col min="3081" max="3081" width="36.7109375" customWidth="1"/>
    <col min="3082" max="3082" width="18.28515625" customWidth="1"/>
    <col min="3083" max="3083" width="36.7109375" customWidth="1"/>
    <col min="3084" max="3084" width="27.42578125" customWidth="1"/>
    <col min="3085" max="3085" width="27.7109375" customWidth="1"/>
    <col min="3086" max="3086" width="36.5703125" customWidth="1"/>
    <col min="3087" max="3087" width="18.28515625" customWidth="1"/>
    <col min="3320" max="3320" width="36.42578125" customWidth="1"/>
    <col min="3321" max="3322" width="8" customWidth="1"/>
    <col min="3323" max="3323" width="18" customWidth="1"/>
    <col min="3324" max="3324" width="6.5703125" customWidth="1"/>
    <col min="3325" max="3326" width="10.42578125" customWidth="1"/>
    <col min="3327" max="3327" width="10.7109375" customWidth="1"/>
    <col min="3328" max="3334" width="7.42578125" customWidth="1"/>
    <col min="3335" max="3336" width="27.42578125" customWidth="1"/>
    <col min="3337" max="3337" width="36.7109375" customWidth="1"/>
    <col min="3338" max="3338" width="18.28515625" customWidth="1"/>
    <col min="3339" max="3339" width="36.7109375" customWidth="1"/>
    <col min="3340" max="3340" width="27.42578125" customWidth="1"/>
    <col min="3341" max="3341" width="27.7109375" customWidth="1"/>
    <col min="3342" max="3342" width="36.5703125" customWidth="1"/>
    <col min="3343" max="3343" width="18.28515625" customWidth="1"/>
    <col min="3576" max="3576" width="36.42578125" customWidth="1"/>
    <col min="3577" max="3578" width="8" customWidth="1"/>
    <col min="3579" max="3579" width="18" customWidth="1"/>
    <col min="3580" max="3580" width="6.5703125" customWidth="1"/>
    <col min="3581" max="3582" width="10.42578125" customWidth="1"/>
    <col min="3583" max="3583" width="10.7109375" customWidth="1"/>
    <col min="3584" max="3590" width="7.42578125" customWidth="1"/>
    <col min="3591" max="3592" width="27.42578125" customWidth="1"/>
    <col min="3593" max="3593" width="36.7109375" customWidth="1"/>
    <col min="3594" max="3594" width="18.28515625" customWidth="1"/>
    <col min="3595" max="3595" width="36.7109375" customWidth="1"/>
    <col min="3596" max="3596" width="27.42578125" customWidth="1"/>
    <col min="3597" max="3597" width="27.7109375" customWidth="1"/>
    <col min="3598" max="3598" width="36.5703125" customWidth="1"/>
    <col min="3599" max="3599" width="18.28515625" customWidth="1"/>
    <col min="3832" max="3832" width="36.42578125" customWidth="1"/>
    <col min="3833" max="3834" width="8" customWidth="1"/>
    <col min="3835" max="3835" width="18" customWidth="1"/>
    <col min="3836" max="3836" width="6.5703125" customWidth="1"/>
    <col min="3837" max="3838" width="10.42578125" customWidth="1"/>
    <col min="3839" max="3839" width="10.7109375" customWidth="1"/>
    <col min="3840" max="3846" width="7.42578125" customWidth="1"/>
    <col min="3847" max="3848" width="27.42578125" customWidth="1"/>
    <col min="3849" max="3849" width="36.7109375" customWidth="1"/>
    <col min="3850" max="3850" width="18.28515625" customWidth="1"/>
    <col min="3851" max="3851" width="36.7109375" customWidth="1"/>
    <col min="3852" max="3852" width="27.42578125" customWidth="1"/>
    <col min="3853" max="3853" width="27.7109375" customWidth="1"/>
    <col min="3854" max="3854" width="36.5703125" customWidth="1"/>
    <col min="3855" max="3855" width="18.28515625" customWidth="1"/>
    <col min="4088" max="4088" width="36.42578125" customWidth="1"/>
    <col min="4089" max="4090" width="8" customWidth="1"/>
    <col min="4091" max="4091" width="18" customWidth="1"/>
    <col min="4092" max="4092" width="6.5703125" customWidth="1"/>
    <col min="4093" max="4094" width="10.42578125" customWidth="1"/>
    <col min="4095" max="4095" width="10.7109375" customWidth="1"/>
    <col min="4096" max="4102" width="7.42578125" customWidth="1"/>
    <col min="4103" max="4104" width="27.42578125" customWidth="1"/>
    <col min="4105" max="4105" width="36.7109375" customWidth="1"/>
    <col min="4106" max="4106" width="18.28515625" customWidth="1"/>
    <col min="4107" max="4107" width="36.7109375" customWidth="1"/>
    <col min="4108" max="4108" width="27.42578125" customWidth="1"/>
    <col min="4109" max="4109" width="27.7109375" customWidth="1"/>
    <col min="4110" max="4110" width="36.5703125" customWidth="1"/>
    <col min="4111" max="4111" width="18.28515625" customWidth="1"/>
    <col min="4344" max="4344" width="36.42578125" customWidth="1"/>
    <col min="4345" max="4346" width="8" customWidth="1"/>
    <col min="4347" max="4347" width="18" customWidth="1"/>
    <col min="4348" max="4348" width="6.5703125" customWidth="1"/>
    <col min="4349" max="4350" width="10.42578125" customWidth="1"/>
    <col min="4351" max="4351" width="10.7109375" customWidth="1"/>
    <col min="4352" max="4358" width="7.42578125" customWidth="1"/>
    <col min="4359" max="4360" width="27.42578125" customWidth="1"/>
    <col min="4361" max="4361" width="36.7109375" customWidth="1"/>
    <col min="4362" max="4362" width="18.28515625" customWidth="1"/>
    <col min="4363" max="4363" width="36.7109375" customWidth="1"/>
    <col min="4364" max="4364" width="27.42578125" customWidth="1"/>
    <col min="4365" max="4365" width="27.7109375" customWidth="1"/>
    <col min="4366" max="4366" width="36.5703125" customWidth="1"/>
    <col min="4367" max="4367" width="18.28515625" customWidth="1"/>
    <col min="4600" max="4600" width="36.42578125" customWidth="1"/>
    <col min="4601" max="4602" width="8" customWidth="1"/>
    <col min="4603" max="4603" width="18" customWidth="1"/>
    <col min="4604" max="4604" width="6.5703125" customWidth="1"/>
    <col min="4605" max="4606" width="10.42578125" customWidth="1"/>
    <col min="4607" max="4607" width="10.7109375" customWidth="1"/>
    <col min="4608" max="4614" width="7.42578125" customWidth="1"/>
    <col min="4615" max="4616" width="27.42578125" customWidth="1"/>
    <col min="4617" max="4617" width="36.7109375" customWidth="1"/>
    <col min="4618" max="4618" width="18.28515625" customWidth="1"/>
    <col min="4619" max="4619" width="36.7109375" customWidth="1"/>
    <col min="4620" max="4620" width="27.42578125" customWidth="1"/>
    <col min="4621" max="4621" width="27.7109375" customWidth="1"/>
    <col min="4622" max="4622" width="36.5703125" customWidth="1"/>
    <col min="4623" max="4623" width="18.28515625" customWidth="1"/>
    <col min="4856" max="4856" width="36.42578125" customWidth="1"/>
    <col min="4857" max="4858" width="8" customWidth="1"/>
    <col min="4859" max="4859" width="18" customWidth="1"/>
    <col min="4860" max="4860" width="6.5703125" customWidth="1"/>
    <col min="4861" max="4862" width="10.42578125" customWidth="1"/>
    <col min="4863" max="4863" width="10.7109375" customWidth="1"/>
    <col min="4864" max="4870" width="7.42578125" customWidth="1"/>
    <col min="4871" max="4872" width="27.42578125" customWidth="1"/>
    <col min="4873" max="4873" width="36.7109375" customWidth="1"/>
    <col min="4874" max="4874" width="18.28515625" customWidth="1"/>
    <col min="4875" max="4875" width="36.7109375" customWidth="1"/>
    <col min="4876" max="4876" width="27.42578125" customWidth="1"/>
    <col min="4877" max="4877" width="27.7109375" customWidth="1"/>
    <col min="4878" max="4878" width="36.5703125" customWidth="1"/>
    <col min="4879" max="4879" width="18.28515625" customWidth="1"/>
    <col min="5112" max="5112" width="36.42578125" customWidth="1"/>
    <col min="5113" max="5114" width="8" customWidth="1"/>
    <col min="5115" max="5115" width="18" customWidth="1"/>
    <col min="5116" max="5116" width="6.5703125" customWidth="1"/>
    <col min="5117" max="5118" width="10.42578125" customWidth="1"/>
    <col min="5119" max="5119" width="10.7109375" customWidth="1"/>
    <col min="5120" max="5126" width="7.42578125" customWidth="1"/>
    <col min="5127" max="5128" width="27.42578125" customWidth="1"/>
    <col min="5129" max="5129" width="36.7109375" customWidth="1"/>
    <col min="5130" max="5130" width="18.28515625" customWidth="1"/>
    <col min="5131" max="5131" width="36.7109375" customWidth="1"/>
    <col min="5132" max="5132" width="27.42578125" customWidth="1"/>
    <col min="5133" max="5133" width="27.7109375" customWidth="1"/>
    <col min="5134" max="5134" width="36.5703125" customWidth="1"/>
    <col min="5135" max="5135" width="18.28515625" customWidth="1"/>
    <col min="5368" max="5368" width="36.42578125" customWidth="1"/>
    <col min="5369" max="5370" width="8" customWidth="1"/>
    <col min="5371" max="5371" width="18" customWidth="1"/>
    <col min="5372" max="5372" width="6.5703125" customWidth="1"/>
    <col min="5373" max="5374" width="10.42578125" customWidth="1"/>
    <col min="5375" max="5375" width="10.7109375" customWidth="1"/>
    <col min="5376" max="5382" width="7.42578125" customWidth="1"/>
    <col min="5383" max="5384" width="27.42578125" customWidth="1"/>
    <col min="5385" max="5385" width="36.7109375" customWidth="1"/>
    <col min="5386" max="5386" width="18.28515625" customWidth="1"/>
    <col min="5387" max="5387" width="36.7109375" customWidth="1"/>
    <col min="5388" max="5388" width="27.42578125" customWidth="1"/>
    <col min="5389" max="5389" width="27.7109375" customWidth="1"/>
    <col min="5390" max="5390" width="36.5703125" customWidth="1"/>
    <col min="5391" max="5391" width="18.28515625" customWidth="1"/>
    <col min="5624" max="5624" width="36.42578125" customWidth="1"/>
    <col min="5625" max="5626" width="8" customWidth="1"/>
    <col min="5627" max="5627" width="18" customWidth="1"/>
    <col min="5628" max="5628" width="6.5703125" customWidth="1"/>
    <col min="5629" max="5630" width="10.42578125" customWidth="1"/>
    <col min="5631" max="5631" width="10.7109375" customWidth="1"/>
    <col min="5632" max="5638" width="7.42578125" customWidth="1"/>
    <col min="5639" max="5640" width="27.42578125" customWidth="1"/>
    <col min="5641" max="5641" width="36.7109375" customWidth="1"/>
    <col min="5642" max="5642" width="18.28515625" customWidth="1"/>
    <col min="5643" max="5643" width="36.7109375" customWidth="1"/>
    <col min="5644" max="5644" width="27.42578125" customWidth="1"/>
    <col min="5645" max="5645" width="27.7109375" customWidth="1"/>
    <col min="5646" max="5646" width="36.5703125" customWidth="1"/>
    <col min="5647" max="5647" width="18.28515625" customWidth="1"/>
    <col min="5880" max="5880" width="36.42578125" customWidth="1"/>
    <col min="5881" max="5882" width="8" customWidth="1"/>
    <col min="5883" max="5883" width="18" customWidth="1"/>
    <col min="5884" max="5884" width="6.5703125" customWidth="1"/>
    <col min="5885" max="5886" width="10.42578125" customWidth="1"/>
    <col min="5887" max="5887" width="10.7109375" customWidth="1"/>
    <col min="5888" max="5894" width="7.42578125" customWidth="1"/>
    <col min="5895" max="5896" width="27.42578125" customWidth="1"/>
    <col min="5897" max="5897" width="36.7109375" customWidth="1"/>
    <col min="5898" max="5898" width="18.28515625" customWidth="1"/>
    <col min="5899" max="5899" width="36.7109375" customWidth="1"/>
    <col min="5900" max="5900" width="27.42578125" customWidth="1"/>
    <col min="5901" max="5901" width="27.7109375" customWidth="1"/>
    <col min="5902" max="5902" width="36.5703125" customWidth="1"/>
    <col min="5903" max="5903" width="18.28515625" customWidth="1"/>
    <col min="6136" max="6136" width="36.42578125" customWidth="1"/>
    <col min="6137" max="6138" width="8" customWidth="1"/>
    <col min="6139" max="6139" width="18" customWidth="1"/>
    <col min="6140" max="6140" width="6.5703125" customWidth="1"/>
    <col min="6141" max="6142" width="10.42578125" customWidth="1"/>
    <col min="6143" max="6143" width="10.7109375" customWidth="1"/>
    <col min="6144" max="6150" width="7.42578125" customWidth="1"/>
    <col min="6151" max="6152" width="27.42578125" customWidth="1"/>
    <col min="6153" max="6153" width="36.7109375" customWidth="1"/>
    <col min="6154" max="6154" width="18.28515625" customWidth="1"/>
    <col min="6155" max="6155" width="36.7109375" customWidth="1"/>
    <col min="6156" max="6156" width="27.42578125" customWidth="1"/>
    <col min="6157" max="6157" width="27.7109375" customWidth="1"/>
    <col min="6158" max="6158" width="36.5703125" customWidth="1"/>
    <col min="6159" max="6159" width="18.28515625" customWidth="1"/>
    <col min="6392" max="6392" width="36.42578125" customWidth="1"/>
    <col min="6393" max="6394" width="8" customWidth="1"/>
    <col min="6395" max="6395" width="18" customWidth="1"/>
    <col min="6396" max="6396" width="6.5703125" customWidth="1"/>
    <col min="6397" max="6398" width="10.42578125" customWidth="1"/>
    <col min="6399" max="6399" width="10.7109375" customWidth="1"/>
    <col min="6400" max="6406" width="7.42578125" customWidth="1"/>
    <col min="6407" max="6408" width="27.42578125" customWidth="1"/>
    <col min="6409" max="6409" width="36.7109375" customWidth="1"/>
    <col min="6410" max="6410" width="18.28515625" customWidth="1"/>
    <col min="6411" max="6411" width="36.7109375" customWidth="1"/>
    <col min="6412" max="6412" width="27.42578125" customWidth="1"/>
    <col min="6413" max="6413" width="27.7109375" customWidth="1"/>
    <col min="6414" max="6414" width="36.5703125" customWidth="1"/>
    <col min="6415" max="6415" width="18.28515625" customWidth="1"/>
    <col min="6648" max="6648" width="36.42578125" customWidth="1"/>
    <col min="6649" max="6650" width="8" customWidth="1"/>
    <col min="6651" max="6651" width="18" customWidth="1"/>
    <col min="6652" max="6652" width="6.5703125" customWidth="1"/>
    <col min="6653" max="6654" width="10.42578125" customWidth="1"/>
    <col min="6655" max="6655" width="10.7109375" customWidth="1"/>
    <col min="6656" max="6662" width="7.42578125" customWidth="1"/>
    <col min="6663" max="6664" width="27.42578125" customWidth="1"/>
    <col min="6665" max="6665" width="36.7109375" customWidth="1"/>
    <col min="6666" max="6666" width="18.28515625" customWidth="1"/>
    <col min="6667" max="6667" width="36.7109375" customWidth="1"/>
    <col min="6668" max="6668" width="27.42578125" customWidth="1"/>
    <col min="6669" max="6669" width="27.7109375" customWidth="1"/>
    <col min="6670" max="6670" width="36.5703125" customWidth="1"/>
    <col min="6671" max="6671" width="18.28515625" customWidth="1"/>
    <col min="6904" max="6904" width="36.42578125" customWidth="1"/>
    <col min="6905" max="6906" width="8" customWidth="1"/>
    <col min="6907" max="6907" width="18" customWidth="1"/>
    <col min="6908" max="6908" width="6.5703125" customWidth="1"/>
    <col min="6909" max="6910" width="10.42578125" customWidth="1"/>
    <col min="6911" max="6911" width="10.7109375" customWidth="1"/>
    <col min="6912" max="6918" width="7.42578125" customWidth="1"/>
    <col min="6919" max="6920" width="27.42578125" customWidth="1"/>
    <col min="6921" max="6921" width="36.7109375" customWidth="1"/>
    <col min="6922" max="6922" width="18.28515625" customWidth="1"/>
    <col min="6923" max="6923" width="36.7109375" customWidth="1"/>
    <col min="6924" max="6924" width="27.42578125" customWidth="1"/>
    <col min="6925" max="6925" width="27.7109375" customWidth="1"/>
    <col min="6926" max="6926" width="36.5703125" customWidth="1"/>
    <col min="6927" max="6927" width="18.28515625" customWidth="1"/>
    <col min="7160" max="7160" width="36.42578125" customWidth="1"/>
    <col min="7161" max="7162" width="8" customWidth="1"/>
    <col min="7163" max="7163" width="18" customWidth="1"/>
    <col min="7164" max="7164" width="6.5703125" customWidth="1"/>
    <col min="7165" max="7166" width="10.42578125" customWidth="1"/>
    <col min="7167" max="7167" width="10.7109375" customWidth="1"/>
    <col min="7168" max="7174" width="7.42578125" customWidth="1"/>
    <col min="7175" max="7176" width="27.42578125" customWidth="1"/>
    <col min="7177" max="7177" width="36.7109375" customWidth="1"/>
    <col min="7178" max="7178" width="18.28515625" customWidth="1"/>
    <col min="7179" max="7179" width="36.7109375" customWidth="1"/>
    <col min="7180" max="7180" width="27.42578125" customWidth="1"/>
    <col min="7181" max="7181" width="27.7109375" customWidth="1"/>
    <col min="7182" max="7182" width="36.5703125" customWidth="1"/>
    <col min="7183" max="7183" width="18.28515625" customWidth="1"/>
    <col min="7416" max="7416" width="36.42578125" customWidth="1"/>
    <col min="7417" max="7418" width="8" customWidth="1"/>
    <col min="7419" max="7419" width="18" customWidth="1"/>
    <col min="7420" max="7420" width="6.5703125" customWidth="1"/>
    <col min="7421" max="7422" width="10.42578125" customWidth="1"/>
    <col min="7423" max="7423" width="10.7109375" customWidth="1"/>
    <col min="7424" max="7430" width="7.42578125" customWidth="1"/>
    <col min="7431" max="7432" width="27.42578125" customWidth="1"/>
    <col min="7433" max="7433" width="36.7109375" customWidth="1"/>
    <col min="7434" max="7434" width="18.28515625" customWidth="1"/>
    <col min="7435" max="7435" width="36.7109375" customWidth="1"/>
    <col min="7436" max="7436" width="27.42578125" customWidth="1"/>
    <col min="7437" max="7437" width="27.7109375" customWidth="1"/>
    <col min="7438" max="7438" width="36.5703125" customWidth="1"/>
    <col min="7439" max="7439" width="18.28515625" customWidth="1"/>
    <col min="7672" max="7672" width="36.42578125" customWidth="1"/>
    <col min="7673" max="7674" width="8" customWidth="1"/>
    <col min="7675" max="7675" width="18" customWidth="1"/>
    <col min="7676" max="7676" width="6.5703125" customWidth="1"/>
    <col min="7677" max="7678" width="10.42578125" customWidth="1"/>
    <col min="7679" max="7679" width="10.7109375" customWidth="1"/>
    <col min="7680" max="7686" width="7.42578125" customWidth="1"/>
    <col min="7687" max="7688" width="27.42578125" customWidth="1"/>
    <col min="7689" max="7689" width="36.7109375" customWidth="1"/>
    <col min="7690" max="7690" width="18.28515625" customWidth="1"/>
    <col min="7691" max="7691" width="36.7109375" customWidth="1"/>
    <col min="7692" max="7692" width="27.42578125" customWidth="1"/>
    <col min="7693" max="7693" width="27.7109375" customWidth="1"/>
    <col min="7694" max="7694" width="36.5703125" customWidth="1"/>
    <col min="7695" max="7695" width="18.28515625" customWidth="1"/>
    <col min="7928" max="7928" width="36.42578125" customWidth="1"/>
    <col min="7929" max="7930" width="8" customWidth="1"/>
    <col min="7931" max="7931" width="18" customWidth="1"/>
    <col min="7932" max="7932" width="6.5703125" customWidth="1"/>
    <col min="7933" max="7934" width="10.42578125" customWidth="1"/>
    <col min="7935" max="7935" width="10.7109375" customWidth="1"/>
    <col min="7936" max="7942" width="7.42578125" customWidth="1"/>
    <col min="7943" max="7944" width="27.42578125" customWidth="1"/>
    <col min="7945" max="7945" width="36.7109375" customWidth="1"/>
    <col min="7946" max="7946" width="18.28515625" customWidth="1"/>
    <col min="7947" max="7947" width="36.7109375" customWidth="1"/>
    <col min="7948" max="7948" width="27.42578125" customWidth="1"/>
    <col min="7949" max="7949" width="27.7109375" customWidth="1"/>
    <col min="7950" max="7950" width="36.5703125" customWidth="1"/>
    <col min="7951" max="7951" width="18.28515625" customWidth="1"/>
    <col min="8184" max="8184" width="36.42578125" customWidth="1"/>
    <col min="8185" max="8186" width="8" customWidth="1"/>
    <col min="8187" max="8187" width="18" customWidth="1"/>
    <col min="8188" max="8188" width="6.5703125" customWidth="1"/>
    <col min="8189" max="8190" width="10.42578125" customWidth="1"/>
    <col min="8191" max="8191" width="10.7109375" customWidth="1"/>
    <col min="8192" max="8198" width="7.42578125" customWidth="1"/>
    <col min="8199" max="8200" width="27.42578125" customWidth="1"/>
    <col min="8201" max="8201" width="36.7109375" customWidth="1"/>
    <col min="8202" max="8202" width="18.28515625" customWidth="1"/>
    <col min="8203" max="8203" width="36.7109375" customWidth="1"/>
    <col min="8204" max="8204" width="27.42578125" customWidth="1"/>
    <col min="8205" max="8205" width="27.7109375" customWidth="1"/>
    <col min="8206" max="8206" width="36.5703125" customWidth="1"/>
    <col min="8207" max="8207" width="18.28515625" customWidth="1"/>
    <col min="8440" max="8440" width="36.42578125" customWidth="1"/>
    <col min="8441" max="8442" width="8" customWidth="1"/>
    <col min="8443" max="8443" width="18" customWidth="1"/>
    <col min="8444" max="8444" width="6.5703125" customWidth="1"/>
    <col min="8445" max="8446" width="10.42578125" customWidth="1"/>
    <col min="8447" max="8447" width="10.7109375" customWidth="1"/>
    <col min="8448" max="8454" width="7.42578125" customWidth="1"/>
    <col min="8455" max="8456" width="27.42578125" customWidth="1"/>
    <col min="8457" max="8457" width="36.7109375" customWidth="1"/>
    <col min="8458" max="8458" width="18.28515625" customWidth="1"/>
    <col min="8459" max="8459" width="36.7109375" customWidth="1"/>
    <col min="8460" max="8460" width="27.42578125" customWidth="1"/>
    <col min="8461" max="8461" width="27.7109375" customWidth="1"/>
    <col min="8462" max="8462" width="36.5703125" customWidth="1"/>
    <col min="8463" max="8463" width="18.28515625" customWidth="1"/>
    <col min="8696" max="8696" width="36.42578125" customWidth="1"/>
    <col min="8697" max="8698" width="8" customWidth="1"/>
    <col min="8699" max="8699" width="18" customWidth="1"/>
    <col min="8700" max="8700" width="6.5703125" customWidth="1"/>
    <col min="8701" max="8702" width="10.42578125" customWidth="1"/>
    <col min="8703" max="8703" width="10.7109375" customWidth="1"/>
    <col min="8704" max="8710" width="7.42578125" customWidth="1"/>
    <col min="8711" max="8712" width="27.42578125" customWidth="1"/>
    <col min="8713" max="8713" width="36.7109375" customWidth="1"/>
    <col min="8714" max="8714" width="18.28515625" customWidth="1"/>
    <col min="8715" max="8715" width="36.7109375" customWidth="1"/>
    <col min="8716" max="8716" width="27.42578125" customWidth="1"/>
    <col min="8717" max="8717" width="27.7109375" customWidth="1"/>
    <col min="8718" max="8718" width="36.5703125" customWidth="1"/>
    <col min="8719" max="8719" width="18.28515625" customWidth="1"/>
    <col min="8952" max="8952" width="36.42578125" customWidth="1"/>
    <col min="8953" max="8954" width="8" customWidth="1"/>
    <col min="8955" max="8955" width="18" customWidth="1"/>
    <col min="8956" max="8956" width="6.5703125" customWidth="1"/>
    <col min="8957" max="8958" width="10.42578125" customWidth="1"/>
    <col min="8959" max="8959" width="10.7109375" customWidth="1"/>
    <col min="8960" max="8966" width="7.42578125" customWidth="1"/>
    <col min="8967" max="8968" width="27.42578125" customWidth="1"/>
    <col min="8969" max="8969" width="36.7109375" customWidth="1"/>
    <col min="8970" max="8970" width="18.28515625" customWidth="1"/>
    <col min="8971" max="8971" width="36.7109375" customWidth="1"/>
    <col min="8972" max="8972" width="27.42578125" customWidth="1"/>
    <col min="8973" max="8973" width="27.7109375" customWidth="1"/>
    <col min="8974" max="8974" width="36.5703125" customWidth="1"/>
    <col min="8975" max="8975" width="18.28515625" customWidth="1"/>
    <col min="9208" max="9208" width="36.42578125" customWidth="1"/>
    <col min="9209" max="9210" width="8" customWidth="1"/>
    <col min="9211" max="9211" width="18" customWidth="1"/>
    <col min="9212" max="9212" width="6.5703125" customWidth="1"/>
    <col min="9213" max="9214" width="10.42578125" customWidth="1"/>
    <col min="9215" max="9215" width="10.7109375" customWidth="1"/>
    <col min="9216" max="9222" width="7.42578125" customWidth="1"/>
    <col min="9223" max="9224" width="27.42578125" customWidth="1"/>
    <col min="9225" max="9225" width="36.7109375" customWidth="1"/>
    <col min="9226" max="9226" width="18.28515625" customWidth="1"/>
    <col min="9227" max="9227" width="36.7109375" customWidth="1"/>
    <col min="9228" max="9228" width="27.42578125" customWidth="1"/>
    <col min="9229" max="9229" width="27.7109375" customWidth="1"/>
    <col min="9230" max="9230" width="36.5703125" customWidth="1"/>
    <col min="9231" max="9231" width="18.28515625" customWidth="1"/>
    <col min="9464" max="9464" width="36.42578125" customWidth="1"/>
    <col min="9465" max="9466" width="8" customWidth="1"/>
    <col min="9467" max="9467" width="18" customWidth="1"/>
    <col min="9468" max="9468" width="6.5703125" customWidth="1"/>
    <col min="9469" max="9470" width="10.42578125" customWidth="1"/>
    <col min="9471" max="9471" width="10.7109375" customWidth="1"/>
    <col min="9472" max="9478" width="7.42578125" customWidth="1"/>
    <col min="9479" max="9480" width="27.42578125" customWidth="1"/>
    <col min="9481" max="9481" width="36.7109375" customWidth="1"/>
    <col min="9482" max="9482" width="18.28515625" customWidth="1"/>
    <col min="9483" max="9483" width="36.7109375" customWidth="1"/>
    <col min="9484" max="9484" width="27.42578125" customWidth="1"/>
    <col min="9485" max="9485" width="27.7109375" customWidth="1"/>
    <col min="9486" max="9486" width="36.5703125" customWidth="1"/>
    <col min="9487" max="9487" width="18.28515625" customWidth="1"/>
    <col min="9720" max="9720" width="36.42578125" customWidth="1"/>
    <col min="9721" max="9722" width="8" customWidth="1"/>
    <col min="9723" max="9723" width="18" customWidth="1"/>
    <col min="9724" max="9724" width="6.5703125" customWidth="1"/>
    <col min="9725" max="9726" width="10.42578125" customWidth="1"/>
    <col min="9727" max="9727" width="10.7109375" customWidth="1"/>
    <col min="9728" max="9734" width="7.42578125" customWidth="1"/>
    <col min="9735" max="9736" width="27.42578125" customWidth="1"/>
    <col min="9737" max="9737" width="36.7109375" customWidth="1"/>
    <col min="9738" max="9738" width="18.28515625" customWidth="1"/>
    <col min="9739" max="9739" width="36.7109375" customWidth="1"/>
    <col min="9740" max="9740" width="27.42578125" customWidth="1"/>
    <col min="9741" max="9741" width="27.7109375" customWidth="1"/>
    <col min="9742" max="9742" width="36.5703125" customWidth="1"/>
    <col min="9743" max="9743" width="18.28515625" customWidth="1"/>
    <col min="9976" max="9976" width="36.42578125" customWidth="1"/>
    <col min="9977" max="9978" width="8" customWidth="1"/>
    <col min="9979" max="9979" width="18" customWidth="1"/>
    <col min="9980" max="9980" width="6.5703125" customWidth="1"/>
    <col min="9981" max="9982" width="10.42578125" customWidth="1"/>
    <col min="9983" max="9983" width="10.7109375" customWidth="1"/>
    <col min="9984" max="9990" width="7.42578125" customWidth="1"/>
    <col min="9991" max="9992" width="27.42578125" customWidth="1"/>
    <col min="9993" max="9993" width="36.7109375" customWidth="1"/>
    <col min="9994" max="9994" width="18.28515625" customWidth="1"/>
    <col min="9995" max="9995" width="36.7109375" customWidth="1"/>
    <col min="9996" max="9996" width="27.42578125" customWidth="1"/>
    <col min="9997" max="9997" width="27.7109375" customWidth="1"/>
    <col min="9998" max="9998" width="36.5703125" customWidth="1"/>
    <col min="9999" max="9999" width="18.28515625" customWidth="1"/>
    <col min="10232" max="10232" width="36.42578125" customWidth="1"/>
    <col min="10233" max="10234" width="8" customWidth="1"/>
    <col min="10235" max="10235" width="18" customWidth="1"/>
    <col min="10236" max="10236" width="6.5703125" customWidth="1"/>
    <col min="10237" max="10238" width="10.42578125" customWidth="1"/>
    <col min="10239" max="10239" width="10.7109375" customWidth="1"/>
    <col min="10240" max="10246" width="7.42578125" customWidth="1"/>
    <col min="10247" max="10248" width="27.42578125" customWidth="1"/>
    <col min="10249" max="10249" width="36.7109375" customWidth="1"/>
    <col min="10250" max="10250" width="18.28515625" customWidth="1"/>
    <col min="10251" max="10251" width="36.7109375" customWidth="1"/>
    <col min="10252" max="10252" width="27.42578125" customWidth="1"/>
    <col min="10253" max="10253" width="27.7109375" customWidth="1"/>
    <col min="10254" max="10254" width="36.5703125" customWidth="1"/>
    <col min="10255" max="10255" width="18.28515625" customWidth="1"/>
    <col min="10488" max="10488" width="36.42578125" customWidth="1"/>
    <col min="10489" max="10490" width="8" customWidth="1"/>
    <col min="10491" max="10491" width="18" customWidth="1"/>
    <col min="10492" max="10492" width="6.5703125" customWidth="1"/>
    <col min="10493" max="10494" width="10.42578125" customWidth="1"/>
    <col min="10495" max="10495" width="10.7109375" customWidth="1"/>
    <col min="10496" max="10502" width="7.42578125" customWidth="1"/>
    <col min="10503" max="10504" width="27.42578125" customWidth="1"/>
    <col min="10505" max="10505" width="36.7109375" customWidth="1"/>
    <col min="10506" max="10506" width="18.28515625" customWidth="1"/>
    <col min="10507" max="10507" width="36.7109375" customWidth="1"/>
    <col min="10508" max="10508" width="27.42578125" customWidth="1"/>
    <col min="10509" max="10509" width="27.7109375" customWidth="1"/>
    <col min="10510" max="10510" width="36.5703125" customWidth="1"/>
    <col min="10511" max="10511" width="18.28515625" customWidth="1"/>
    <col min="10744" max="10744" width="36.42578125" customWidth="1"/>
    <col min="10745" max="10746" width="8" customWidth="1"/>
    <col min="10747" max="10747" width="18" customWidth="1"/>
    <col min="10748" max="10748" width="6.5703125" customWidth="1"/>
    <col min="10749" max="10750" width="10.42578125" customWidth="1"/>
    <col min="10751" max="10751" width="10.7109375" customWidth="1"/>
    <col min="10752" max="10758" width="7.42578125" customWidth="1"/>
    <col min="10759" max="10760" width="27.42578125" customWidth="1"/>
    <col min="10761" max="10761" width="36.7109375" customWidth="1"/>
    <col min="10762" max="10762" width="18.28515625" customWidth="1"/>
    <col min="10763" max="10763" width="36.7109375" customWidth="1"/>
    <col min="10764" max="10764" width="27.42578125" customWidth="1"/>
    <col min="10765" max="10765" width="27.7109375" customWidth="1"/>
    <col min="10766" max="10766" width="36.5703125" customWidth="1"/>
    <col min="10767" max="10767" width="18.28515625" customWidth="1"/>
    <col min="11000" max="11000" width="36.42578125" customWidth="1"/>
    <col min="11001" max="11002" width="8" customWidth="1"/>
    <col min="11003" max="11003" width="18" customWidth="1"/>
    <col min="11004" max="11004" width="6.5703125" customWidth="1"/>
    <col min="11005" max="11006" width="10.42578125" customWidth="1"/>
    <col min="11007" max="11007" width="10.7109375" customWidth="1"/>
    <col min="11008" max="11014" width="7.42578125" customWidth="1"/>
    <col min="11015" max="11016" width="27.42578125" customWidth="1"/>
    <col min="11017" max="11017" width="36.7109375" customWidth="1"/>
    <col min="11018" max="11018" width="18.28515625" customWidth="1"/>
    <col min="11019" max="11019" width="36.7109375" customWidth="1"/>
    <col min="11020" max="11020" width="27.42578125" customWidth="1"/>
    <col min="11021" max="11021" width="27.7109375" customWidth="1"/>
    <col min="11022" max="11022" width="36.5703125" customWidth="1"/>
    <col min="11023" max="11023" width="18.28515625" customWidth="1"/>
    <col min="11256" max="11256" width="36.42578125" customWidth="1"/>
    <col min="11257" max="11258" width="8" customWidth="1"/>
    <col min="11259" max="11259" width="18" customWidth="1"/>
    <col min="11260" max="11260" width="6.5703125" customWidth="1"/>
    <col min="11261" max="11262" width="10.42578125" customWidth="1"/>
    <col min="11263" max="11263" width="10.7109375" customWidth="1"/>
    <col min="11264" max="11270" width="7.42578125" customWidth="1"/>
    <col min="11271" max="11272" width="27.42578125" customWidth="1"/>
    <col min="11273" max="11273" width="36.7109375" customWidth="1"/>
    <col min="11274" max="11274" width="18.28515625" customWidth="1"/>
    <col min="11275" max="11275" width="36.7109375" customWidth="1"/>
    <col min="11276" max="11276" width="27.42578125" customWidth="1"/>
    <col min="11277" max="11277" width="27.7109375" customWidth="1"/>
    <col min="11278" max="11278" width="36.5703125" customWidth="1"/>
    <col min="11279" max="11279" width="18.28515625" customWidth="1"/>
    <col min="11512" max="11512" width="36.42578125" customWidth="1"/>
    <col min="11513" max="11514" width="8" customWidth="1"/>
    <col min="11515" max="11515" width="18" customWidth="1"/>
    <col min="11516" max="11516" width="6.5703125" customWidth="1"/>
    <col min="11517" max="11518" width="10.42578125" customWidth="1"/>
    <col min="11519" max="11519" width="10.7109375" customWidth="1"/>
    <col min="11520" max="11526" width="7.42578125" customWidth="1"/>
    <col min="11527" max="11528" width="27.42578125" customWidth="1"/>
    <col min="11529" max="11529" width="36.7109375" customWidth="1"/>
    <col min="11530" max="11530" width="18.28515625" customWidth="1"/>
    <col min="11531" max="11531" width="36.7109375" customWidth="1"/>
    <col min="11532" max="11532" width="27.42578125" customWidth="1"/>
    <col min="11533" max="11533" width="27.7109375" customWidth="1"/>
    <col min="11534" max="11534" width="36.5703125" customWidth="1"/>
    <col min="11535" max="11535" width="18.28515625" customWidth="1"/>
    <col min="11768" max="11768" width="36.42578125" customWidth="1"/>
    <col min="11769" max="11770" width="8" customWidth="1"/>
    <col min="11771" max="11771" width="18" customWidth="1"/>
    <col min="11772" max="11772" width="6.5703125" customWidth="1"/>
    <col min="11773" max="11774" width="10.42578125" customWidth="1"/>
    <col min="11775" max="11775" width="10.7109375" customWidth="1"/>
    <col min="11776" max="11782" width="7.42578125" customWidth="1"/>
    <col min="11783" max="11784" width="27.42578125" customWidth="1"/>
    <col min="11785" max="11785" width="36.7109375" customWidth="1"/>
    <col min="11786" max="11786" width="18.28515625" customWidth="1"/>
    <col min="11787" max="11787" width="36.7109375" customWidth="1"/>
    <col min="11788" max="11788" width="27.42578125" customWidth="1"/>
    <col min="11789" max="11789" width="27.7109375" customWidth="1"/>
    <col min="11790" max="11790" width="36.5703125" customWidth="1"/>
    <col min="11791" max="11791" width="18.28515625" customWidth="1"/>
    <col min="12024" max="12024" width="36.42578125" customWidth="1"/>
    <col min="12025" max="12026" width="8" customWidth="1"/>
    <col min="12027" max="12027" width="18" customWidth="1"/>
    <col min="12028" max="12028" width="6.5703125" customWidth="1"/>
    <col min="12029" max="12030" width="10.42578125" customWidth="1"/>
    <col min="12031" max="12031" width="10.7109375" customWidth="1"/>
    <col min="12032" max="12038" width="7.42578125" customWidth="1"/>
    <col min="12039" max="12040" width="27.42578125" customWidth="1"/>
    <col min="12041" max="12041" width="36.7109375" customWidth="1"/>
    <col min="12042" max="12042" width="18.28515625" customWidth="1"/>
    <col min="12043" max="12043" width="36.7109375" customWidth="1"/>
    <col min="12044" max="12044" width="27.42578125" customWidth="1"/>
    <col min="12045" max="12045" width="27.7109375" customWidth="1"/>
    <col min="12046" max="12046" width="36.5703125" customWidth="1"/>
    <col min="12047" max="12047" width="18.28515625" customWidth="1"/>
    <col min="12280" max="12280" width="36.42578125" customWidth="1"/>
    <col min="12281" max="12282" width="8" customWidth="1"/>
    <col min="12283" max="12283" width="18" customWidth="1"/>
    <col min="12284" max="12284" width="6.5703125" customWidth="1"/>
    <col min="12285" max="12286" width="10.42578125" customWidth="1"/>
    <col min="12287" max="12287" width="10.7109375" customWidth="1"/>
    <col min="12288" max="12294" width="7.42578125" customWidth="1"/>
    <col min="12295" max="12296" width="27.42578125" customWidth="1"/>
    <col min="12297" max="12297" width="36.7109375" customWidth="1"/>
    <col min="12298" max="12298" width="18.28515625" customWidth="1"/>
    <col min="12299" max="12299" width="36.7109375" customWidth="1"/>
    <col min="12300" max="12300" width="27.42578125" customWidth="1"/>
    <col min="12301" max="12301" width="27.7109375" customWidth="1"/>
    <col min="12302" max="12302" width="36.5703125" customWidth="1"/>
    <col min="12303" max="12303" width="18.28515625" customWidth="1"/>
    <col min="12536" max="12536" width="36.42578125" customWidth="1"/>
    <col min="12537" max="12538" width="8" customWidth="1"/>
    <col min="12539" max="12539" width="18" customWidth="1"/>
    <col min="12540" max="12540" width="6.5703125" customWidth="1"/>
    <col min="12541" max="12542" width="10.42578125" customWidth="1"/>
    <col min="12543" max="12543" width="10.7109375" customWidth="1"/>
    <col min="12544" max="12550" width="7.42578125" customWidth="1"/>
    <col min="12551" max="12552" width="27.42578125" customWidth="1"/>
    <col min="12553" max="12553" width="36.7109375" customWidth="1"/>
    <col min="12554" max="12554" width="18.28515625" customWidth="1"/>
    <col min="12555" max="12555" width="36.7109375" customWidth="1"/>
    <col min="12556" max="12556" width="27.42578125" customWidth="1"/>
    <col min="12557" max="12557" width="27.7109375" customWidth="1"/>
    <col min="12558" max="12558" width="36.5703125" customWidth="1"/>
    <col min="12559" max="12559" width="18.28515625" customWidth="1"/>
    <col min="12792" max="12792" width="36.42578125" customWidth="1"/>
    <col min="12793" max="12794" width="8" customWidth="1"/>
    <col min="12795" max="12795" width="18" customWidth="1"/>
    <col min="12796" max="12796" width="6.5703125" customWidth="1"/>
    <col min="12797" max="12798" width="10.42578125" customWidth="1"/>
    <col min="12799" max="12799" width="10.7109375" customWidth="1"/>
    <col min="12800" max="12806" width="7.42578125" customWidth="1"/>
    <col min="12807" max="12808" width="27.42578125" customWidth="1"/>
    <col min="12809" max="12809" width="36.7109375" customWidth="1"/>
    <col min="12810" max="12810" width="18.28515625" customWidth="1"/>
    <col min="12811" max="12811" width="36.7109375" customWidth="1"/>
    <col min="12812" max="12812" width="27.42578125" customWidth="1"/>
    <col min="12813" max="12813" width="27.7109375" customWidth="1"/>
    <col min="12814" max="12814" width="36.5703125" customWidth="1"/>
    <col min="12815" max="12815" width="18.28515625" customWidth="1"/>
    <col min="13048" max="13048" width="36.42578125" customWidth="1"/>
    <col min="13049" max="13050" width="8" customWidth="1"/>
    <col min="13051" max="13051" width="18" customWidth="1"/>
    <col min="13052" max="13052" width="6.5703125" customWidth="1"/>
    <col min="13053" max="13054" width="10.42578125" customWidth="1"/>
    <col min="13055" max="13055" width="10.7109375" customWidth="1"/>
    <col min="13056" max="13062" width="7.42578125" customWidth="1"/>
    <col min="13063" max="13064" width="27.42578125" customWidth="1"/>
    <col min="13065" max="13065" width="36.7109375" customWidth="1"/>
    <col min="13066" max="13066" width="18.28515625" customWidth="1"/>
    <col min="13067" max="13067" width="36.7109375" customWidth="1"/>
    <col min="13068" max="13068" width="27.42578125" customWidth="1"/>
    <col min="13069" max="13069" width="27.7109375" customWidth="1"/>
    <col min="13070" max="13070" width="36.5703125" customWidth="1"/>
    <col min="13071" max="13071" width="18.28515625" customWidth="1"/>
    <col min="13304" max="13304" width="36.42578125" customWidth="1"/>
    <col min="13305" max="13306" width="8" customWidth="1"/>
    <col min="13307" max="13307" width="18" customWidth="1"/>
    <col min="13308" max="13308" width="6.5703125" customWidth="1"/>
    <col min="13309" max="13310" width="10.42578125" customWidth="1"/>
    <col min="13311" max="13311" width="10.7109375" customWidth="1"/>
    <col min="13312" max="13318" width="7.42578125" customWidth="1"/>
    <col min="13319" max="13320" width="27.42578125" customWidth="1"/>
    <col min="13321" max="13321" width="36.7109375" customWidth="1"/>
    <col min="13322" max="13322" width="18.28515625" customWidth="1"/>
    <col min="13323" max="13323" width="36.7109375" customWidth="1"/>
    <col min="13324" max="13324" width="27.42578125" customWidth="1"/>
    <col min="13325" max="13325" width="27.7109375" customWidth="1"/>
    <col min="13326" max="13326" width="36.5703125" customWidth="1"/>
    <col min="13327" max="13327" width="18.28515625" customWidth="1"/>
    <col min="13560" max="13560" width="36.42578125" customWidth="1"/>
    <col min="13561" max="13562" width="8" customWidth="1"/>
    <col min="13563" max="13563" width="18" customWidth="1"/>
    <col min="13564" max="13564" width="6.5703125" customWidth="1"/>
    <col min="13565" max="13566" width="10.42578125" customWidth="1"/>
    <col min="13567" max="13567" width="10.7109375" customWidth="1"/>
    <col min="13568" max="13574" width="7.42578125" customWidth="1"/>
    <col min="13575" max="13576" width="27.42578125" customWidth="1"/>
    <col min="13577" max="13577" width="36.7109375" customWidth="1"/>
    <col min="13578" max="13578" width="18.28515625" customWidth="1"/>
    <col min="13579" max="13579" width="36.7109375" customWidth="1"/>
    <col min="13580" max="13580" width="27.42578125" customWidth="1"/>
    <col min="13581" max="13581" width="27.7109375" customWidth="1"/>
    <col min="13582" max="13582" width="36.5703125" customWidth="1"/>
    <col min="13583" max="13583" width="18.28515625" customWidth="1"/>
    <col min="13816" max="13816" width="36.42578125" customWidth="1"/>
    <col min="13817" max="13818" width="8" customWidth="1"/>
    <col min="13819" max="13819" width="18" customWidth="1"/>
    <col min="13820" max="13820" width="6.5703125" customWidth="1"/>
    <col min="13821" max="13822" width="10.42578125" customWidth="1"/>
    <col min="13823" max="13823" width="10.7109375" customWidth="1"/>
    <col min="13824" max="13830" width="7.42578125" customWidth="1"/>
    <col min="13831" max="13832" width="27.42578125" customWidth="1"/>
    <col min="13833" max="13833" width="36.7109375" customWidth="1"/>
    <col min="13834" max="13834" width="18.28515625" customWidth="1"/>
    <col min="13835" max="13835" width="36.7109375" customWidth="1"/>
    <col min="13836" max="13836" width="27.42578125" customWidth="1"/>
    <col min="13837" max="13837" width="27.7109375" customWidth="1"/>
    <col min="13838" max="13838" width="36.5703125" customWidth="1"/>
    <col min="13839" max="13839" width="18.28515625" customWidth="1"/>
    <col min="14072" max="14072" width="36.42578125" customWidth="1"/>
    <col min="14073" max="14074" width="8" customWidth="1"/>
    <col min="14075" max="14075" width="18" customWidth="1"/>
    <col min="14076" max="14076" width="6.5703125" customWidth="1"/>
    <col min="14077" max="14078" width="10.42578125" customWidth="1"/>
    <col min="14079" max="14079" width="10.7109375" customWidth="1"/>
    <col min="14080" max="14086" width="7.42578125" customWidth="1"/>
    <col min="14087" max="14088" width="27.42578125" customWidth="1"/>
    <col min="14089" max="14089" width="36.7109375" customWidth="1"/>
    <col min="14090" max="14090" width="18.28515625" customWidth="1"/>
    <col min="14091" max="14091" width="36.7109375" customWidth="1"/>
    <col min="14092" max="14092" width="27.42578125" customWidth="1"/>
    <col min="14093" max="14093" width="27.7109375" customWidth="1"/>
    <col min="14094" max="14094" width="36.5703125" customWidth="1"/>
    <col min="14095" max="14095" width="18.28515625" customWidth="1"/>
    <col min="14328" max="14328" width="36.42578125" customWidth="1"/>
    <col min="14329" max="14330" width="8" customWidth="1"/>
    <col min="14331" max="14331" width="18" customWidth="1"/>
    <col min="14332" max="14332" width="6.5703125" customWidth="1"/>
    <col min="14333" max="14334" width="10.42578125" customWidth="1"/>
    <col min="14335" max="14335" width="10.7109375" customWidth="1"/>
    <col min="14336" max="14342" width="7.42578125" customWidth="1"/>
    <col min="14343" max="14344" width="27.42578125" customWidth="1"/>
    <col min="14345" max="14345" width="36.7109375" customWidth="1"/>
    <col min="14346" max="14346" width="18.28515625" customWidth="1"/>
    <col min="14347" max="14347" width="36.7109375" customWidth="1"/>
    <col min="14348" max="14348" width="27.42578125" customWidth="1"/>
    <col min="14349" max="14349" width="27.7109375" customWidth="1"/>
    <col min="14350" max="14350" width="36.5703125" customWidth="1"/>
    <col min="14351" max="14351" width="18.28515625" customWidth="1"/>
    <col min="14584" max="14584" width="36.42578125" customWidth="1"/>
    <col min="14585" max="14586" width="8" customWidth="1"/>
    <col min="14587" max="14587" width="18" customWidth="1"/>
    <col min="14588" max="14588" width="6.5703125" customWidth="1"/>
    <col min="14589" max="14590" width="10.42578125" customWidth="1"/>
    <col min="14591" max="14591" width="10.7109375" customWidth="1"/>
    <col min="14592" max="14598" width="7.42578125" customWidth="1"/>
    <col min="14599" max="14600" width="27.42578125" customWidth="1"/>
    <col min="14601" max="14601" width="36.7109375" customWidth="1"/>
    <col min="14602" max="14602" width="18.28515625" customWidth="1"/>
    <col min="14603" max="14603" width="36.7109375" customWidth="1"/>
    <col min="14604" max="14604" width="27.42578125" customWidth="1"/>
    <col min="14605" max="14605" width="27.7109375" customWidth="1"/>
    <col min="14606" max="14606" width="36.5703125" customWidth="1"/>
    <col min="14607" max="14607" width="18.28515625" customWidth="1"/>
    <col min="14840" max="14840" width="36.42578125" customWidth="1"/>
    <col min="14841" max="14842" width="8" customWidth="1"/>
    <col min="14843" max="14843" width="18" customWidth="1"/>
    <col min="14844" max="14844" width="6.5703125" customWidth="1"/>
    <col min="14845" max="14846" width="10.42578125" customWidth="1"/>
    <col min="14847" max="14847" width="10.7109375" customWidth="1"/>
    <col min="14848" max="14854" width="7.42578125" customWidth="1"/>
    <col min="14855" max="14856" width="27.42578125" customWidth="1"/>
    <col min="14857" max="14857" width="36.7109375" customWidth="1"/>
    <col min="14858" max="14858" width="18.28515625" customWidth="1"/>
    <col min="14859" max="14859" width="36.7109375" customWidth="1"/>
    <col min="14860" max="14860" width="27.42578125" customWidth="1"/>
    <col min="14861" max="14861" width="27.7109375" customWidth="1"/>
    <col min="14862" max="14862" width="36.5703125" customWidth="1"/>
    <col min="14863" max="14863" width="18.28515625" customWidth="1"/>
    <col min="15096" max="15096" width="36.42578125" customWidth="1"/>
    <col min="15097" max="15098" width="8" customWidth="1"/>
    <col min="15099" max="15099" width="18" customWidth="1"/>
    <col min="15100" max="15100" width="6.5703125" customWidth="1"/>
    <col min="15101" max="15102" width="10.42578125" customWidth="1"/>
    <col min="15103" max="15103" width="10.7109375" customWidth="1"/>
    <col min="15104" max="15110" width="7.42578125" customWidth="1"/>
    <col min="15111" max="15112" width="27.42578125" customWidth="1"/>
    <col min="15113" max="15113" width="36.7109375" customWidth="1"/>
    <col min="15114" max="15114" width="18.28515625" customWidth="1"/>
    <col min="15115" max="15115" width="36.7109375" customWidth="1"/>
    <col min="15116" max="15116" width="27.42578125" customWidth="1"/>
    <col min="15117" max="15117" width="27.7109375" customWidth="1"/>
    <col min="15118" max="15118" width="36.5703125" customWidth="1"/>
    <col min="15119" max="15119" width="18.28515625" customWidth="1"/>
    <col min="15352" max="15352" width="36.42578125" customWidth="1"/>
    <col min="15353" max="15354" width="8" customWidth="1"/>
    <col min="15355" max="15355" width="18" customWidth="1"/>
    <col min="15356" max="15356" width="6.5703125" customWidth="1"/>
    <col min="15357" max="15358" width="10.42578125" customWidth="1"/>
    <col min="15359" max="15359" width="10.7109375" customWidth="1"/>
    <col min="15360" max="15366" width="7.42578125" customWidth="1"/>
    <col min="15367" max="15368" width="27.42578125" customWidth="1"/>
    <col min="15369" max="15369" width="36.7109375" customWidth="1"/>
    <col min="15370" max="15370" width="18.28515625" customWidth="1"/>
    <col min="15371" max="15371" width="36.7109375" customWidth="1"/>
    <col min="15372" max="15372" width="27.42578125" customWidth="1"/>
    <col min="15373" max="15373" width="27.7109375" customWidth="1"/>
    <col min="15374" max="15374" width="36.5703125" customWidth="1"/>
    <col min="15375" max="15375" width="18.28515625" customWidth="1"/>
    <col min="15608" max="15608" width="36.42578125" customWidth="1"/>
    <col min="15609" max="15610" width="8" customWidth="1"/>
    <col min="15611" max="15611" width="18" customWidth="1"/>
    <col min="15612" max="15612" width="6.5703125" customWidth="1"/>
    <col min="15613" max="15614" width="10.42578125" customWidth="1"/>
    <col min="15615" max="15615" width="10.7109375" customWidth="1"/>
    <col min="15616" max="15622" width="7.42578125" customWidth="1"/>
    <col min="15623" max="15624" width="27.42578125" customWidth="1"/>
    <col min="15625" max="15625" width="36.7109375" customWidth="1"/>
    <col min="15626" max="15626" width="18.28515625" customWidth="1"/>
    <col min="15627" max="15627" width="36.7109375" customWidth="1"/>
    <col min="15628" max="15628" width="27.42578125" customWidth="1"/>
    <col min="15629" max="15629" width="27.7109375" customWidth="1"/>
    <col min="15630" max="15630" width="36.5703125" customWidth="1"/>
    <col min="15631" max="15631" width="18.28515625" customWidth="1"/>
    <col min="15864" max="15864" width="36.42578125" customWidth="1"/>
    <col min="15865" max="15866" width="8" customWidth="1"/>
    <col min="15867" max="15867" width="18" customWidth="1"/>
    <col min="15868" max="15868" width="6.5703125" customWidth="1"/>
    <col min="15869" max="15870" width="10.42578125" customWidth="1"/>
    <col min="15871" max="15871" width="10.7109375" customWidth="1"/>
    <col min="15872" max="15878" width="7.42578125" customWidth="1"/>
    <col min="15879" max="15880" width="27.42578125" customWidth="1"/>
    <col min="15881" max="15881" width="36.7109375" customWidth="1"/>
    <col min="15882" max="15882" width="18.28515625" customWidth="1"/>
    <col min="15883" max="15883" width="36.7109375" customWidth="1"/>
    <col min="15884" max="15884" width="27.42578125" customWidth="1"/>
    <col min="15885" max="15885" width="27.7109375" customWidth="1"/>
    <col min="15886" max="15886" width="36.5703125" customWidth="1"/>
    <col min="15887" max="15887" width="18.28515625" customWidth="1"/>
    <col min="16120" max="16120" width="36.42578125" customWidth="1"/>
    <col min="16121" max="16122" width="8" customWidth="1"/>
    <col min="16123" max="16123" width="18" customWidth="1"/>
    <col min="16124" max="16124" width="6.5703125" customWidth="1"/>
    <col min="16125" max="16126" width="10.42578125" customWidth="1"/>
    <col min="16127" max="16127" width="10.7109375" customWidth="1"/>
    <col min="16128" max="16134" width="7.42578125" customWidth="1"/>
    <col min="16135" max="16136" width="27.42578125" customWidth="1"/>
    <col min="16137" max="16137" width="36.7109375" customWidth="1"/>
    <col min="16138" max="16138" width="18.28515625" customWidth="1"/>
    <col min="16139" max="16139" width="36.7109375" customWidth="1"/>
    <col min="16140" max="16140" width="27.42578125" customWidth="1"/>
    <col min="16141" max="16141" width="27.7109375" customWidth="1"/>
    <col min="16142" max="16142" width="36.5703125" customWidth="1"/>
    <col min="16143" max="16143" width="18.28515625" customWidth="1"/>
  </cols>
  <sheetData>
    <row r="1" spans="1:17" s="29" customFormat="1" ht="15" customHeight="1">
      <c r="A1" s="27"/>
      <c r="B1" s="27"/>
      <c r="C1" s="28"/>
      <c r="D1" s="28"/>
      <c r="E1" s="28"/>
      <c r="F1" s="28"/>
      <c r="G1" s="124" t="s">
        <v>0</v>
      </c>
      <c r="H1" s="125"/>
      <c r="I1" s="125"/>
      <c r="J1" s="126"/>
      <c r="K1" s="127" t="s">
        <v>1</v>
      </c>
      <c r="L1" s="127"/>
      <c r="M1" s="127"/>
      <c r="N1" s="127"/>
      <c r="O1" s="128"/>
    </row>
    <row r="2" spans="1:17" s="33" customFormat="1" ht="43.9" thickBot="1">
      <c r="A2" s="30" t="s">
        <v>2</v>
      </c>
      <c r="B2" s="30" t="s">
        <v>3</v>
      </c>
      <c r="C2" s="31" t="s">
        <v>4</v>
      </c>
      <c r="D2" s="31" t="s">
        <v>5</v>
      </c>
      <c r="E2" s="31" t="s">
        <v>6</v>
      </c>
      <c r="F2" s="31" t="s">
        <v>7</v>
      </c>
      <c r="G2" s="30" t="s">
        <v>8</v>
      </c>
      <c r="H2" s="31" t="s">
        <v>9</v>
      </c>
      <c r="I2" s="31" t="s">
        <v>10</v>
      </c>
      <c r="J2" s="32" t="s">
        <v>11</v>
      </c>
      <c r="K2" s="31" t="s">
        <v>12</v>
      </c>
      <c r="L2" s="31" t="s">
        <v>8</v>
      </c>
      <c r="M2" s="31" t="s">
        <v>9</v>
      </c>
      <c r="N2" s="31" t="s">
        <v>10</v>
      </c>
      <c r="O2" s="32" t="s">
        <v>11</v>
      </c>
      <c r="Q2" s="30" t="s">
        <v>13</v>
      </c>
    </row>
    <row r="3" spans="1:17">
      <c r="A3" t="s">
        <v>14</v>
      </c>
      <c r="C3" s="45">
        <v>43282</v>
      </c>
      <c r="D3" s="45">
        <v>42917</v>
      </c>
      <c r="E3" t="s">
        <v>15</v>
      </c>
      <c r="F3" t="s">
        <v>16</v>
      </c>
      <c r="G3" s="46" t="s">
        <v>17</v>
      </c>
      <c r="H3" t="s">
        <v>18</v>
      </c>
      <c r="I3" s="46" t="s">
        <v>19</v>
      </c>
      <c r="J3" s="46" t="s">
        <v>20</v>
      </c>
      <c r="K3" s="46" t="s">
        <v>21</v>
      </c>
      <c r="L3" s="46" t="s">
        <v>22</v>
      </c>
      <c r="M3" s="46" t="s">
        <v>23</v>
      </c>
      <c r="N3" s="46"/>
      <c r="O3" s="46" t="s">
        <v>24</v>
      </c>
      <c r="Q3" t="s">
        <v>25</v>
      </c>
    </row>
    <row r="4" spans="1:17">
      <c r="A4" t="s">
        <v>26</v>
      </c>
      <c r="B4" t="s">
        <v>27</v>
      </c>
      <c r="C4" s="45">
        <v>38899</v>
      </c>
      <c r="D4" s="45">
        <v>42186</v>
      </c>
      <c r="E4" t="s">
        <v>28</v>
      </c>
      <c r="F4" t="s">
        <v>29</v>
      </c>
      <c r="G4" s="46" t="s">
        <v>30</v>
      </c>
      <c r="H4" t="s">
        <v>18</v>
      </c>
      <c r="I4" s="47" t="s">
        <v>31</v>
      </c>
      <c r="J4" s="46" t="s">
        <v>32</v>
      </c>
      <c r="K4" s="46" t="s">
        <v>33</v>
      </c>
      <c r="L4" s="46" t="s">
        <v>34</v>
      </c>
      <c r="M4" s="46" t="s">
        <v>35</v>
      </c>
      <c r="N4" s="47" t="s">
        <v>36</v>
      </c>
      <c r="O4" s="118" t="s">
        <v>37</v>
      </c>
      <c r="Q4" t="s">
        <v>25</v>
      </c>
    </row>
    <row r="5" spans="1:17">
      <c r="A5" t="s">
        <v>38</v>
      </c>
      <c r="B5" t="s">
        <v>39</v>
      </c>
      <c r="C5" s="45">
        <v>40604</v>
      </c>
      <c r="D5" s="45">
        <v>42186</v>
      </c>
      <c r="E5" t="s">
        <v>40</v>
      </c>
      <c r="F5" t="s">
        <v>16</v>
      </c>
      <c r="G5" s="46" t="s">
        <v>41</v>
      </c>
      <c r="H5" t="s">
        <v>18</v>
      </c>
      <c r="I5" s="46" t="s">
        <v>42</v>
      </c>
      <c r="J5" s="46" t="s">
        <v>43</v>
      </c>
      <c r="K5" s="46" t="s">
        <v>44</v>
      </c>
      <c r="L5" s="46" t="s">
        <v>45</v>
      </c>
      <c r="M5" s="46" t="s">
        <v>46</v>
      </c>
      <c r="N5" s="46"/>
      <c r="O5" s="46" t="s">
        <v>47</v>
      </c>
      <c r="Q5" t="s">
        <v>25</v>
      </c>
    </row>
    <row r="6" spans="1:17">
      <c r="A6" t="s">
        <v>48</v>
      </c>
      <c r="C6" s="45">
        <v>41456</v>
      </c>
      <c r="D6" s="45">
        <v>42917</v>
      </c>
      <c r="E6" t="s">
        <v>49</v>
      </c>
      <c r="F6" t="s">
        <v>16</v>
      </c>
      <c r="G6" s="46" t="s">
        <v>50</v>
      </c>
      <c r="H6" t="s">
        <v>18</v>
      </c>
      <c r="I6" s="46" t="s">
        <v>51</v>
      </c>
      <c r="J6" s="46" t="s">
        <v>52</v>
      </c>
      <c r="K6" s="46" t="s">
        <v>21</v>
      </c>
      <c r="L6" s="46" t="s">
        <v>22</v>
      </c>
      <c r="M6" s="46" t="s">
        <v>23</v>
      </c>
      <c r="N6" s="46"/>
      <c r="O6" s="46" t="s">
        <v>24</v>
      </c>
      <c r="Q6" t="s">
        <v>25</v>
      </c>
    </row>
    <row r="7" spans="1:17">
      <c r="A7" t="s">
        <v>53</v>
      </c>
      <c r="C7" s="45">
        <v>43647</v>
      </c>
      <c r="D7" s="45">
        <v>42917</v>
      </c>
      <c r="E7" t="s">
        <v>54</v>
      </c>
      <c r="F7" t="s">
        <v>16</v>
      </c>
      <c r="G7" s="46" t="s">
        <v>55</v>
      </c>
      <c r="H7" t="s">
        <v>18</v>
      </c>
      <c r="I7" s="46" t="s">
        <v>56</v>
      </c>
      <c r="J7" s="46" t="s">
        <v>57</v>
      </c>
      <c r="K7" s="46" t="s">
        <v>44</v>
      </c>
      <c r="L7" s="46" t="s">
        <v>45</v>
      </c>
      <c r="M7" s="46" t="s">
        <v>46</v>
      </c>
      <c r="N7" s="46"/>
      <c r="O7" s="46" t="s">
        <v>47</v>
      </c>
      <c r="Q7" t="s">
        <v>25</v>
      </c>
    </row>
    <row r="8" spans="1:17">
      <c r="A8" t="s">
        <v>58</v>
      </c>
      <c r="C8" s="45">
        <v>38534</v>
      </c>
      <c r="D8" s="45">
        <v>42186</v>
      </c>
      <c r="E8" t="s">
        <v>40</v>
      </c>
      <c r="F8" t="s">
        <v>16</v>
      </c>
      <c r="G8" s="46" t="s">
        <v>59</v>
      </c>
      <c r="H8" t="s">
        <v>18</v>
      </c>
      <c r="I8" s="46" t="s">
        <v>60</v>
      </c>
      <c r="J8" s="46" t="s">
        <v>61</v>
      </c>
      <c r="K8" s="46" t="s">
        <v>21</v>
      </c>
      <c r="L8" s="46" t="s">
        <v>22</v>
      </c>
      <c r="M8" s="46" t="s">
        <v>23</v>
      </c>
      <c r="N8" s="46"/>
      <c r="O8" s="46" t="s">
        <v>24</v>
      </c>
      <c r="Q8" t="s">
        <v>25</v>
      </c>
    </row>
    <row r="9" spans="1:17">
      <c r="A9" t="s">
        <v>62</v>
      </c>
      <c r="C9" s="45">
        <v>40360</v>
      </c>
      <c r="D9" s="45">
        <v>42917</v>
      </c>
      <c r="E9" t="s">
        <v>40</v>
      </c>
      <c r="F9" t="s">
        <v>16</v>
      </c>
      <c r="G9" s="46" t="s">
        <v>63</v>
      </c>
      <c r="H9" t="s">
        <v>18</v>
      </c>
      <c r="I9" s="46" t="s">
        <v>64</v>
      </c>
      <c r="J9" s="46" t="s">
        <v>65</v>
      </c>
      <c r="K9" s="46" t="s">
        <v>21</v>
      </c>
      <c r="L9" s="46" t="s">
        <v>22</v>
      </c>
      <c r="M9" s="46" t="s">
        <v>23</v>
      </c>
      <c r="N9" s="46"/>
      <c r="O9" s="46" t="s">
        <v>24</v>
      </c>
      <c r="Q9" t="s">
        <v>25</v>
      </c>
    </row>
    <row r="10" spans="1:17">
      <c r="A10" t="s">
        <v>66</v>
      </c>
      <c r="C10" s="45">
        <v>41091</v>
      </c>
      <c r="D10" s="45">
        <v>42186</v>
      </c>
      <c r="E10" t="s">
        <v>40</v>
      </c>
      <c r="F10" t="s">
        <v>16</v>
      </c>
      <c r="G10" s="46" t="s">
        <v>67</v>
      </c>
      <c r="H10" t="s">
        <v>18</v>
      </c>
      <c r="I10" s="46" t="s">
        <v>68</v>
      </c>
      <c r="J10" s="46" t="s">
        <v>69</v>
      </c>
      <c r="K10" s="46" t="s">
        <v>21</v>
      </c>
      <c r="L10" s="46" t="s">
        <v>22</v>
      </c>
      <c r="M10" s="46" t="s">
        <v>23</v>
      </c>
      <c r="N10" s="46"/>
      <c r="O10" s="46" t="s">
        <v>24</v>
      </c>
      <c r="Q10" t="s">
        <v>25</v>
      </c>
    </row>
    <row r="11" spans="1:17">
      <c r="A11" t="s">
        <v>70</v>
      </c>
      <c r="C11" s="45">
        <v>38534</v>
      </c>
      <c r="D11" s="45">
        <v>42186</v>
      </c>
      <c r="E11" t="s">
        <v>54</v>
      </c>
      <c r="F11" t="s">
        <v>16</v>
      </c>
      <c r="G11" s="46" t="s">
        <v>71</v>
      </c>
      <c r="H11" t="s">
        <v>18</v>
      </c>
      <c r="I11" s="46" t="s">
        <v>72</v>
      </c>
      <c r="J11" s="46" t="s">
        <v>73</v>
      </c>
      <c r="K11" s="46" t="s">
        <v>21</v>
      </c>
      <c r="L11" s="46" t="s">
        <v>22</v>
      </c>
      <c r="M11" s="46" t="s">
        <v>23</v>
      </c>
      <c r="N11" s="46"/>
      <c r="O11" s="46" t="s">
        <v>24</v>
      </c>
      <c r="Q11" t="s">
        <v>25</v>
      </c>
    </row>
    <row r="12" spans="1:17">
      <c r="A12" t="s">
        <v>74</v>
      </c>
      <c r="C12" s="45">
        <v>40360</v>
      </c>
      <c r="D12" s="45">
        <v>42917</v>
      </c>
      <c r="E12" t="s">
        <v>54</v>
      </c>
      <c r="F12" t="s">
        <v>16</v>
      </c>
      <c r="G12" s="46" t="s">
        <v>75</v>
      </c>
      <c r="H12" t="s">
        <v>18</v>
      </c>
      <c r="I12" s="46" t="s">
        <v>76</v>
      </c>
      <c r="J12" s="46" t="s">
        <v>77</v>
      </c>
      <c r="K12" s="46" t="s">
        <v>78</v>
      </c>
      <c r="L12" s="46" t="s">
        <v>79</v>
      </c>
      <c r="M12" s="46" t="s">
        <v>80</v>
      </c>
      <c r="N12" s="46"/>
      <c r="O12" s="46" t="s">
        <v>81</v>
      </c>
      <c r="Q12" t="s">
        <v>25</v>
      </c>
    </row>
    <row r="13" spans="1:17">
      <c r="A13" t="s">
        <v>82</v>
      </c>
      <c r="C13" s="45">
        <v>38169</v>
      </c>
      <c r="D13" s="45">
        <v>42186</v>
      </c>
      <c r="E13" t="s">
        <v>54</v>
      </c>
      <c r="F13" t="s">
        <v>16</v>
      </c>
      <c r="G13" s="46" t="s">
        <v>83</v>
      </c>
      <c r="H13" t="s">
        <v>18</v>
      </c>
      <c r="I13" s="46" t="s">
        <v>84</v>
      </c>
      <c r="J13" s="46" t="s">
        <v>85</v>
      </c>
      <c r="K13" s="46" t="s">
        <v>21</v>
      </c>
      <c r="L13" s="46" t="s">
        <v>22</v>
      </c>
      <c r="M13" s="46" t="s">
        <v>23</v>
      </c>
      <c r="N13" s="46"/>
      <c r="O13" s="46" t="s">
        <v>24</v>
      </c>
      <c r="Q13" t="s">
        <v>25</v>
      </c>
    </row>
    <row r="14" spans="1:17">
      <c r="A14" t="s">
        <v>86</v>
      </c>
      <c r="C14" s="45">
        <v>38169</v>
      </c>
      <c r="D14" s="45">
        <v>42186</v>
      </c>
      <c r="E14" t="s">
        <v>87</v>
      </c>
      <c r="F14" t="s">
        <v>16</v>
      </c>
      <c r="G14" s="46" t="s">
        <v>88</v>
      </c>
      <c r="H14" t="s">
        <v>18</v>
      </c>
      <c r="I14" s="46" t="s">
        <v>89</v>
      </c>
      <c r="J14" s="46" t="s">
        <v>90</v>
      </c>
      <c r="K14" s="46" t="s">
        <v>44</v>
      </c>
      <c r="L14" s="46" t="s">
        <v>45</v>
      </c>
      <c r="M14" s="46" t="s">
        <v>46</v>
      </c>
      <c r="N14" s="46"/>
      <c r="O14" s="46" t="s">
        <v>47</v>
      </c>
      <c r="Q14" t="s">
        <v>25</v>
      </c>
    </row>
    <row r="15" spans="1:17">
      <c r="A15" t="s">
        <v>91</v>
      </c>
      <c r="C15" s="45">
        <v>41456</v>
      </c>
      <c r="D15" s="45">
        <v>42186</v>
      </c>
      <c r="E15" t="s">
        <v>40</v>
      </c>
      <c r="F15" t="s">
        <v>16</v>
      </c>
      <c r="G15" s="46" t="s">
        <v>92</v>
      </c>
      <c r="H15" t="s">
        <v>18</v>
      </c>
      <c r="I15" s="47" t="s">
        <v>93</v>
      </c>
      <c r="J15" s="46" t="s">
        <v>94</v>
      </c>
      <c r="K15" s="46" t="s">
        <v>44</v>
      </c>
      <c r="L15" s="46" t="s">
        <v>45</v>
      </c>
      <c r="M15" s="46" t="s">
        <v>46</v>
      </c>
      <c r="N15" s="46"/>
      <c r="O15" s="46" t="s">
        <v>47</v>
      </c>
      <c r="Q15" t="s">
        <v>25</v>
      </c>
    </row>
    <row r="16" spans="1:17">
      <c r="A16" t="s">
        <v>95</v>
      </c>
      <c r="C16" s="45">
        <v>41374</v>
      </c>
      <c r="D16" s="45">
        <v>42552</v>
      </c>
      <c r="E16" t="s">
        <v>54</v>
      </c>
      <c r="F16" t="s">
        <v>16</v>
      </c>
      <c r="G16" s="46" t="s">
        <v>96</v>
      </c>
      <c r="H16" t="s">
        <v>18</v>
      </c>
      <c r="I16" s="46" t="s">
        <v>97</v>
      </c>
      <c r="J16" s="46" t="s">
        <v>98</v>
      </c>
      <c r="K16" s="46" t="s">
        <v>99</v>
      </c>
      <c r="L16" s="46" t="s">
        <v>100</v>
      </c>
      <c r="M16" s="46" t="s">
        <v>80</v>
      </c>
      <c r="N16" s="47" t="s">
        <v>101</v>
      </c>
      <c r="O16" s="118" t="s">
        <v>102</v>
      </c>
      <c r="Q16" t="s">
        <v>25</v>
      </c>
    </row>
    <row r="17" spans="1:17">
      <c r="A17" t="s">
        <v>103</v>
      </c>
      <c r="C17" s="45">
        <v>42917</v>
      </c>
      <c r="D17" s="45">
        <v>43647</v>
      </c>
      <c r="E17" t="s">
        <v>104</v>
      </c>
      <c r="F17" t="s">
        <v>16</v>
      </c>
      <c r="G17" s="46" t="s">
        <v>105</v>
      </c>
      <c r="H17" t="s">
        <v>18</v>
      </c>
      <c r="I17" s="46" t="s">
        <v>106</v>
      </c>
      <c r="J17" s="46" t="s">
        <v>107</v>
      </c>
      <c r="K17" s="46" t="s">
        <v>44</v>
      </c>
      <c r="L17" s="46" t="s">
        <v>45</v>
      </c>
      <c r="M17" s="46" t="s">
        <v>46</v>
      </c>
      <c r="N17" s="46"/>
      <c r="O17" s="46" t="s">
        <v>47</v>
      </c>
      <c r="Q17" t="s">
        <v>25</v>
      </c>
    </row>
    <row r="18" spans="1:17">
      <c r="A18" t="s">
        <v>108</v>
      </c>
      <c r="C18" s="45">
        <v>39264</v>
      </c>
      <c r="D18" s="45">
        <v>42186</v>
      </c>
      <c r="E18" t="s">
        <v>109</v>
      </c>
      <c r="F18" t="s">
        <v>16</v>
      </c>
      <c r="G18" s="46" t="s">
        <v>110</v>
      </c>
      <c r="H18" t="s">
        <v>18</v>
      </c>
      <c r="I18" s="46" t="s">
        <v>111</v>
      </c>
      <c r="J18" s="46" t="s">
        <v>112</v>
      </c>
      <c r="K18" s="46" t="s">
        <v>21</v>
      </c>
      <c r="L18" s="46" t="s">
        <v>22</v>
      </c>
      <c r="M18" s="46" t="s">
        <v>23</v>
      </c>
      <c r="N18" s="46"/>
      <c r="O18" s="46" t="s">
        <v>24</v>
      </c>
      <c r="Q18" t="s">
        <v>25</v>
      </c>
    </row>
    <row r="19" spans="1:17">
      <c r="A19" t="s">
        <v>113</v>
      </c>
      <c r="C19" s="45">
        <v>37438</v>
      </c>
      <c r="D19" s="45">
        <v>42186</v>
      </c>
      <c r="E19" t="s">
        <v>40</v>
      </c>
      <c r="F19" t="s">
        <v>16</v>
      </c>
      <c r="G19" s="46" t="s">
        <v>114</v>
      </c>
      <c r="H19" t="s">
        <v>18</v>
      </c>
      <c r="I19" s="46" t="s">
        <v>115</v>
      </c>
      <c r="J19" s="46" t="s">
        <v>116</v>
      </c>
      <c r="K19" s="46" t="s">
        <v>44</v>
      </c>
      <c r="L19" s="46" t="s">
        <v>45</v>
      </c>
      <c r="M19" s="46" t="s">
        <v>46</v>
      </c>
      <c r="N19" s="46"/>
      <c r="O19" s="46" t="s">
        <v>47</v>
      </c>
      <c r="Q19" t="s">
        <v>25</v>
      </c>
    </row>
    <row r="20" spans="1:17">
      <c r="A20" t="s">
        <v>117</v>
      </c>
      <c r="C20" s="45">
        <v>38169</v>
      </c>
      <c r="D20" s="45">
        <v>42186</v>
      </c>
      <c r="E20" t="s">
        <v>40</v>
      </c>
      <c r="F20" t="s">
        <v>16</v>
      </c>
      <c r="G20" s="46" t="s">
        <v>118</v>
      </c>
      <c r="H20" t="s">
        <v>18</v>
      </c>
      <c r="I20" s="46" t="s">
        <v>119</v>
      </c>
      <c r="J20" s="46" t="s">
        <v>120</v>
      </c>
      <c r="K20" s="46" t="s">
        <v>21</v>
      </c>
      <c r="L20" s="46" t="s">
        <v>22</v>
      </c>
      <c r="M20" s="46" t="s">
        <v>23</v>
      </c>
      <c r="N20" s="46"/>
      <c r="O20" s="46" t="s">
        <v>24</v>
      </c>
      <c r="Q20" t="s">
        <v>25</v>
      </c>
    </row>
    <row r="21" spans="1:17">
      <c r="A21" t="s">
        <v>121</v>
      </c>
      <c r="C21" s="45">
        <v>42515</v>
      </c>
      <c r="D21" s="45">
        <v>42515</v>
      </c>
      <c r="E21" t="s">
        <v>122</v>
      </c>
      <c r="F21" t="s">
        <v>123</v>
      </c>
      <c r="G21" s="46" t="s">
        <v>124</v>
      </c>
      <c r="H21" t="s">
        <v>18</v>
      </c>
      <c r="I21" s="46" t="s">
        <v>125</v>
      </c>
      <c r="J21" s="46" t="s">
        <v>126</v>
      </c>
      <c r="K21" s="46" t="s">
        <v>127</v>
      </c>
      <c r="L21" s="46" t="s">
        <v>128</v>
      </c>
      <c r="M21" s="46" t="s">
        <v>23</v>
      </c>
      <c r="N21" s="46"/>
      <c r="O21" s="46" t="s">
        <v>129</v>
      </c>
      <c r="Q21" t="s">
        <v>25</v>
      </c>
    </row>
    <row r="22" spans="1:17">
      <c r="A22" t="s">
        <v>130</v>
      </c>
      <c r="C22" s="45">
        <v>41091</v>
      </c>
      <c r="D22" s="45">
        <v>42917</v>
      </c>
      <c r="E22" t="s">
        <v>40</v>
      </c>
      <c r="F22" t="s">
        <v>16</v>
      </c>
      <c r="G22" s="46" t="s">
        <v>131</v>
      </c>
      <c r="H22" t="s">
        <v>18</v>
      </c>
      <c r="I22" s="46" t="s">
        <v>132</v>
      </c>
      <c r="J22" s="46" t="s">
        <v>133</v>
      </c>
      <c r="K22" s="46" t="s">
        <v>21</v>
      </c>
      <c r="L22" s="46" t="s">
        <v>22</v>
      </c>
      <c r="M22" s="46" t="s">
        <v>23</v>
      </c>
      <c r="N22" s="46"/>
      <c r="O22" s="46" t="s">
        <v>24</v>
      </c>
      <c r="Q22" t="s">
        <v>25</v>
      </c>
    </row>
    <row r="23" spans="1:17">
      <c r="A23" t="s">
        <v>134</v>
      </c>
      <c r="C23" s="45">
        <v>41456</v>
      </c>
      <c r="D23" s="45">
        <v>42186</v>
      </c>
      <c r="E23" t="s">
        <v>40</v>
      </c>
      <c r="F23" t="s">
        <v>16</v>
      </c>
      <c r="G23" s="46" t="s">
        <v>135</v>
      </c>
      <c r="H23" t="s">
        <v>18</v>
      </c>
      <c r="I23" s="46" t="s">
        <v>136</v>
      </c>
      <c r="J23" s="46" t="s">
        <v>137</v>
      </c>
      <c r="K23" s="46" t="s">
        <v>138</v>
      </c>
      <c r="L23" s="46" t="s">
        <v>139</v>
      </c>
      <c r="M23" s="46" t="s">
        <v>80</v>
      </c>
      <c r="N23" s="46"/>
      <c r="O23" s="46" t="s">
        <v>140</v>
      </c>
      <c r="Q23" t="s">
        <v>25</v>
      </c>
    </row>
    <row r="24" spans="1:17">
      <c r="A24" t="s">
        <v>141</v>
      </c>
      <c r="C24" s="45">
        <v>43282</v>
      </c>
      <c r="D24" s="45">
        <v>43282</v>
      </c>
      <c r="E24" t="s">
        <v>142</v>
      </c>
      <c r="F24" t="s">
        <v>16</v>
      </c>
      <c r="G24" s="46" t="s">
        <v>143</v>
      </c>
      <c r="H24" t="s">
        <v>18</v>
      </c>
      <c r="I24" s="46" t="s">
        <v>144</v>
      </c>
      <c r="J24" s="46" t="s">
        <v>145</v>
      </c>
      <c r="K24" s="46" t="s">
        <v>78</v>
      </c>
      <c r="L24" s="46" t="s">
        <v>79</v>
      </c>
      <c r="M24" s="46" t="s">
        <v>80</v>
      </c>
      <c r="N24" s="46"/>
      <c r="O24" s="46" t="s">
        <v>81</v>
      </c>
      <c r="Q24" t="s">
        <v>25</v>
      </c>
    </row>
    <row r="25" spans="1:17">
      <c r="A25" t="s">
        <v>146</v>
      </c>
      <c r="C25" s="45">
        <v>38899</v>
      </c>
      <c r="D25" s="45">
        <v>42186</v>
      </c>
      <c r="E25" t="s">
        <v>142</v>
      </c>
      <c r="F25" t="s">
        <v>16</v>
      </c>
      <c r="G25" s="46" t="s">
        <v>147</v>
      </c>
      <c r="H25" t="s">
        <v>18</v>
      </c>
      <c r="I25" s="46" t="s">
        <v>148</v>
      </c>
      <c r="J25" s="46" t="s">
        <v>149</v>
      </c>
      <c r="K25" s="46" t="s">
        <v>44</v>
      </c>
      <c r="L25" s="46" t="s">
        <v>45</v>
      </c>
      <c r="M25" s="46" t="s">
        <v>46</v>
      </c>
      <c r="N25" s="46"/>
      <c r="O25" s="46" t="s">
        <v>47</v>
      </c>
      <c r="Q25" t="s">
        <v>25</v>
      </c>
    </row>
    <row r="26" spans="1:17">
      <c r="A26" t="s">
        <v>150</v>
      </c>
      <c r="C26" s="45">
        <v>43282</v>
      </c>
      <c r="D26" s="45">
        <v>43282</v>
      </c>
      <c r="E26" t="s">
        <v>151</v>
      </c>
      <c r="F26" t="s">
        <v>16</v>
      </c>
      <c r="G26" s="46" t="s">
        <v>152</v>
      </c>
      <c r="H26" t="s">
        <v>18</v>
      </c>
      <c r="I26" s="46" t="s">
        <v>153</v>
      </c>
      <c r="J26" s="46" t="s">
        <v>154</v>
      </c>
      <c r="K26" s="46" t="s">
        <v>99</v>
      </c>
      <c r="L26" s="46" t="s">
        <v>100</v>
      </c>
      <c r="M26" s="46" t="s">
        <v>80</v>
      </c>
      <c r="N26" s="47" t="s">
        <v>101</v>
      </c>
      <c r="O26" s="118" t="s">
        <v>102</v>
      </c>
      <c r="Q26" t="s">
        <v>25</v>
      </c>
    </row>
    <row r="27" spans="1:17">
      <c r="A27" t="s">
        <v>155</v>
      </c>
      <c r="C27" s="45">
        <v>38534</v>
      </c>
      <c r="D27" s="45">
        <v>42186</v>
      </c>
      <c r="E27" t="s">
        <v>142</v>
      </c>
      <c r="F27" t="s">
        <v>16</v>
      </c>
      <c r="G27" s="46" t="s">
        <v>156</v>
      </c>
      <c r="H27" t="s">
        <v>18</v>
      </c>
      <c r="I27" s="46" t="s">
        <v>157</v>
      </c>
      <c r="J27" s="46" t="s">
        <v>158</v>
      </c>
      <c r="K27" s="46" t="s">
        <v>44</v>
      </c>
      <c r="L27" s="46" t="s">
        <v>45</v>
      </c>
      <c r="M27" s="46" t="s">
        <v>46</v>
      </c>
      <c r="N27" s="46"/>
      <c r="O27" s="46" t="s">
        <v>47</v>
      </c>
      <c r="Q27" t="s">
        <v>25</v>
      </c>
    </row>
    <row r="28" spans="1:17">
      <c r="A28" t="s">
        <v>159</v>
      </c>
      <c r="C28" s="45">
        <v>43282</v>
      </c>
      <c r="D28" s="45">
        <v>43282</v>
      </c>
      <c r="E28" t="s">
        <v>160</v>
      </c>
      <c r="F28" t="s">
        <v>16</v>
      </c>
      <c r="G28" s="46" t="s">
        <v>161</v>
      </c>
      <c r="H28" t="s">
        <v>18</v>
      </c>
      <c r="I28" s="46" t="s">
        <v>162</v>
      </c>
      <c r="J28" s="46" t="s">
        <v>163</v>
      </c>
      <c r="K28" s="46" t="s">
        <v>21</v>
      </c>
      <c r="L28" s="46" t="s">
        <v>22</v>
      </c>
      <c r="M28" s="46" t="s">
        <v>23</v>
      </c>
      <c r="N28" s="46"/>
      <c r="O28" s="46" t="s">
        <v>24</v>
      </c>
      <c r="Q28" t="s">
        <v>25</v>
      </c>
    </row>
    <row r="29" spans="1:17">
      <c r="A29" t="s">
        <v>164</v>
      </c>
      <c r="C29" s="45">
        <v>43282</v>
      </c>
      <c r="D29" s="45">
        <v>43282</v>
      </c>
      <c r="E29" t="s">
        <v>165</v>
      </c>
      <c r="F29" t="s">
        <v>16</v>
      </c>
      <c r="G29" s="46" t="s">
        <v>166</v>
      </c>
      <c r="H29" t="s">
        <v>18</v>
      </c>
      <c r="I29" s="46" t="s">
        <v>167</v>
      </c>
      <c r="J29" s="46" t="s">
        <v>168</v>
      </c>
      <c r="K29" s="46" t="s">
        <v>44</v>
      </c>
      <c r="L29" s="46" t="s">
        <v>45</v>
      </c>
      <c r="M29" s="46" t="s">
        <v>46</v>
      </c>
      <c r="N29" s="46"/>
      <c r="O29" s="46" t="s">
        <v>47</v>
      </c>
      <c r="Q29" t="s">
        <v>25</v>
      </c>
    </row>
    <row r="30" spans="1:17">
      <c r="A30" t="s">
        <v>169</v>
      </c>
      <c r="C30" s="45">
        <v>43647</v>
      </c>
      <c r="D30" s="45">
        <v>43647</v>
      </c>
      <c r="E30" t="s">
        <v>54</v>
      </c>
      <c r="F30" t="s">
        <v>16</v>
      </c>
      <c r="G30" s="46" t="s">
        <v>170</v>
      </c>
      <c r="H30" t="s">
        <v>18</v>
      </c>
      <c r="I30" s="46" t="s">
        <v>171</v>
      </c>
      <c r="J30" s="46" t="s">
        <v>172</v>
      </c>
      <c r="K30" s="46" t="s">
        <v>44</v>
      </c>
      <c r="L30" s="46" t="s">
        <v>45</v>
      </c>
      <c r="M30" s="46" t="s">
        <v>46</v>
      </c>
      <c r="N30" s="46"/>
      <c r="O30" s="46" t="s">
        <v>47</v>
      </c>
      <c r="Q30" t="s">
        <v>25</v>
      </c>
    </row>
    <row r="31" spans="1:17">
      <c r="A31" t="s">
        <v>173</v>
      </c>
      <c r="C31" s="45">
        <v>40360</v>
      </c>
      <c r="D31" s="45">
        <v>42917</v>
      </c>
      <c r="E31" t="s">
        <v>40</v>
      </c>
      <c r="F31" t="s">
        <v>16</v>
      </c>
      <c r="G31" s="46" t="s">
        <v>174</v>
      </c>
      <c r="H31" t="s">
        <v>18</v>
      </c>
      <c r="I31" s="46" t="s">
        <v>175</v>
      </c>
      <c r="J31" s="46" t="s">
        <v>176</v>
      </c>
      <c r="K31" s="46" t="s">
        <v>21</v>
      </c>
      <c r="L31" s="46" t="s">
        <v>22</v>
      </c>
      <c r="M31" s="46" t="s">
        <v>23</v>
      </c>
      <c r="N31" s="46"/>
      <c r="O31" s="46" t="s">
        <v>24</v>
      </c>
      <c r="Q31" t="s">
        <v>177</v>
      </c>
    </row>
    <row r="32" spans="1:17">
      <c r="A32" t="s">
        <v>178</v>
      </c>
      <c r="C32" s="45">
        <v>41456</v>
      </c>
      <c r="D32" s="45">
        <v>42917</v>
      </c>
      <c r="E32" t="s">
        <v>179</v>
      </c>
      <c r="F32" t="s">
        <v>16</v>
      </c>
      <c r="G32" s="46" t="s">
        <v>180</v>
      </c>
      <c r="H32" t="s">
        <v>18</v>
      </c>
      <c r="I32" s="46" t="s">
        <v>181</v>
      </c>
      <c r="J32" s="46" t="s">
        <v>182</v>
      </c>
      <c r="K32" s="46" t="s">
        <v>21</v>
      </c>
      <c r="L32" s="46" t="s">
        <v>22</v>
      </c>
      <c r="M32" s="46" t="s">
        <v>23</v>
      </c>
      <c r="N32" s="46"/>
      <c r="O32" s="46" t="s">
        <v>24</v>
      </c>
      <c r="Q32" t="s">
        <v>177</v>
      </c>
    </row>
    <row r="33" spans="1:17">
      <c r="A33" t="s">
        <v>183</v>
      </c>
      <c r="B33" t="s">
        <v>184</v>
      </c>
      <c r="C33" s="45">
        <v>37803</v>
      </c>
      <c r="D33" s="45">
        <v>43282</v>
      </c>
      <c r="E33" t="s">
        <v>15</v>
      </c>
      <c r="F33" t="s">
        <v>16</v>
      </c>
      <c r="G33" s="46" t="s">
        <v>185</v>
      </c>
      <c r="H33" t="s">
        <v>18</v>
      </c>
      <c r="I33" s="46" t="s">
        <v>186</v>
      </c>
      <c r="J33" s="46" t="s">
        <v>187</v>
      </c>
      <c r="K33" s="46" t="s">
        <v>21</v>
      </c>
      <c r="L33" s="46" t="s">
        <v>22</v>
      </c>
      <c r="M33" s="46" t="s">
        <v>23</v>
      </c>
      <c r="N33" s="46"/>
      <c r="O33" s="46" t="s">
        <v>24</v>
      </c>
      <c r="Q33" t="s">
        <v>25</v>
      </c>
    </row>
    <row r="34" spans="1:17">
      <c r="A34" t="s">
        <v>188</v>
      </c>
      <c r="C34" s="45">
        <v>43647</v>
      </c>
      <c r="D34" s="45">
        <v>43647</v>
      </c>
      <c r="E34" t="s">
        <v>189</v>
      </c>
      <c r="F34" t="s">
        <v>16</v>
      </c>
      <c r="G34" s="46" t="s">
        <v>190</v>
      </c>
      <c r="H34" t="s">
        <v>18</v>
      </c>
      <c r="I34" s="46" t="s">
        <v>191</v>
      </c>
      <c r="J34" s="46" t="s">
        <v>192</v>
      </c>
      <c r="K34" s="46" t="s">
        <v>44</v>
      </c>
      <c r="L34" s="46" t="s">
        <v>45</v>
      </c>
      <c r="M34" s="46" t="s">
        <v>46</v>
      </c>
      <c r="N34" s="46"/>
      <c r="O34" s="46" t="s">
        <v>47</v>
      </c>
      <c r="Q34" t="s">
        <v>25</v>
      </c>
    </row>
    <row r="35" spans="1:17">
      <c r="A35" t="s">
        <v>193</v>
      </c>
      <c r="C35" s="45">
        <v>36342</v>
      </c>
      <c r="D35" s="45">
        <v>42186</v>
      </c>
      <c r="E35" t="s">
        <v>165</v>
      </c>
      <c r="F35" t="s">
        <v>16</v>
      </c>
      <c r="G35" s="46" t="s">
        <v>194</v>
      </c>
      <c r="H35" t="s">
        <v>18</v>
      </c>
      <c r="I35" s="46" t="s">
        <v>195</v>
      </c>
      <c r="J35" s="46" t="s">
        <v>196</v>
      </c>
      <c r="K35" s="46" t="s">
        <v>21</v>
      </c>
      <c r="L35" s="46" t="s">
        <v>22</v>
      </c>
      <c r="M35" s="46" t="s">
        <v>23</v>
      </c>
      <c r="N35" s="46"/>
      <c r="O35" s="46" t="s">
        <v>24</v>
      </c>
      <c r="Q35" t="s">
        <v>25</v>
      </c>
    </row>
    <row r="36" spans="1:17">
      <c r="A36" t="s">
        <v>197</v>
      </c>
      <c r="C36" s="45">
        <v>42917</v>
      </c>
      <c r="D36" s="45">
        <v>42917</v>
      </c>
      <c r="E36" t="s">
        <v>54</v>
      </c>
      <c r="F36" t="s">
        <v>16</v>
      </c>
      <c r="G36" s="46" t="s">
        <v>198</v>
      </c>
      <c r="H36" t="s">
        <v>18</v>
      </c>
      <c r="I36" s="46" t="s">
        <v>199</v>
      </c>
      <c r="J36" s="46" t="s">
        <v>200</v>
      </c>
      <c r="K36" s="46" t="s">
        <v>44</v>
      </c>
      <c r="L36" s="46" t="s">
        <v>45</v>
      </c>
      <c r="M36" s="46" t="s">
        <v>46</v>
      </c>
      <c r="N36" s="46"/>
      <c r="O36" s="46" t="s">
        <v>47</v>
      </c>
      <c r="Q36" t="s">
        <v>25</v>
      </c>
    </row>
    <row r="37" spans="1:17">
      <c r="A37" t="s">
        <v>201</v>
      </c>
      <c r="C37" s="45">
        <v>40725</v>
      </c>
      <c r="D37" s="45">
        <v>42186</v>
      </c>
      <c r="E37" t="s">
        <v>202</v>
      </c>
      <c r="F37" t="s">
        <v>16</v>
      </c>
      <c r="G37" s="46" t="s">
        <v>203</v>
      </c>
      <c r="H37" t="s">
        <v>18</v>
      </c>
      <c r="I37" s="46" t="s">
        <v>204</v>
      </c>
      <c r="J37" s="46" t="s">
        <v>205</v>
      </c>
      <c r="K37" s="46" t="s">
        <v>44</v>
      </c>
      <c r="L37" s="46" t="s">
        <v>45</v>
      </c>
      <c r="M37" s="46" t="s">
        <v>46</v>
      </c>
      <c r="N37" s="46"/>
      <c r="O37" s="46" t="s">
        <v>47</v>
      </c>
      <c r="Q37" t="s">
        <v>25</v>
      </c>
    </row>
    <row r="38" spans="1:17">
      <c r="A38" t="s">
        <v>206</v>
      </c>
      <c r="C38" s="45">
        <v>41456</v>
      </c>
      <c r="D38" s="45">
        <v>42186</v>
      </c>
      <c r="E38" t="s">
        <v>207</v>
      </c>
      <c r="F38" t="s">
        <v>16</v>
      </c>
      <c r="G38" s="46" t="s">
        <v>208</v>
      </c>
      <c r="H38" t="s">
        <v>18</v>
      </c>
      <c r="I38" s="46" t="s">
        <v>209</v>
      </c>
      <c r="J38" s="46" t="s">
        <v>210</v>
      </c>
      <c r="K38" s="46" t="s">
        <v>21</v>
      </c>
      <c r="L38" s="46" t="s">
        <v>22</v>
      </c>
      <c r="M38" s="46" t="s">
        <v>23</v>
      </c>
      <c r="N38" s="46"/>
      <c r="O38" s="46" t="s">
        <v>24</v>
      </c>
      <c r="Q38" t="s">
        <v>25</v>
      </c>
    </row>
    <row r="39" spans="1:17">
      <c r="A39" t="s">
        <v>211</v>
      </c>
      <c r="C39" s="45">
        <v>44013</v>
      </c>
      <c r="D39" s="45">
        <v>44013</v>
      </c>
      <c r="E39" t="s">
        <v>212</v>
      </c>
      <c r="F39" t="s">
        <v>16</v>
      </c>
      <c r="G39" s="46" t="s">
        <v>213</v>
      </c>
      <c r="H39" t="s">
        <v>18</v>
      </c>
      <c r="I39" s="46" t="s">
        <v>214</v>
      </c>
      <c r="J39" s="46" t="s">
        <v>215</v>
      </c>
      <c r="K39" s="46" t="s">
        <v>44</v>
      </c>
      <c r="L39" s="46" t="s">
        <v>45</v>
      </c>
      <c r="M39" s="46" t="s">
        <v>46</v>
      </c>
      <c r="N39" s="46"/>
      <c r="O39" s="46" t="s">
        <v>47</v>
      </c>
      <c r="Q39" t="s">
        <v>25</v>
      </c>
    </row>
    <row r="40" spans="1:17">
      <c r="A40" t="s">
        <v>216</v>
      </c>
      <c r="C40" s="45">
        <v>40725</v>
      </c>
      <c r="D40" s="45">
        <v>42917</v>
      </c>
      <c r="E40" t="s">
        <v>40</v>
      </c>
      <c r="F40" t="s">
        <v>16</v>
      </c>
      <c r="G40" s="46" t="s">
        <v>217</v>
      </c>
      <c r="H40" t="s">
        <v>18</v>
      </c>
      <c r="I40" s="47" t="s">
        <v>218</v>
      </c>
      <c r="J40" s="46" t="s">
        <v>219</v>
      </c>
      <c r="K40" s="46" t="s">
        <v>21</v>
      </c>
      <c r="L40" s="46" t="s">
        <v>22</v>
      </c>
      <c r="M40" s="46" t="s">
        <v>23</v>
      </c>
      <c r="N40" s="46"/>
      <c r="O40" s="46" t="s">
        <v>24</v>
      </c>
      <c r="Q40" t="s">
        <v>177</v>
      </c>
    </row>
    <row r="41" spans="1:17">
      <c r="A41" t="s">
        <v>220</v>
      </c>
      <c r="C41" s="45">
        <v>38534</v>
      </c>
      <c r="D41" s="45">
        <v>42186</v>
      </c>
      <c r="E41" t="s">
        <v>40</v>
      </c>
      <c r="F41" t="s">
        <v>16</v>
      </c>
      <c r="G41" s="46" t="s">
        <v>221</v>
      </c>
      <c r="H41" t="s">
        <v>18</v>
      </c>
      <c r="I41" s="46" t="s">
        <v>222</v>
      </c>
      <c r="J41" s="46" t="s">
        <v>223</v>
      </c>
      <c r="K41" s="46" t="s">
        <v>44</v>
      </c>
      <c r="L41" s="46" t="s">
        <v>45</v>
      </c>
      <c r="M41" s="46" t="s">
        <v>46</v>
      </c>
      <c r="N41" s="46"/>
      <c r="O41" s="46" t="s">
        <v>47</v>
      </c>
      <c r="Q41" t="s">
        <v>25</v>
      </c>
    </row>
    <row r="42" spans="1:17">
      <c r="A42" t="s">
        <v>224</v>
      </c>
      <c r="C42" s="45">
        <v>43282</v>
      </c>
      <c r="D42" s="45">
        <v>43282</v>
      </c>
      <c r="E42" t="s">
        <v>225</v>
      </c>
      <c r="F42" t="s">
        <v>123</v>
      </c>
      <c r="G42" s="46" t="s">
        <v>226</v>
      </c>
      <c r="H42" t="s">
        <v>18</v>
      </c>
      <c r="I42" s="47" t="s">
        <v>227</v>
      </c>
      <c r="J42" s="46" t="s">
        <v>228</v>
      </c>
      <c r="K42" s="46" t="s">
        <v>229</v>
      </c>
      <c r="L42" s="46" t="s">
        <v>230</v>
      </c>
      <c r="M42" s="46" t="s">
        <v>35</v>
      </c>
      <c r="N42" s="46"/>
      <c r="O42" s="46" t="s">
        <v>231</v>
      </c>
      <c r="Q42" t="s">
        <v>25</v>
      </c>
    </row>
    <row r="43" spans="1:17">
      <c r="A43" t="s">
        <v>232</v>
      </c>
      <c r="C43" s="45">
        <v>42552</v>
      </c>
      <c r="D43" s="45">
        <v>42917</v>
      </c>
      <c r="E43" t="s">
        <v>165</v>
      </c>
      <c r="F43" t="s">
        <v>16</v>
      </c>
      <c r="G43" s="46" t="s">
        <v>233</v>
      </c>
      <c r="H43" t="s">
        <v>18</v>
      </c>
      <c r="I43" s="46" t="s">
        <v>234</v>
      </c>
      <c r="J43" s="46" t="s">
        <v>235</v>
      </c>
      <c r="K43" s="46" t="s">
        <v>44</v>
      </c>
      <c r="L43" s="46" t="s">
        <v>45</v>
      </c>
      <c r="M43" s="46" t="s">
        <v>46</v>
      </c>
      <c r="N43" s="46"/>
      <c r="O43" s="46" t="s">
        <v>47</v>
      </c>
      <c r="Q43" t="s">
        <v>25</v>
      </c>
    </row>
    <row r="44" spans="1:17">
      <c r="A44" t="s">
        <v>236</v>
      </c>
      <c r="C44" s="45">
        <v>38534</v>
      </c>
      <c r="D44" s="45">
        <v>42186</v>
      </c>
      <c r="E44" t="s">
        <v>237</v>
      </c>
      <c r="F44" t="s">
        <v>16</v>
      </c>
      <c r="G44" s="46" t="s">
        <v>238</v>
      </c>
      <c r="H44" t="s">
        <v>18</v>
      </c>
      <c r="I44" s="46" t="s">
        <v>239</v>
      </c>
      <c r="J44" s="46" t="s">
        <v>240</v>
      </c>
      <c r="K44" s="46" t="s">
        <v>44</v>
      </c>
      <c r="L44" s="46" t="s">
        <v>45</v>
      </c>
      <c r="M44" s="46" t="s">
        <v>46</v>
      </c>
      <c r="N44" s="46"/>
      <c r="O44" s="46" t="s">
        <v>47</v>
      </c>
      <c r="Q44" t="s">
        <v>25</v>
      </c>
    </row>
    <row r="45" spans="1:17">
      <c r="A45" t="s">
        <v>241</v>
      </c>
      <c r="C45" s="119">
        <v>44013</v>
      </c>
      <c r="D45" s="119">
        <v>44013</v>
      </c>
      <c r="E45" t="s">
        <v>242</v>
      </c>
      <c r="F45" t="s">
        <v>16</v>
      </c>
      <c r="G45" t="s">
        <v>243</v>
      </c>
      <c r="H45" t="s">
        <v>244</v>
      </c>
      <c r="I45" t="s">
        <v>245</v>
      </c>
      <c r="J45" t="s">
        <v>246</v>
      </c>
      <c r="K45" t="s">
        <v>78</v>
      </c>
      <c r="L45" t="s">
        <v>79</v>
      </c>
      <c r="M45" t="s">
        <v>80</v>
      </c>
      <c r="O45" t="s">
        <v>81</v>
      </c>
      <c r="Q45" t="s">
        <v>25</v>
      </c>
    </row>
    <row r="46" spans="1:17">
      <c r="A46" t="s">
        <v>247</v>
      </c>
      <c r="C46" s="119">
        <v>44013</v>
      </c>
      <c r="D46" s="119">
        <v>44013</v>
      </c>
      <c r="E46" t="s">
        <v>248</v>
      </c>
      <c r="F46" t="s">
        <v>16</v>
      </c>
      <c r="G46" t="s">
        <v>249</v>
      </c>
      <c r="H46" t="s">
        <v>18</v>
      </c>
      <c r="I46" t="s">
        <v>250</v>
      </c>
      <c r="J46" t="s">
        <v>251</v>
      </c>
      <c r="K46" t="s">
        <v>44</v>
      </c>
      <c r="L46" t="s">
        <v>45</v>
      </c>
      <c r="M46" t="s">
        <v>46</v>
      </c>
      <c r="O46" t="s">
        <v>47</v>
      </c>
      <c r="Q46" t="s">
        <v>25</v>
      </c>
    </row>
    <row r="47" spans="1:17">
      <c r="A47" t="s">
        <v>252</v>
      </c>
      <c r="C47" s="119">
        <v>40360</v>
      </c>
      <c r="D47" s="119">
        <v>44013</v>
      </c>
      <c r="E47" t="s">
        <v>253</v>
      </c>
      <c r="F47" t="s">
        <v>16</v>
      </c>
      <c r="G47" t="s">
        <v>254</v>
      </c>
      <c r="H47" t="s">
        <v>18</v>
      </c>
      <c r="I47" t="s">
        <v>255</v>
      </c>
      <c r="J47" t="s">
        <v>256</v>
      </c>
      <c r="K47" t="s">
        <v>257</v>
      </c>
      <c r="L47" t="s">
        <v>258</v>
      </c>
      <c r="M47" t="s">
        <v>23</v>
      </c>
      <c r="N47" t="s">
        <v>259</v>
      </c>
      <c r="O47" t="s">
        <v>260</v>
      </c>
      <c r="Q47" t="s">
        <v>25</v>
      </c>
    </row>
    <row r="48" spans="1:17">
      <c r="A48" t="s">
        <v>261</v>
      </c>
      <c r="C48" s="119">
        <v>43101</v>
      </c>
      <c r="D48" s="119">
        <v>44013</v>
      </c>
      <c r="E48" t="s">
        <v>262</v>
      </c>
      <c r="F48" t="s">
        <v>123</v>
      </c>
      <c r="G48" t="s">
        <v>263</v>
      </c>
      <c r="H48" t="s">
        <v>18</v>
      </c>
      <c r="I48" t="s">
        <v>264</v>
      </c>
      <c r="J48" t="s">
        <v>265</v>
      </c>
      <c r="K48" t="s">
        <v>266</v>
      </c>
      <c r="L48" t="s">
        <v>267</v>
      </c>
      <c r="M48" t="s">
        <v>268</v>
      </c>
      <c r="O48" t="s">
        <v>269</v>
      </c>
      <c r="Q48" t="s">
        <v>25</v>
      </c>
    </row>
    <row r="49" spans="1:17">
      <c r="A49" t="s">
        <v>270</v>
      </c>
      <c r="C49" s="119">
        <v>44013</v>
      </c>
      <c r="D49" s="119">
        <v>44013</v>
      </c>
      <c r="E49" t="s">
        <v>165</v>
      </c>
      <c r="F49" t="s">
        <v>16</v>
      </c>
      <c r="G49" t="s">
        <v>271</v>
      </c>
      <c r="H49" t="s">
        <v>18</v>
      </c>
      <c r="I49" t="s">
        <v>272</v>
      </c>
      <c r="J49" t="s">
        <v>273</v>
      </c>
      <c r="K49" t="s">
        <v>78</v>
      </c>
      <c r="L49" t="s">
        <v>79</v>
      </c>
      <c r="M49" t="s">
        <v>80</v>
      </c>
      <c r="O49" t="s">
        <v>81</v>
      </c>
      <c r="Q49" t="s">
        <v>25</v>
      </c>
    </row>
    <row r="50" spans="1:17">
      <c r="A50" t="s">
        <v>274</v>
      </c>
      <c r="C50" s="119">
        <v>44013</v>
      </c>
      <c r="D50" s="119">
        <v>44013</v>
      </c>
      <c r="E50" t="s">
        <v>248</v>
      </c>
      <c r="F50" t="s">
        <v>16</v>
      </c>
      <c r="G50" t="s">
        <v>275</v>
      </c>
      <c r="H50" t="s">
        <v>18</v>
      </c>
      <c r="I50" s="120" t="s">
        <v>276</v>
      </c>
      <c r="J50" t="s">
        <v>277</v>
      </c>
      <c r="K50" t="s">
        <v>44</v>
      </c>
      <c r="L50" t="s">
        <v>45</v>
      </c>
      <c r="M50" t="s">
        <v>46</v>
      </c>
      <c r="O50" t="s">
        <v>47</v>
      </c>
      <c r="Q50" t="s">
        <v>25</v>
      </c>
    </row>
    <row r="51" spans="1:17">
      <c r="A51" t="s">
        <v>278</v>
      </c>
      <c r="C51" s="119">
        <v>44013</v>
      </c>
      <c r="D51" s="119">
        <v>44013</v>
      </c>
      <c r="E51" t="s">
        <v>279</v>
      </c>
      <c r="F51" t="s">
        <v>280</v>
      </c>
      <c r="G51" t="s">
        <v>281</v>
      </c>
      <c r="H51" t="s">
        <v>18</v>
      </c>
      <c r="I51" s="120" t="s">
        <v>282</v>
      </c>
      <c r="J51" t="s">
        <v>283</v>
      </c>
      <c r="K51" t="s">
        <v>284</v>
      </c>
      <c r="L51" t="s">
        <v>285</v>
      </c>
      <c r="M51" t="s">
        <v>268</v>
      </c>
      <c r="O51" t="s">
        <v>286</v>
      </c>
      <c r="Q51" t="s">
        <v>177</v>
      </c>
    </row>
    <row r="52" spans="1:17">
      <c r="A52" t="s">
        <v>287</v>
      </c>
      <c r="C52" s="119">
        <v>44013</v>
      </c>
      <c r="D52" s="119">
        <v>44013</v>
      </c>
      <c r="E52" t="s">
        <v>288</v>
      </c>
      <c r="F52" t="s">
        <v>280</v>
      </c>
      <c r="G52" t="s">
        <v>281</v>
      </c>
      <c r="H52" t="s">
        <v>18</v>
      </c>
      <c r="I52" s="120" t="s">
        <v>289</v>
      </c>
      <c r="J52" t="s">
        <v>290</v>
      </c>
      <c r="K52" t="s">
        <v>291</v>
      </c>
      <c r="L52" t="s">
        <v>292</v>
      </c>
      <c r="M52" t="s">
        <v>268</v>
      </c>
      <c r="O52" t="s">
        <v>293</v>
      </c>
      <c r="Q52" t="s">
        <v>177</v>
      </c>
    </row>
    <row r="53" spans="1:17">
      <c r="A53" t="s">
        <v>294</v>
      </c>
      <c r="C53" s="119">
        <v>37866</v>
      </c>
      <c r="D53" s="119">
        <v>44044</v>
      </c>
      <c r="E53" t="s">
        <v>295</v>
      </c>
      <c r="F53" t="s">
        <v>296</v>
      </c>
      <c r="G53" t="s">
        <v>297</v>
      </c>
      <c r="H53" t="s">
        <v>18</v>
      </c>
      <c r="I53" t="s">
        <v>298</v>
      </c>
      <c r="J53" t="s">
        <v>299</v>
      </c>
      <c r="K53" t="s">
        <v>300</v>
      </c>
      <c r="L53" t="s">
        <v>301</v>
      </c>
      <c r="M53" t="s">
        <v>302</v>
      </c>
      <c r="N53" t="s">
        <v>303</v>
      </c>
      <c r="O53" t="s">
        <v>304</v>
      </c>
      <c r="Q53" t="s">
        <v>25</v>
      </c>
    </row>
  </sheetData>
  <mergeCells count="2">
    <mergeCell ref="G1:J1"/>
    <mergeCell ref="K1:O1"/>
  </mergeCells>
  <hyperlinks>
    <hyperlink ref="I4" r:id="rId1" xr:uid="{01E850F8-FBF6-4528-82AC-27316905DF31}"/>
    <hyperlink ref="I15" r:id="rId2" xr:uid="{E3132BAF-3CFE-4E8E-85AB-370D20D7D7A8}"/>
    <hyperlink ref="I40" r:id="rId3" xr:uid="{9008F157-4C23-49BF-8F44-0EDFD3EA0AE7}"/>
    <hyperlink ref="I42" r:id="rId4" xr:uid="{B9B1A860-D9B4-42D3-B581-BDDC8B927167}"/>
    <hyperlink ref="N4" r:id="rId5" xr:uid="{E4CBD8D7-EF94-46AD-88D6-7D760C183016}"/>
    <hyperlink ref="N26" r:id="rId6" xr:uid="{71A142E9-755F-4778-B956-DC73FC80E9AC}"/>
    <hyperlink ref="N16" r:id="rId7" xr:uid="{A2FAF99D-23A6-4D74-A383-6720F5926C3C}"/>
    <hyperlink ref="I50" r:id="rId8" xr:uid="{C2E44B61-12A8-4AF9-BA46-06C4C7FC1AB0}"/>
    <hyperlink ref="I51" r:id="rId9" xr:uid="{198277AB-DAB3-41E0-9FB3-DAE322E8D482}"/>
    <hyperlink ref="I52" r:id="rId10" xr:uid="{D3503837-8DAE-4734-8760-C8C1801EB259}"/>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BW119"/>
  <sheetViews>
    <sheetView showGridLines="0" topLeftCell="A7" zoomScale="90" zoomScaleNormal="90" zoomScalePageLayoutView="90" workbookViewId="0">
      <pane ySplit="2" topLeftCell="A9" activePane="bottomLeft" state="frozen"/>
      <selection pane="bottomLeft" activeCell="B7" sqref="B7:J7"/>
      <selection activeCell="A8" sqref="A8"/>
    </sheetView>
  </sheetViews>
  <sheetFormatPr defaultColWidth="8.85546875" defaultRowHeight="13.15"/>
  <cols>
    <col min="1" max="1" width="3.42578125" style="8" customWidth="1"/>
    <col min="2" max="2" width="7.140625" style="11" customWidth="1"/>
    <col min="3" max="3" width="9.28515625" style="11" customWidth="1"/>
    <col min="4" max="4" width="8.85546875" style="11" customWidth="1"/>
    <col min="5" max="5" width="48.42578125" style="11" customWidth="1"/>
    <col min="6" max="6" width="17.42578125" style="11" customWidth="1"/>
    <col min="7" max="7" width="16.42578125" style="11" customWidth="1"/>
    <col min="8" max="8" width="16.28515625" style="11" customWidth="1"/>
    <col min="9" max="9" width="16.28515625" style="11" hidden="1" customWidth="1"/>
    <col min="10" max="10" width="16.42578125" style="11" hidden="1" customWidth="1"/>
    <col min="11" max="12" width="10.42578125" style="11" hidden="1" customWidth="1"/>
    <col min="13" max="16" width="14.7109375" style="11" customWidth="1"/>
    <col min="17" max="19" width="16.140625" style="11" customWidth="1"/>
    <col min="20" max="42" width="9.28515625" style="11" customWidth="1"/>
    <col min="43" max="43" width="8.85546875" style="11" customWidth="1"/>
    <col min="44" max="44" width="12.42578125" style="8" customWidth="1"/>
    <col min="45" max="45" width="8.85546875" style="49"/>
    <col min="46" max="46" width="14" style="8" customWidth="1"/>
    <col min="47" max="75" width="8.85546875" style="8"/>
    <col min="76" max="16384" width="8.85546875" style="11"/>
  </cols>
  <sheetData>
    <row r="1" spans="1:75" s="2" customFormat="1" ht="17.45">
      <c r="A1" s="1" t="s">
        <v>305</v>
      </c>
      <c r="AS1" s="48"/>
    </row>
    <row r="2" spans="1:75" s="2" customFormat="1" ht="12.75" customHeight="1">
      <c r="A2" s="3" t="s">
        <v>306</v>
      </c>
      <c r="B2" s="4"/>
      <c r="AS2" s="48"/>
    </row>
    <row r="3" spans="1:75" s="2" customFormat="1" ht="12.75" customHeight="1">
      <c r="A3" s="3" t="s">
        <v>307</v>
      </c>
      <c r="B3" s="4"/>
      <c r="AS3" s="48"/>
    </row>
    <row r="4" spans="1:75" s="2" customFormat="1" ht="10.5" customHeight="1">
      <c r="A4" s="34" t="s">
        <v>308</v>
      </c>
      <c r="C4" s="5"/>
      <c r="D4" s="6"/>
      <c r="E4" s="5"/>
      <c r="F4" s="5"/>
      <c r="G4" s="6"/>
      <c r="H4" s="5"/>
      <c r="I4" s="5"/>
      <c r="J4" s="5"/>
      <c r="K4" s="5"/>
      <c r="L4" s="5"/>
      <c r="M4" s="7"/>
      <c r="N4" s="7"/>
      <c r="O4" s="7"/>
      <c r="P4" s="7"/>
      <c r="Q4" s="5"/>
      <c r="R4" s="5"/>
      <c r="S4" s="5"/>
      <c r="T4" s="121"/>
      <c r="AS4" s="48"/>
    </row>
    <row r="5" spans="1:75" s="2" customFormat="1" ht="6" customHeight="1">
      <c r="C5" s="5"/>
      <c r="D5" s="6"/>
      <c r="E5" s="5"/>
      <c r="F5" s="5"/>
      <c r="G5" s="6"/>
      <c r="H5" s="5"/>
      <c r="I5" s="5"/>
      <c r="J5" s="5"/>
      <c r="K5" s="5"/>
      <c r="L5" s="5"/>
      <c r="M5" s="7"/>
      <c r="N5" s="7"/>
      <c r="O5" s="7"/>
      <c r="P5" s="7"/>
      <c r="Q5" s="5"/>
      <c r="R5" s="5"/>
      <c r="S5" s="5"/>
      <c r="T5" s="130"/>
      <c r="U5" s="130"/>
      <c r="V5" s="130"/>
      <c r="W5" s="130"/>
      <c r="X5" s="130"/>
      <c r="Y5" s="130"/>
      <c r="Z5" s="130"/>
      <c r="AA5" s="130"/>
      <c r="AB5" s="130"/>
      <c r="AC5" s="130"/>
      <c r="AD5" s="130"/>
      <c r="AE5" s="130"/>
      <c r="AF5" s="130"/>
      <c r="AG5" s="130"/>
      <c r="AH5" s="130"/>
      <c r="AI5" s="130"/>
      <c r="AJ5" s="130"/>
      <c r="AK5" s="130"/>
      <c r="AL5" s="130"/>
      <c r="AM5" s="130"/>
      <c r="AN5" s="130"/>
      <c r="AO5" s="130"/>
      <c r="AP5" s="121"/>
      <c r="AS5" s="48"/>
    </row>
    <row r="6" spans="1:75" s="8" customFormat="1" ht="13.9" thickBot="1">
      <c r="C6" s="38"/>
      <c r="D6" s="38"/>
      <c r="E6" s="39"/>
      <c r="F6" s="39"/>
      <c r="G6" s="38"/>
      <c r="H6" s="39"/>
      <c r="I6" s="39"/>
      <c r="J6" s="9"/>
      <c r="K6" s="9"/>
      <c r="L6" s="9"/>
      <c r="M6" s="10"/>
      <c r="N6" s="10"/>
      <c r="O6" s="10"/>
      <c r="P6" s="10"/>
      <c r="Q6" s="39"/>
      <c r="R6" s="39"/>
      <c r="S6" s="39"/>
      <c r="T6" s="131"/>
      <c r="U6" s="131"/>
      <c r="V6" s="131"/>
      <c r="W6" s="131"/>
      <c r="X6" s="131"/>
      <c r="Y6" s="131"/>
      <c r="Z6" s="131"/>
      <c r="AA6" s="131"/>
      <c r="AB6" s="131"/>
      <c r="AC6" s="131"/>
      <c r="AD6" s="131"/>
      <c r="AE6" s="131"/>
      <c r="AF6" s="131"/>
      <c r="AG6" s="131"/>
      <c r="AH6" s="131"/>
      <c r="AI6" s="131"/>
      <c r="AJ6" s="131"/>
      <c r="AK6" s="131"/>
      <c r="AL6" s="131"/>
      <c r="AM6" s="131"/>
      <c r="AN6" s="131"/>
      <c r="AO6" s="131"/>
      <c r="AP6" s="122"/>
      <c r="AS6" s="49"/>
    </row>
    <row r="7" spans="1:75" ht="17.100000000000001" customHeight="1">
      <c r="B7" s="132" t="s">
        <v>309</v>
      </c>
      <c r="C7" s="133"/>
      <c r="D7" s="133"/>
      <c r="E7" s="133"/>
      <c r="F7" s="133"/>
      <c r="G7" s="133"/>
      <c r="H7" s="133"/>
      <c r="I7" s="133"/>
      <c r="J7" s="133"/>
      <c r="K7" s="123"/>
      <c r="L7" s="123"/>
      <c r="M7" s="133" t="s">
        <v>310</v>
      </c>
      <c r="N7" s="133"/>
      <c r="O7" s="133"/>
      <c r="P7" s="133"/>
      <c r="Q7" s="133"/>
      <c r="R7" s="133"/>
      <c r="S7" s="133"/>
      <c r="T7" s="129" t="s">
        <v>311</v>
      </c>
      <c r="U7" s="129"/>
      <c r="V7" s="129"/>
      <c r="W7" s="129"/>
      <c r="X7" s="129"/>
      <c r="Y7" s="129"/>
      <c r="Z7" s="129"/>
      <c r="AA7" s="129"/>
      <c r="AB7" s="129" t="s">
        <v>312</v>
      </c>
      <c r="AC7" s="129"/>
      <c r="AD7" s="129"/>
      <c r="AE7" s="129"/>
      <c r="AF7" s="129"/>
      <c r="AG7" s="129"/>
      <c r="AH7" s="129"/>
      <c r="AI7" s="129"/>
      <c r="AJ7" s="129" t="s">
        <v>313</v>
      </c>
      <c r="AK7" s="129"/>
      <c r="AL7" s="129"/>
      <c r="AM7" s="129"/>
      <c r="AN7" s="129"/>
      <c r="AO7" s="129"/>
      <c r="AP7" s="134"/>
      <c r="AQ7" s="135"/>
      <c r="AR7" s="129" t="s">
        <v>314</v>
      </c>
      <c r="AS7" s="129"/>
      <c r="AT7" s="129"/>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row>
    <row r="8" spans="1:75" ht="66">
      <c r="B8" s="43" t="s">
        <v>7</v>
      </c>
      <c r="C8" s="41" t="s">
        <v>315</v>
      </c>
      <c r="D8" s="41" t="s">
        <v>316</v>
      </c>
      <c r="E8" s="41" t="s">
        <v>317</v>
      </c>
      <c r="F8" s="41" t="s">
        <v>318</v>
      </c>
      <c r="G8" s="41" t="s">
        <v>319</v>
      </c>
      <c r="H8" s="42" t="s">
        <v>320</v>
      </c>
      <c r="I8" s="42" t="s">
        <v>321</v>
      </c>
      <c r="J8" s="42" t="s">
        <v>322</v>
      </c>
      <c r="K8" s="41" t="s">
        <v>323</v>
      </c>
      <c r="L8" s="41" t="s">
        <v>324</v>
      </c>
      <c r="M8" s="41" t="s">
        <v>325</v>
      </c>
      <c r="N8" s="41" t="s">
        <v>326</v>
      </c>
      <c r="O8" s="41" t="s">
        <v>327</v>
      </c>
      <c r="P8" s="41" t="s">
        <v>328</v>
      </c>
      <c r="Q8" s="41" t="s">
        <v>329</v>
      </c>
      <c r="R8" s="41" t="s">
        <v>330</v>
      </c>
      <c r="S8" s="41" t="s">
        <v>331</v>
      </c>
      <c r="T8" s="42" t="s">
        <v>332</v>
      </c>
      <c r="U8" s="42" t="s">
        <v>333</v>
      </c>
      <c r="V8" s="42" t="s">
        <v>334</v>
      </c>
      <c r="W8" s="42" t="s">
        <v>335</v>
      </c>
      <c r="X8" s="42" t="s">
        <v>336</v>
      </c>
      <c r="Y8" s="42" t="s">
        <v>337</v>
      </c>
      <c r="Z8" s="42" t="s">
        <v>338</v>
      </c>
      <c r="AA8" s="42" t="s">
        <v>339</v>
      </c>
      <c r="AB8" s="42" t="s">
        <v>332</v>
      </c>
      <c r="AC8" s="42" t="s">
        <v>333</v>
      </c>
      <c r="AD8" s="42" t="s">
        <v>334</v>
      </c>
      <c r="AE8" s="42" t="s">
        <v>335</v>
      </c>
      <c r="AF8" s="42" t="s">
        <v>336</v>
      </c>
      <c r="AG8" s="42" t="s">
        <v>337</v>
      </c>
      <c r="AH8" s="42" t="s">
        <v>338</v>
      </c>
      <c r="AI8" s="42" t="s">
        <v>339</v>
      </c>
      <c r="AJ8" s="42" t="s">
        <v>332</v>
      </c>
      <c r="AK8" s="42" t="s">
        <v>333</v>
      </c>
      <c r="AL8" s="42" t="s">
        <v>334</v>
      </c>
      <c r="AM8" s="42" t="s">
        <v>335</v>
      </c>
      <c r="AN8" s="42" t="s">
        <v>336</v>
      </c>
      <c r="AO8" s="42" t="s">
        <v>337</v>
      </c>
      <c r="AP8" s="51" t="s">
        <v>338</v>
      </c>
      <c r="AQ8" s="51" t="s">
        <v>339</v>
      </c>
      <c r="AR8" s="41" t="s">
        <v>340</v>
      </c>
      <c r="AS8" s="50" t="s">
        <v>341</v>
      </c>
      <c r="AT8" s="50" t="s">
        <v>342</v>
      </c>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row>
    <row r="9" spans="1:75">
      <c r="B9" s="44" t="s">
        <v>16</v>
      </c>
      <c r="C9" s="40"/>
      <c r="D9" s="40" t="s">
        <v>343</v>
      </c>
      <c r="E9" s="12" t="s">
        <v>14</v>
      </c>
      <c r="F9" s="12" t="s">
        <v>344</v>
      </c>
      <c r="G9" s="12" t="s">
        <v>345</v>
      </c>
      <c r="H9" s="12" t="s">
        <v>346</v>
      </c>
      <c r="I9" s="16"/>
      <c r="J9" s="16"/>
      <c r="K9" s="13"/>
      <c r="L9" s="13"/>
      <c r="M9" s="14">
        <v>285</v>
      </c>
      <c r="N9" s="14">
        <v>285</v>
      </c>
      <c r="O9" s="14">
        <v>0</v>
      </c>
      <c r="P9" s="14">
        <v>44</v>
      </c>
      <c r="Q9" s="14">
        <v>246</v>
      </c>
      <c r="R9" s="14" t="s">
        <v>347</v>
      </c>
      <c r="S9" s="14">
        <v>0</v>
      </c>
      <c r="T9" s="15"/>
      <c r="U9" s="16"/>
      <c r="V9" s="16"/>
      <c r="W9" s="16"/>
      <c r="X9" s="16"/>
      <c r="Y9" s="16"/>
      <c r="Z9" s="16"/>
      <c r="AA9" s="16"/>
      <c r="AB9" s="15">
        <f>IF(SUM(AC9:AI9)&gt;M9,"ERROR",(SUM(AC9:AI9)))</f>
        <v>0</v>
      </c>
      <c r="AC9" s="16"/>
      <c r="AD9" s="16"/>
      <c r="AE9" s="16"/>
      <c r="AF9" s="16"/>
      <c r="AG9" s="16"/>
      <c r="AH9" s="16"/>
      <c r="AI9" s="16"/>
      <c r="AJ9" s="15">
        <f>IF(SUM(AK9:AQ9)&gt;M9,"ERROR",(SUM(AK9:AQ9)))</f>
        <v>0</v>
      </c>
      <c r="AK9" s="16"/>
      <c r="AL9" s="16"/>
      <c r="AM9" s="16"/>
      <c r="AN9" s="16"/>
      <c r="AO9" s="16"/>
      <c r="AP9" s="117"/>
      <c r="AQ9" s="52"/>
      <c r="AR9" s="53" t="s">
        <v>348</v>
      </c>
      <c r="AS9" s="53" t="s">
        <v>348</v>
      </c>
      <c r="AT9" s="53" t="s">
        <v>348</v>
      </c>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row>
    <row r="10" spans="1:75">
      <c r="B10" s="44" t="s">
        <v>16</v>
      </c>
      <c r="C10" s="40"/>
      <c r="D10" s="40" t="s">
        <v>343</v>
      </c>
      <c r="E10" s="12" t="s">
        <v>14</v>
      </c>
      <c r="F10" s="12" t="s">
        <v>344</v>
      </c>
      <c r="G10" s="12" t="s">
        <v>345</v>
      </c>
      <c r="H10" s="12" t="s">
        <v>349</v>
      </c>
      <c r="I10" s="16"/>
      <c r="J10" s="16"/>
      <c r="K10" s="16"/>
      <c r="L10" s="16"/>
      <c r="M10" s="16">
        <v>224</v>
      </c>
      <c r="N10" s="16">
        <v>224</v>
      </c>
      <c r="O10" s="16" t="s">
        <v>347</v>
      </c>
      <c r="P10" s="16">
        <v>35</v>
      </c>
      <c r="Q10" s="16">
        <v>191</v>
      </c>
      <c r="R10" s="16" t="s">
        <v>347</v>
      </c>
      <c r="S10" s="16">
        <v>0</v>
      </c>
      <c r="T10" s="15"/>
      <c r="U10" s="16"/>
      <c r="V10" s="16"/>
      <c r="W10" s="16"/>
      <c r="X10" s="16"/>
      <c r="Y10" s="16"/>
      <c r="Z10" s="16"/>
      <c r="AA10" s="16"/>
      <c r="AB10" s="15"/>
      <c r="AC10" s="16"/>
      <c r="AD10" s="16"/>
      <c r="AE10" s="16"/>
      <c r="AF10" s="16"/>
      <c r="AG10" s="16"/>
      <c r="AH10" s="16"/>
      <c r="AI10" s="16"/>
      <c r="AJ10" s="15"/>
      <c r="AK10" s="16"/>
      <c r="AL10" s="16"/>
      <c r="AM10" s="16"/>
      <c r="AN10" s="16"/>
      <c r="AO10" s="16"/>
      <c r="AP10" s="117"/>
      <c r="AQ10" s="52"/>
      <c r="AR10" s="53">
        <v>62.006999999999998</v>
      </c>
      <c r="AS10" s="54">
        <v>0</v>
      </c>
      <c r="AT10" s="53" t="s">
        <v>350</v>
      </c>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row>
    <row r="11" spans="1:75">
      <c r="B11" s="44" t="s">
        <v>16</v>
      </c>
      <c r="C11" s="40"/>
      <c r="D11" s="40" t="s">
        <v>343</v>
      </c>
      <c r="E11" s="12" t="s">
        <v>14</v>
      </c>
      <c r="F11" s="12" t="s">
        <v>344</v>
      </c>
      <c r="G11" s="12" t="s">
        <v>345</v>
      </c>
      <c r="H11" s="12" t="s">
        <v>351</v>
      </c>
      <c r="I11" s="16"/>
      <c r="J11" s="16"/>
      <c r="K11" s="16"/>
      <c r="L11" s="16"/>
      <c r="M11" s="16">
        <v>172</v>
      </c>
      <c r="N11" s="16">
        <v>171</v>
      </c>
      <c r="O11" s="16" t="s">
        <v>352</v>
      </c>
      <c r="P11" s="16">
        <v>28</v>
      </c>
      <c r="Q11" s="16">
        <v>152</v>
      </c>
      <c r="R11" s="16" t="s">
        <v>347</v>
      </c>
      <c r="S11" s="16" t="s">
        <v>347</v>
      </c>
      <c r="T11" s="15"/>
      <c r="U11" s="16"/>
      <c r="V11" s="16"/>
      <c r="W11" s="16"/>
      <c r="X11" s="16"/>
      <c r="Y11" s="16"/>
      <c r="Z11" s="16"/>
      <c r="AA11" s="16"/>
      <c r="AB11" s="15"/>
      <c r="AC11" s="16"/>
      <c r="AD11" s="16"/>
      <c r="AE11" s="16"/>
      <c r="AF11" s="16"/>
      <c r="AG11" s="16"/>
      <c r="AH11" s="16"/>
      <c r="AI11" s="16"/>
      <c r="AJ11" s="15"/>
      <c r="AK11" s="16"/>
      <c r="AL11" s="16"/>
      <c r="AM11" s="16"/>
      <c r="AN11" s="16"/>
      <c r="AO11" s="16"/>
      <c r="AP11" s="117"/>
      <c r="AQ11" s="52"/>
      <c r="AR11" s="53">
        <v>56.502000000000002</v>
      </c>
      <c r="AS11" s="54">
        <v>0</v>
      </c>
      <c r="AT11" s="53" t="s">
        <v>353</v>
      </c>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row>
    <row r="12" spans="1:75">
      <c r="B12" s="44" t="s">
        <v>29</v>
      </c>
      <c r="C12" s="40"/>
      <c r="D12" s="40"/>
      <c r="E12" s="12" t="s">
        <v>26</v>
      </c>
      <c r="F12" s="12" t="s">
        <v>354</v>
      </c>
      <c r="G12" s="12" t="s">
        <v>345</v>
      </c>
      <c r="H12" s="12" t="s">
        <v>346</v>
      </c>
      <c r="I12" s="16"/>
      <c r="J12" s="16"/>
      <c r="K12" s="16"/>
      <c r="L12" s="16"/>
      <c r="M12" s="16">
        <v>1435</v>
      </c>
      <c r="N12" s="16">
        <v>184</v>
      </c>
      <c r="O12" s="16">
        <v>41</v>
      </c>
      <c r="P12" s="16">
        <v>78</v>
      </c>
      <c r="Q12" s="16">
        <v>63</v>
      </c>
      <c r="R12" s="16">
        <v>318</v>
      </c>
      <c r="S12" s="16">
        <v>3</v>
      </c>
      <c r="T12" s="15"/>
      <c r="U12" s="16"/>
      <c r="V12" s="16"/>
      <c r="W12" s="16"/>
      <c r="X12" s="16"/>
      <c r="Y12" s="16"/>
      <c r="Z12" s="16"/>
      <c r="AA12" s="16"/>
      <c r="AB12" s="15"/>
      <c r="AC12" s="16"/>
      <c r="AD12" s="16"/>
      <c r="AE12" s="16"/>
      <c r="AF12" s="16"/>
      <c r="AG12" s="16"/>
      <c r="AH12" s="16"/>
      <c r="AI12" s="16"/>
      <c r="AJ12" s="15"/>
      <c r="AK12" s="16"/>
      <c r="AL12" s="16"/>
      <c r="AM12" s="16"/>
      <c r="AN12" s="16"/>
      <c r="AO12" s="16"/>
      <c r="AP12" s="117"/>
      <c r="AQ12" s="52"/>
      <c r="AR12" s="53" t="s">
        <v>348</v>
      </c>
      <c r="AS12" s="54" t="s">
        <v>348</v>
      </c>
      <c r="AT12" s="53" t="s">
        <v>348</v>
      </c>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row>
    <row r="13" spans="1:75">
      <c r="B13" s="44" t="s">
        <v>29</v>
      </c>
      <c r="C13" s="40"/>
      <c r="D13" s="40"/>
      <c r="E13" s="12" t="s">
        <v>26</v>
      </c>
      <c r="F13" s="12" t="s">
        <v>354</v>
      </c>
      <c r="G13" s="12" t="s">
        <v>345</v>
      </c>
      <c r="H13" s="12" t="s">
        <v>349</v>
      </c>
      <c r="I13" s="16"/>
      <c r="J13" s="16"/>
      <c r="K13" s="16"/>
      <c r="L13" s="16"/>
      <c r="M13" s="16">
        <v>1376</v>
      </c>
      <c r="N13" s="16">
        <v>155</v>
      </c>
      <c r="O13" s="16">
        <v>40</v>
      </c>
      <c r="P13" s="16">
        <v>79</v>
      </c>
      <c r="Q13" s="16">
        <v>62</v>
      </c>
      <c r="R13" s="16">
        <v>274</v>
      </c>
      <c r="S13" s="16">
        <v>3</v>
      </c>
      <c r="T13" s="15"/>
      <c r="U13" s="16"/>
      <c r="V13" s="16"/>
      <c r="W13" s="16"/>
      <c r="X13" s="16"/>
      <c r="Y13" s="16"/>
      <c r="Z13" s="16">
        <v>750.5</v>
      </c>
      <c r="AA13" s="115">
        <v>4.8000000000000001E-2</v>
      </c>
      <c r="AB13" s="15"/>
      <c r="AC13" s="16"/>
      <c r="AD13" s="16"/>
      <c r="AE13" s="16"/>
      <c r="AF13" s="16"/>
      <c r="AG13" s="16"/>
      <c r="AH13" s="16">
        <v>738.4</v>
      </c>
      <c r="AI13" s="115">
        <v>0.05</v>
      </c>
      <c r="AJ13" s="15"/>
      <c r="AK13" s="16"/>
      <c r="AL13" s="16"/>
      <c r="AM13" s="16"/>
      <c r="AN13" s="16"/>
      <c r="AO13" s="16"/>
      <c r="AP13" s="117" t="s">
        <v>352</v>
      </c>
      <c r="AQ13" s="52" t="s">
        <v>352</v>
      </c>
      <c r="AR13" s="53" t="s">
        <v>352</v>
      </c>
      <c r="AS13" s="54" t="s">
        <v>352</v>
      </c>
      <c r="AT13" s="53" t="s">
        <v>352</v>
      </c>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row>
    <row r="14" spans="1:75">
      <c r="B14" s="44" t="s">
        <v>29</v>
      </c>
      <c r="C14" s="40"/>
      <c r="D14" s="40"/>
      <c r="E14" s="12" t="s">
        <v>26</v>
      </c>
      <c r="F14" s="12" t="s">
        <v>354</v>
      </c>
      <c r="G14" s="12" t="s">
        <v>345</v>
      </c>
      <c r="H14" s="12" t="s">
        <v>351</v>
      </c>
      <c r="I14" s="16"/>
      <c r="J14" s="16"/>
      <c r="K14" s="16"/>
      <c r="L14" s="16"/>
      <c r="M14" s="16">
        <v>1248</v>
      </c>
      <c r="N14" s="16">
        <v>47</v>
      </c>
      <c r="O14" s="16">
        <v>34</v>
      </c>
      <c r="P14" s="16">
        <v>41</v>
      </c>
      <c r="Q14" s="16">
        <v>61</v>
      </c>
      <c r="R14" s="16">
        <v>242</v>
      </c>
      <c r="S14" s="16">
        <v>0</v>
      </c>
      <c r="T14" s="15"/>
      <c r="U14" s="16"/>
      <c r="V14" s="16"/>
      <c r="W14" s="16"/>
      <c r="X14" s="16"/>
      <c r="Y14" s="16"/>
      <c r="Z14" s="16">
        <v>749.4</v>
      </c>
      <c r="AA14" s="115">
        <v>4.7E-2</v>
      </c>
      <c r="AB14" s="15"/>
      <c r="AC14" s="16"/>
      <c r="AD14" s="16"/>
      <c r="AE14" s="16"/>
      <c r="AF14" s="16"/>
      <c r="AG14" s="16"/>
      <c r="AH14" s="116">
        <v>738</v>
      </c>
      <c r="AI14" s="115">
        <v>4.7E-2</v>
      </c>
      <c r="AJ14" s="15"/>
      <c r="AK14" s="16"/>
      <c r="AL14" s="16"/>
      <c r="AM14" s="16"/>
      <c r="AN14" s="16"/>
      <c r="AO14" s="16"/>
      <c r="AP14" s="117" t="s">
        <v>352</v>
      </c>
      <c r="AQ14" s="52" t="s">
        <v>352</v>
      </c>
      <c r="AR14" s="53" t="s">
        <v>352</v>
      </c>
      <c r="AS14" s="54" t="s">
        <v>352</v>
      </c>
      <c r="AT14" s="53" t="s">
        <v>352</v>
      </c>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row>
    <row r="15" spans="1:75">
      <c r="B15" s="44" t="s">
        <v>16</v>
      </c>
      <c r="C15" s="40"/>
      <c r="D15" s="40" t="s">
        <v>355</v>
      </c>
      <c r="E15" s="17" t="s">
        <v>38</v>
      </c>
      <c r="F15" s="12" t="s">
        <v>344</v>
      </c>
      <c r="G15" s="12" t="s">
        <v>345</v>
      </c>
      <c r="H15" s="12" t="s">
        <v>346</v>
      </c>
      <c r="I15" s="16"/>
      <c r="J15" s="16"/>
      <c r="K15" s="16"/>
      <c r="L15" s="16"/>
      <c r="M15" s="16">
        <v>190</v>
      </c>
      <c r="N15" s="16">
        <v>190</v>
      </c>
      <c r="O15" s="16" t="s">
        <v>347</v>
      </c>
      <c r="P15" s="16">
        <v>39</v>
      </c>
      <c r="Q15" s="16">
        <v>168</v>
      </c>
      <c r="R15" s="16">
        <v>13</v>
      </c>
      <c r="S15" s="16" t="s">
        <v>347</v>
      </c>
      <c r="T15" s="15"/>
      <c r="U15" s="16"/>
      <c r="V15" s="16"/>
      <c r="W15" s="16"/>
      <c r="X15" s="16"/>
      <c r="Y15" s="16"/>
      <c r="Z15" s="16"/>
      <c r="AA15" s="16"/>
      <c r="AB15" s="15"/>
      <c r="AC15" s="16"/>
      <c r="AD15" s="16"/>
      <c r="AE15" s="16"/>
      <c r="AF15" s="16"/>
      <c r="AG15" s="16"/>
      <c r="AH15" s="16"/>
      <c r="AI15" s="16"/>
      <c r="AJ15" s="15"/>
      <c r="AK15" s="16"/>
      <c r="AL15" s="16"/>
      <c r="AM15" s="16"/>
      <c r="AN15" s="16"/>
      <c r="AO15" s="16"/>
      <c r="AP15" s="117"/>
      <c r="AQ15" s="52"/>
      <c r="AR15" s="53" t="s">
        <v>348</v>
      </c>
      <c r="AS15" s="53" t="s">
        <v>348</v>
      </c>
      <c r="AT15" s="53" t="s">
        <v>348</v>
      </c>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row>
    <row r="16" spans="1:75">
      <c r="B16" s="44" t="s">
        <v>16</v>
      </c>
      <c r="C16" s="40"/>
      <c r="D16" s="40" t="s">
        <v>355</v>
      </c>
      <c r="E16" s="17" t="s">
        <v>38</v>
      </c>
      <c r="F16" s="12" t="s">
        <v>344</v>
      </c>
      <c r="G16" s="12" t="s">
        <v>345</v>
      </c>
      <c r="H16" s="12" t="s">
        <v>349</v>
      </c>
      <c r="I16" s="16"/>
      <c r="J16" s="16"/>
      <c r="K16" s="16"/>
      <c r="L16" s="16"/>
      <c r="M16" s="16">
        <v>176</v>
      </c>
      <c r="N16" s="16">
        <v>176</v>
      </c>
      <c r="O16" s="16" t="s">
        <v>347</v>
      </c>
      <c r="P16" s="16">
        <v>16</v>
      </c>
      <c r="Q16" s="16">
        <v>156</v>
      </c>
      <c r="R16" s="16">
        <v>14</v>
      </c>
      <c r="S16" s="16" t="s">
        <v>347</v>
      </c>
      <c r="T16" s="15"/>
      <c r="U16" s="16"/>
      <c r="V16" s="16"/>
      <c r="W16" s="16"/>
      <c r="X16" s="16"/>
      <c r="Y16" s="16"/>
      <c r="Z16" s="16"/>
      <c r="AA16" s="16"/>
      <c r="AB16" s="15"/>
      <c r="AC16" s="16"/>
      <c r="AD16" s="16"/>
      <c r="AE16" s="16"/>
      <c r="AF16" s="16"/>
      <c r="AG16" s="16"/>
      <c r="AH16" s="16"/>
      <c r="AI16" s="16"/>
      <c r="AJ16" s="15"/>
      <c r="AK16" s="16"/>
      <c r="AL16" s="16"/>
      <c r="AM16" s="16"/>
      <c r="AN16" s="16"/>
      <c r="AO16" s="16"/>
      <c r="AP16" s="117"/>
      <c r="AQ16" s="52"/>
      <c r="AR16" s="53">
        <v>75.328999999999994</v>
      </c>
      <c r="AS16" s="54">
        <v>0</v>
      </c>
      <c r="AT16" s="53" t="s">
        <v>350</v>
      </c>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row>
    <row r="17" spans="2:75">
      <c r="B17" s="44" t="s">
        <v>16</v>
      </c>
      <c r="C17" s="40"/>
      <c r="D17" s="40" t="s">
        <v>355</v>
      </c>
      <c r="E17" s="17" t="s">
        <v>38</v>
      </c>
      <c r="F17" s="12" t="s">
        <v>344</v>
      </c>
      <c r="G17" s="12" t="s">
        <v>345</v>
      </c>
      <c r="H17" s="12" t="s">
        <v>351</v>
      </c>
      <c r="I17" s="16"/>
      <c r="J17" s="16"/>
      <c r="K17" s="16"/>
      <c r="L17" s="16"/>
      <c r="M17" s="16">
        <v>120</v>
      </c>
      <c r="N17" s="16">
        <v>119</v>
      </c>
      <c r="O17" s="16" t="s">
        <v>352</v>
      </c>
      <c r="P17" s="16" t="s">
        <v>347</v>
      </c>
      <c r="Q17" s="16">
        <v>102</v>
      </c>
      <c r="R17" s="16" t="s">
        <v>347</v>
      </c>
      <c r="S17" s="16" t="s">
        <v>347</v>
      </c>
      <c r="T17" s="15"/>
      <c r="U17" s="16"/>
      <c r="V17" s="16"/>
      <c r="W17" s="16"/>
      <c r="X17" s="16"/>
      <c r="Y17" s="16"/>
      <c r="Z17" s="16"/>
      <c r="AA17" s="16"/>
      <c r="AB17" s="15"/>
      <c r="AC17" s="16"/>
      <c r="AD17" s="16"/>
      <c r="AE17" s="16"/>
      <c r="AF17" s="16"/>
      <c r="AG17" s="16"/>
      <c r="AH17" s="16"/>
      <c r="AI17" s="16"/>
      <c r="AJ17" s="15"/>
      <c r="AK17" s="16"/>
      <c r="AL17" s="16"/>
      <c r="AM17" s="16"/>
      <c r="AN17" s="16"/>
      <c r="AO17" s="16"/>
      <c r="AP17" s="117"/>
      <c r="AQ17" s="52"/>
      <c r="AR17" s="53">
        <v>61.875999999999998</v>
      </c>
      <c r="AS17" s="54">
        <v>0</v>
      </c>
      <c r="AT17" s="53" t="s">
        <v>350</v>
      </c>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row>
    <row r="18" spans="2:75">
      <c r="B18" s="44" t="s">
        <v>16</v>
      </c>
      <c r="C18" s="40"/>
      <c r="D18" s="40" t="s">
        <v>356</v>
      </c>
      <c r="E18" s="12" t="s">
        <v>48</v>
      </c>
      <c r="F18" s="12" t="s">
        <v>344</v>
      </c>
      <c r="G18" s="17" t="s">
        <v>345</v>
      </c>
      <c r="H18" s="12" t="s">
        <v>346</v>
      </c>
      <c r="I18" s="16"/>
      <c r="J18" s="16"/>
      <c r="K18" s="16"/>
      <c r="L18" s="16"/>
      <c r="M18" s="16">
        <v>343</v>
      </c>
      <c r="N18" s="16">
        <v>343</v>
      </c>
      <c r="O18" s="16" t="s">
        <v>347</v>
      </c>
      <c r="P18" s="16">
        <v>53</v>
      </c>
      <c r="Q18" s="16">
        <v>233</v>
      </c>
      <c r="R18" s="16">
        <v>15</v>
      </c>
      <c r="S18" s="16">
        <v>0</v>
      </c>
      <c r="T18" s="15"/>
      <c r="U18" s="16"/>
      <c r="V18" s="16"/>
      <c r="W18" s="16"/>
      <c r="X18" s="16"/>
      <c r="Y18" s="16"/>
      <c r="Z18" s="16"/>
      <c r="AA18" s="16"/>
      <c r="AB18" s="15"/>
      <c r="AC18" s="16"/>
      <c r="AD18" s="16"/>
      <c r="AE18" s="16"/>
      <c r="AF18" s="16"/>
      <c r="AG18" s="16"/>
      <c r="AH18" s="16"/>
      <c r="AI18" s="16"/>
      <c r="AJ18" s="15">
        <f>IF(SUM(AK18:AQ18)&gt;M18,"ERROR",(SUM(AK18:AQ18)))</f>
        <v>0</v>
      </c>
      <c r="AK18" s="16"/>
      <c r="AL18" s="16"/>
      <c r="AM18" s="16"/>
      <c r="AN18" s="16"/>
      <c r="AO18" s="16"/>
      <c r="AP18" s="117"/>
      <c r="AQ18" s="52"/>
      <c r="AR18" s="53" t="s">
        <v>348</v>
      </c>
      <c r="AS18" s="53" t="s">
        <v>348</v>
      </c>
      <c r="AT18" s="53" t="s">
        <v>348</v>
      </c>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row>
    <row r="19" spans="2:75">
      <c r="B19" s="44" t="s">
        <v>16</v>
      </c>
      <c r="C19" s="40"/>
      <c r="D19" s="40" t="s">
        <v>356</v>
      </c>
      <c r="E19" s="12" t="s">
        <v>48</v>
      </c>
      <c r="F19" s="12" t="s">
        <v>344</v>
      </c>
      <c r="G19" s="17" t="s">
        <v>345</v>
      </c>
      <c r="H19" s="12" t="s">
        <v>349</v>
      </c>
      <c r="I19" s="16"/>
      <c r="J19" s="16"/>
      <c r="K19" s="16"/>
      <c r="L19" s="16"/>
      <c r="M19" s="16">
        <v>259</v>
      </c>
      <c r="N19" s="16">
        <v>266</v>
      </c>
      <c r="O19" s="16">
        <v>0</v>
      </c>
      <c r="P19" s="16">
        <v>40</v>
      </c>
      <c r="Q19" s="16">
        <v>180</v>
      </c>
      <c r="R19" s="16" t="s">
        <v>347</v>
      </c>
      <c r="S19" s="16">
        <v>0</v>
      </c>
      <c r="T19" s="15"/>
      <c r="U19" s="16"/>
      <c r="V19" s="16"/>
      <c r="W19" s="16"/>
      <c r="X19" s="16"/>
      <c r="Y19" s="16"/>
      <c r="Z19" s="16"/>
      <c r="AA19" s="16"/>
      <c r="AB19" s="15"/>
      <c r="AC19" s="16"/>
      <c r="AD19" s="16"/>
      <c r="AE19" s="16"/>
      <c r="AF19" s="16"/>
      <c r="AG19" s="16"/>
      <c r="AH19" s="16"/>
      <c r="AI19" s="16"/>
      <c r="AJ19" s="15"/>
      <c r="AK19" s="16"/>
      <c r="AL19" s="16"/>
      <c r="AM19" s="16"/>
      <c r="AN19" s="16"/>
      <c r="AO19" s="16"/>
      <c r="AP19" s="117"/>
      <c r="AQ19" s="52"/>
      <c r="AR19" s="53">
        <v>64.167000000000002</v>
      </c>
      <c r="AS19" s="54">
        <v>0</v>
      </c>
      <c r="AT19" s="53" t="s">
        <v>350</v>
      </c>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row>
    <row r="20" spans="2:75">
      <c r="B20" s="44" t="s">
        <v>16</v>
      </c>
      <c r="C20" s="40"/>
      <c r="D20" s="40" t="s">
        <v>356</v>
      </c>
      <c r="E20" s="12" t="s">
        <v>48</v>
      </c>
      <c r="F20" s="12" t="s">
        <v>344</v>
      </c>
      <c r="G20" s="17" t="s">
        <v>345</v>
      </c>
      <c r="H20" s="12" t="s">
        <v>351</v>
      </c>
      <c r="I20" s="16"/>
      <c r="J20" s="16"/>
      <c r="K20" s="16"/>
      <c r="L20" s="16"/>
      <c r="M20" s="16">
        <v>181</v>
      </c>
      <c r="N20" s="16">
        <v>185</v>
      </c>
      <c r="O20" s="16" t="s">
        <v>352</v>
      </c>
      <c r="P20" s="16">
        <v>31</v>
      </c>
      <c r="Q20" s="16">
        <v>137</v>
      </c>
      <c r="R20" s="16" t="s">
        <v>347</v>
      </c>
      <c r="S20" s="16">
        <v>0</v>
      </c>
      <c r="T20" s="15"/>
      <c r="U20" s="16"/>
      <c r="V20" s="16"/>
      <c r="W20" s="16"/>
      <c r="X20" s="16"/>
      <c r="Y20" s="16"/>
      <c r="Z20" s="16"/>
      <c r="AA20" s="16"/>
      <c r="AB20" s="15"/>
      <c r="AC20" s="16"/>
      <c r="AD20" s="16"/>
      <c r="AE20" s="16"/>
      <c r="AF20" s="16"/>
      <c r="AG20" s="16"/>
      <c r="AH20" s="16"/>
      <c r="AI20" s="16"/>
      <c r="AJ20" s="15"/>
      <c r="AK20" s="16"/>
      <c r="AL20" s="16"/>
      <c r="AM20" s="16"/>
      <c r="AN20" s="16"/>
      <c r="AO20" s="16"/>
      <c r="AP20" s="117"/>
      <c r="AQ20" s="52"/>
      <c r="AR20" s="53">
        <v>64.069000000000003</v>
      </c>
      <c r="AS20" s="54">
        <v>0</v>
      </c>
      <c r="AT20" s="53" t="s">
        <v>350</v>
      </c>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row>
    <row r="21" spans="2:75">
      <c r="B21" s="44" t="s">
        <v>16</v>
      </c>
      <c r="C21" s="40"/>
      <c r="D21" s="40" t="s">
        <v>357</v>
      </c>
      <c r="E21" s="12" t="s">
        <v>53</v>
      </c>
      <c r="F21" s="17" t="s">
        <v>344</v>
      </c>
      <c r="G21" s="17" t="s">
        <v>345</v>
      </c>
      <c r="H21" s="12" t="s">
        <v>346</v>
      </c>
      <c r="I21" s="16"/>
      <c r="J21" s="16"/>
      <c r="K21" s="16"/>
      <c r="L21" s="16"/>
      <c r="M21" s="16">
        <v>140</v>
      </c>
      <c r="N21" s="16">
        <v>95</v>
      </c>
      <c r="O21" s="16">
        <v>0</v>
      </c>
      <c r="P21" s="16">
        <v>22</v>
      </c>
      <c r="Q21" s="16">
        <v>112</v>
      </c>
      <c r="R21" s="16">
        <v>11</v>
      </c>
      <c r="S21" s="16">
        <v>0</v>
      </c>
      <c r="T21" s="15"/>
      <c r="U21" s="16"/>
      <c r="V21" s="16"/>
      <c r="W21" s="16"/>
      <c r="X21" s="16"/>
      <c r="Y21" s="16"/>
      <c r="Z21" s="16"/>
      <c r="AA21" s="16"/>
      <c r="AB21" s="15"/>
      <c r="AC21" s="16"/>
      <c r="AD21" s="16"/>
      <c r="AE21" s="16"/>
      <c r="AF21" s="16"/>
      <c r="AG21" s="16"/>
      <c r="AH21" s="16"/>
      <c r="AI21" s="16"/>
      <c r="AJ21" s="15">
        <f>IF(SUM(AK21:AQ21)&gt;M21,"ERROR",(SUM(AK21:AQ21)))</f>
        <v>0</v>
      </c>
      <c r="AK21" s="16"/>
      <c r="AL21" s="16"/>
      <c r="AM21" s="16"/>
      <c r="AN21" s="16"/>
      <c r="AO21" s="16"/>
      <c r="AP21" s="117"/>
      <c r="AQ21" s="52"/>
      <c r="AR21" s="53" t="s">
        <v>348</v>
      </c>
      <c r="AS21" s="53" t="s">
        <v>348</v>
      </c>
      <c r="AT21" s="53" t="s">
        <v>348</v>
      </c>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row>
    <row r="22" spans="2:75" s="8" customFormat="1">
      <c r="B22" s="44" t="s">
        <v>16</v>
      </c>
      <c r="C22" s="40"/>
      <c r="D22" s="40" t="s">
        <v>358</v>
      </c>
      <c r="E22" s="12" t="s">
        <v>58</v>
      </c>
      <c r="F22" s="12" t="s">
        <v>344</v>
      </c>
      <c r="G22" s="17" t="s">
        <v>345</v>
      </c>
      <c r="H22" s="12" t="s">
        <v>346</v>
      </c>
      <c r="I22" s="16"/>
      <c r="J22" s="16"/>
      <c r="K22" s="16"/>
      <c r="L22" s="16"/>
      <c r="M22" s="16">
        <v>313</v>
      </c>
      <c r="N22" s="16">
        <v>313</v>
      </c>
      <c r="O22" s="16">
        <v>0</v>
      </c>
      <c r="P22" s="16">
        <v>27</v>
      </c>
      <c r="Q22" s="16">
        <v>308</v>
      </c>
      <c r="R22" s="16" t="s">
        <v>347</v>
      </c>
      <c r="S22" s="16" t="s">
        <v>347</v>
      </c>
      <c r="T22" s="15"/>
      <c r="U22" s="16"/>
      <c r="V22" s="16"/>
      <c r="W22" s="16"/>
      <c r="X22" s="16"/>
      <c r="Y22" s="16"/>
      <c r="Z22" s="16"/>
      <c r="AA22" s="16"/>
      <c r="AB22" s="15"/>
      <c r="AC22" s="16"/>
      <c r="AD22" s="16"/>
      <c r="AE22" s="16"/>
      <c r="AF22" s="16"/>
      <c r="AG22" s="16"/>
      <c r="AH22" s="16"/>
      <c r="AI22" s="16"/>
      <c r="AJ22" s="15">
        <f>IF(SUM(AK22:AQ22)&gt;M22,"ERROR",(SUM(AK22:AQ22)))</f>
        <v>0</v>
      </c>
      <c r="AK22" s="16"/>
      <c r="AL22" s="16"/>
      <c r="AM22" s="16"/>
      <c r="AN22" s="16"/>
      <c r="AO22" s="16"/>
      <c r="AP22" s="117"/>
      <c r="AQ22" s="52"/>
      <c r="AR22" s="55" t="s">
        <v>348</v>
      </c>
      <c r="AS22" s="55" t="s">
        <v>348</v>
      </c>
      <c r="AT22" s="55" t="s">
        <v>348</v>
      </c>
    </row>
    <row r="23" spans="2:75" s="8" customFormat="1">
      <c r="B23" s="44" t="s">
        <v>16</v>
      </c>
      <c r="C23" s="40"/>
      <c r="D23" s="40" t="s">
        <v>358</v>
      </c>
      <c r="E23" s="12" t="s">
        <v>58</v>
      </c>
      <c r="F23" s="12" t="s">
        <v>344</v>
      </c>
      <c r="G23" s="17" t="s">
        <v>345</v>
      </c>
      <c r="H23" s="12" t="s">
        <v>349</v>
      </c>
      <c r="I23" s="16"/>
      <c r="J23" s="16"/>
      <c r="K23" s="16"/>
      <c r="L23" s="16"/>
      <c r="M23" s="16">
        <v>300</v>
      </c>
      <c r="N23" s="16">
        <v>300</v>
      </c>
      <c r="O23" s="16">
        <v>0</v>
      </c>
      <c r="P23" s="16">
        <v>19</v>
      </c>
      <c r="Q23" s="16">
        <v>295</v>
      </c>
      <c r="R23" s="16" t="s">
        <v>347</v>
      </c>
      <c r="S23" s="16">
        <v>0</v>
      </c>
      <c r="T23" s="15"/>
      <c r="U23" s="16"/>
      <c r="V23" s="16"/>
      <c r="W23" s="16"/>
      <c r="X23" s="16"/>
      <c r="Y23" s="16"/>
      <c r="Z23" s="16"/>
      <c r="AA23" s="16"/>
      <c r="AB23" s="15"/>
      <c r="AC23" s="16"/>
      <c r="AD23" s="16"/>
      <c r="AE23" s="16"/>
      <c r="AF23" s="16"/>
      <c r="AG23" s="16"/>
      <c r="AH23" s="16"/>
      <c r="AI23" s="16"/>
      <c r="AJ23" s="15"/>
      <c r="AK23" s="16"/>
      <c r="AL23" s="16"/>
      <c r="AM23" s="16"/>
      <c r="AN23" s="16"/>
      <c r="AO23" s="16"/>
      <c r="AP23" s="117"/>
      <c r="AQ23" s="52"/>
      <c r="AR23" s="55">
        <v>51.88</v>
      </c>
      <c r="AS23" s="56">
        <v>1.6</v>
      </c>
      <c r="AT23" s="55" t="s">
        <v>353</v>
      </c>
    </row>
    <row r="24" spans="2:75" s="8" customFormat="1">
      <c r="B24" s="44" t="s">
        <v>16</v>
      </c>
      <c r="C24" s="40"/>
      <c r="D24" s="40" t="s">
        <v>358</v>
      </c>
      <c r="E24" s="12" t="s">
        <v>58</v>
      </c>
      <c r="F24" s="12" t="s">
        <v>344</v>
      </c>
      <c r="G24" s="17" t="s">
        <v>345</v>
      </c>
      <c r="H24" s="12" t="s">
        <v>351</v>
      </c>
      <c r="I24" s="16"/>
      <c r="J24" s="16"/>
      <c r="K24" s="16"/>
      <c r="L24" s="16"/>
      <c r="M24" s="16">
        <v>258</v>
      </c>
      <c r="N24" s="16">
        <v>197</v>
      </c>
      <c r="O24" s="16" t="s">
        <v>352</v>
      </c>
      <c r="P24" s="16">
        <v>13</v>
      </c>
      <c r="Q24" s="16">
        <v>256</v>
      </c>
      <c r="R24" s="16" t="s">
        <v>347</v>
      </c>
      <c r="S24" s="16">
        <v>0</v>
      </c>
      <c r="T24" s="15"/>
      <c r="U24" s="16"/>
      <c r="V24" s="16"/>
      <c r="W24" s="16"/>
      <c r="X24" s="16"/>
      <c r="Y24" s="16"/>
      <c r="Z24" s="16"/>
      <c r="AA24" s="16"/>
      <c r="AB24" s="15"/>
      <c r="AC24" s="16"/>
      <c r="AD24" s="16"/>
      <c r="AE24" s="16"/>
      <c r="AF24" s="16"/>
      <c r="AG24" s="16"/>
      <c r="AH24" s="16"/>
      <c r="AI24" s="16"/>
      <c r="AJ24" s="15"/>
      <c r="AK24" s="16"/>
      <c r="AL24" s="16"/>
      <c r="AM24" s="16"/>
      <c r="AN24" s="16"/>
      <c r="AO24" s="16"/>
      <c r="AP24" s="117"/>
      <c r="AQ24" s="52"/>
      <c r="AR24" s="55">
        <v>62.338000000000001</v>
      </c>
      <c r="AS24" s="56">
        <v>0</v>
      </c>
      <c r="AT24" s="55" t="s">
        <v>350</v>
      </c>
    </row>
    <row r="25" spans="2:75" s="8" customFormat="1">
      <c r="B25" s="44" t="s">
        <v>16</v>
      </c>
      <c r="C25" s="40"/>
      <c r="D25" s="40" t="s">
        <v>359</v>
      </c>
      <c r="E25" s="12" t="s">
        <v>62</v>
      </c>
      <c r="F25" s="12" t="s">
        <v>344</v>
      </c>
      <c r="G25" s="12" t="s">
        <v>345</v>
      </c>
      <c r="H25" s="12" t="s">
        <v>346</v>
      </c>
      <c r="I25" s="16"/>
      <c r="J25" s="16"/>
      <c r="K25" s="16"/>
      <c r="L25" s="16"/>
      <c r="M25" s="16">
        <v>280</v>
      </c>
      <c r="N25" s="16">
        <v>280</v>
      </c>
      <c r="O25" s="16">
        <v>24</v>
      </c>
      <c r="P25" s="16">
        <v>48</v>
      </c>
      <c r="Q25" s="16">
        <v>220</v>
      </c>
      <c r="R25" s="16">
        <v>31</v>
      </c>
      <c r="S25" s="16">
        <v>0</v>
      </c>
      <c r="T25" s="15"/>
      <c r="U25" s="16"/>
      <c r="V25" s="16"/>
      <c r="W25" s="16"/>
      <c r="X25" s="16"/>
      <c r="Y25" s="16"/>
      <c r="Z25" s="16"/>
      <c r="AA25" s="16"/>
      <c r="AB25" s="15"/>
      <c r="AC25" s="16"/>
      <c r="AD25" s="16"/>
      <c r="AE25" s="16"/>
      <c r="AF25" s="16"/>
      <c r="AG25" s="16"/>
      <c r="AH25" s="16"/>
      <c r="AI25" s="16"/>
      <c r="AJ25" s="15">
        <f>IF(SUM(AK25:AQ25)&gt;M25,"ERROR",(SUM(AK25:AQ25)))</f>
        <v>0</v>
      </c>
      <c r="AK25" s="16"/>
      <c r="AL25" s="16"/>
      <c r="AM25" s="16"/>
      <c r="AN25" s="16"/>
      <c r="AO25" s="16"/>
      <c r="AP25" s="117"/>
      <c r="AQ25" s="52"/>
      <c r="AR25" s="55" t="s">
        <v>348</v>
      </c>
      <c r="AS25" s="55" t="s">
        <v>348</v>
      </c>
      <c r="AT25" s="55" t="s">
        <v>348</v>
      </c>
    </row>
    <row r="26" spans="2:75" s="8" customFormat="1">
      <c r="B26" s="44" t="s">
        <v>16</v>
      </c>
      <c r="C26" s="40"/>
      <c r="D26" s="40" t="s">
        <v>359</v>
      </c>
      <c r="E26" s="12" t="s">
        <v>62</v>
      </c>
      <c r="F26" s="12" t="s">
        <v>344</v>
      </c>
      <c r="G26" s="12" t="s">
        <v>345</v>
      </c>
      <c r="H26" s="12" t="s">
        <v>349</v>
      </c>
      <c r="I26" s="16"/>
      <c r="J26" s="16"/>
      <c r="K26" s="16"/>
      <c r="L26" s="16"/>
      <c r="M26" s="16">
        <v>283</v>
      </c>
      <c r="N26" s="16">
        <v>283</v>
      </c>
      <c r="O26" s="16">
        <v>10</v>
      </c>
      <c r="P26" s="16">
        <v>41</v>
      </c>
      <c r="Q26" s="16">
        <v>224</v>
      </c>
      <c r="R26" s="16">
        <v>23</v>
      </c>
      <c r="S26" s="16" t="s">
        <v>347</v>
      </c>
      <c r="T26" s="15"/>
      <c r="U26" s="16"/>
      <c r="V26" s="16"/>
      <c r="W26" s="16"/>
      <c r="X26" s="16"/>
      <c r="Y26" s="16"/>
      <c r="Z26" s="16"/>
      <c r="AA26" s="16"/>
      <c r="AB26" s="15"/>
      <c r="AC26" s="16"/>
      <c r="AD26" s="16"/>
      <c r="AE26" s="16"/>
      <c r="AF26" s="16"/>
      <c r="AG26" s="16"/>
      <c r="AH26" s="16"/>
      <c r="AI26" s="16"/>
      <c r="AJ26" s="15"/>
      <c r="AK26" s="16"/>
      <c r="AL26" s="16"/>
      <c r="AM26" s="16"/>
      <c r="AN26" s="16"/>
      <c r="AO26" s="16"/>
      <c r="AP26" s="117"/>
      <c r="AQ26" s="52"/>
      <c r="AR26" s="55">
        <v>67.831000000000003</v>
      </c>
      <c r="AS26" s="54" t="s">
        <v>352</v>
      </c>
      <c r="AT26" s="53" t="s">
        <v>352</v>
      </c>
    </row>
    <row r="27" spans="2:75" s="8" customFormat="1">
      <c r="B27" s="44" t="s">
        <v>16</v>
      </c>
      <c r="C27" s="40"/>
      <c r="D27" s="40" t="s">
        <v>359</v>
      </c>
      <c r="E27" s="12" t="s">
        <v>62</v>
      </c>
      <c r="F27" s="12" t="s">
        <v>344</v>
      </c>
      <c r="G27" s="12" t="s">
        <v>345</v>
      </c>
      <c r="H27" s="12" t="s">
        <v>351</v>
      </c>
      <c r="I27" s="16"/>
      <c r="J27" s="16"/>
      <c r="K27" s="16"/>
      <c r="L27" s="16"/>
      <c r="M27" s="16">
        <v>288</v>
      </c>
      <c r="N27" s="16">
        <v>283</v>
      </c>
      <c r="O27" s="16" t="s">
        <v>352</v>
      </c>
      <c r="P27" s="16">
        <v>50</v>
      </c>
      <c r="Q27" s="16">
        <v>235</v>
      </c>
      <c r="R27" s="16" t="s">
        <v>347</v>
      </c>
      <c r="S27" s="16">
        <v>0</v>
      </c>
      <c r="T27" s="15"/>
      <c r="U27" s="16"/>
      <c r="V27" s="16"/>
      <c r="W27" s="16"/>
      <c r="X27" s="16"/>
      <c r="Y27" s="16"/>
      <c r="Z27" s="16"/>
      <c r="AA27" s="16"/>
      <c r="AB27" s="15"/>
      <c r="AC27" s="16"/>
      <c r="AD27" s="16"/>
      <c r="AE27" s="16"/>
      <c r="AF27" s="16"/>
      <c r="AG27" s="16"/>
      <c r="AH27" s="16"/>
      <c r="AI27" s="16"/>
      <c r="AJ27" s="15"/>
      <c r="AK27" s="16"/>
      <c r="AL27" s="16"/>
      <c r="AM27" s="16"/>
      <c r="AN27" s="16"/>
      <c r="AO27" s="16"/>
      <c r="AP27" s="117"/>
      <c r="AQ27" s="52"/>
      <c r="AR27" s="55">
        <v>60.718000000000004</v>
      </c>
      <c r="AS27" s="56">
        <v>1.7</v>
      </c>
      <c r="AT27" s="55" t="s">
        <v>350</v>
      </c>
    </row>
    <row r="28" spans="2:75" s="8" customFormat="1">
      <c r="B28" s="44" t="s">
        <v>16</v>
      </c>
      <c r="C28" s="40"/>
      <c r="D28" s="40" t="s">
        <v>360</v>
      </c>
      <c r="E28" s="12" t="s">
        <v>66</v>
      </c>
      <c r="F28" s="12" t="s">
        <v>344</v>
      </c>
      <c r="G28" s="12" t="s">
        <v>345</v>
      </c>
      <c r="H28" s="12" t="s">
        <v>346</v>
      </c>
      <c r="I28" s="16"/>
      <c r="J28" s="16"/>
      <c r="K28" s="16"/>
      <c r="L28" s="16"/>
      <c r="M28" s="16">
        <v>74</v>
      </c>
      <c r="N28" s="16">
        <v>100</v>
      </c>
      <c r="O28" s="16">
        <v>17</v>
      </c>
      <c r="P28" s="16">
        <v>12</v>
      </c>
      <c r="Q28" s="16">
        <v>30</v>
      </c>
      <c r="R28" s="16">
        <v>17</v>
      </c>
      <c r="S28" s="16">
        <v>0</v>
      </c>
      <c r="T28" s="15"/>
      <c r="U28" s="16"/>
      <c r="V28" s="16"/>
      <c r="W28" s="16"/>
      <c r="X28" s="16"/>
      <c r="Y28" s="16"/>
      <c r="Z28" s="16"/>
      <c r="AA28" s="16"/>
      <c r="AB28" s="15">
        <f>IF(SUM(AC28:AI28)&gt;M28,"ERROR",(SUM(AC28:AI28)))</f>
        <v>0</v>
      </c>
      <c r="AC28" s="16"/>
      <c r="AD28" s="16"/>
      <c r="AE28" s="16"/>
      <c r="AF28" s="16"/>
      <c r="AG28" s="16"/>
      <c r="AH28" s="16"/>
      <c r="AI28" s="16"/>
      <c r="AJ28" s="15">
        <f>IF(SUM(AK28:AQ28)&gt;M28,"ERROR",(SUM(AK28:AQ28)))</f>
        <v>0</v>
      </c>
      <c r="AK28" s="16"/>
      <c r="AL28" s="16"/>
      <c r="AM28" s="16"/>
      <c r="AN28" s="16"/>
      <c r="AO28" s="16"/>
      <c r="AP28" s="117"/>
      <c r="AQ28" s="52"/>
      <c r="AR28" s="55" t="s">
        <v>348</v>
      </c>
      <c r="AS28" s="55" t="s">
        <v>348</v>
      </c>
      <c r="AT28" s="55" t="s">
        <v>348</v>
      </c>
    </row>
    <row r="29" spans="2:75" s="8" customFormat="1">
      <c r="B29" s="44" t="s">
        <v>16</v>
      </c>
      <c r="C29" s="40"/>
      <c r="D29" s="40" t="s">
        <v>360</v>
      </c>
      <c r="E29" s="12" t="s">
        <v>66</v>
      </c>
      <c r="F29" s="12" t="s">
        <v>344</v>
      </c>
      <c r="G29" s="12" t="s">
        <v>345</v>
      </c>
      <c r="H29" s="12" t="s">
        <v>349</v>
      </c>
      <c r="I29" s="16"/>
      <c r="J29" s="16"/>
      <c r="K29" s="16"/>
      <c r="L29" s="16"/>
      <c r="M29" s="16">
        <v>124</v>
      </c>
      <c r="N29" s="16">
        <v>139</v>
      </c>
      <c r="O29" s="16" t="s">
        <v>347</v>
      </c>
      <c r="P29" s="16">
        <v>23</v>
      </c>
      <c r="Q29" s="16">
        <v>34</v>
      </c>
      <c r="R29" s="16">
        <v>43</v>
      </c>
      <c r="S29" s="16">
        <v>0</v>
      </c>
      <c r="T29" s="15"/>
      <c r="U29" s="16"/>
      <c r="V29" s="16"/>
      <c r="W29" s="16"/>
      <c r="X29" s="16"/>
      <c r="Y29" s="16"/>
      <c r="Z29" s="16"/>
      <c r="AA29" s="16"/>
      <c r="AB29" s="15"/>
      <c r="AC29" s="16"/>
      <c r="AD29" s="16"/>
      <c r="AE29" s="16"/>
      <c r="AF29" s="16"/>
      <c r="AG29" s="16"/>
      <c r="AH29" s="16"/>
      <c r="AI29" s="16"/>
      <c r="AJ29" s="15"/>
      <c r="AK29" s="16"/>
      <c r="AL29" s="16"/>
      <c r="AM29" s="16"/>
      <c r="AN29" s="16"/>
      <c r="AO29" s="16"/>
      <c r="AP29" s="117"/>
      <c r="AQ29" s="52"/>
      <c r="AR29" s="55">
        <v>45.908999999999999</v>
      </c>
      <c r="AS29" s="56">
        <v>2.6</v>
      </c>
      <c r="AT29" s="55" t="s">
        <v>353</v>
      </c>
    </row>
    <row r="30" spans="2:75" s="8" customFormat="1">
      <c r="B30" s="44" t="s">
        <v>16</v>
      </c>
      <c r="C30" s="40"/>
      <c r="D30" s="40" t="s">
        <v>360</v>
      </c>
      <c r="E30" s="12" t="s">
        <v>66</v>
      </c>
      <c r="F30" s="12" t="s">
        <v>344</v>
      </c>
      <c r="G30" s="12" t="s">
        <v>345</v>
      </c>
      <c r="H30" s="12" t="s">
        <v>351</v>
      </c>
      <c r="I30" s="16"/>
      <c r="J30" s="16"/>
      <c r="K30" s="16"/>
      <c r="L30" s="16"/>
      <c r="M30" s="16">
        <v>50</v>
      </c>
      <c r="N30" s="16">
        <v>23</v>
      </c>
      <c r="O30" s="16" t="s">
        <v>352</v>
      </c>
      <c r="P30" s="16">
        <v>14</v>
      </c>
      <c r="Q30" s="16">
        <v>22</v>
      </c>
      <c r="R30" s="16">
        <v>44</v>
      </c>
      <c r="S30" s="16">
        <v>0</v>
      </c>
      <c r="T30" s="15"/>
      <c r="U30" s="16"/>
      <c r="V30" s="16"/>
      <c r="W30" s="16"/>
      <c r="X30" s="16"/>
      <c r="Y30" s="16"/>
      <c r="Z30" s="16"/>
      <c r="AA30" s="16"/>
      <c r="AB30" s="15"/>
      <c r="AC30" s="16"/>
      <c r="AD30" s="16"/>
      <c r="AE30" s="16"/>
      <c r="AF30" s="16"/>
      <c r="AG30" s="16"/>
      <c r="AH30" s="16"/>
      <c r="AI30" s="16"/>
      <c r="AJ30" s="15"/>
      <c r="AK30" s="16"/>
      <c r="AL30" s="16"/>
      <c r="AM30" s="16"/>
      <c r="AN30" s="16"/>
      <c r="AO30" s="16"/>
      <c r="AP30" s="117"/>
      <c r="AQ30" s="52"/>
      <c r="AR30" s="55">
        <v>48.402999999999999</v>
      </c>
      <c r="AS30" s="56">
        <v>0.8</v>
      </c>
      <c r="AT30" s="55" t="s">
        <v>353</v>
      </c>
    </row>
    <row r="31" spans="2:75" s="8" customFormat="1">
      <c r="B31" s="44" t="s">
        <v>16</v>
      </c>
      <c r="C31" s="40"/>
      <c r="D31" s="40" t="s">
        <v>361</v>
      </c>
      <c r="E31" s="17" t="s">
        <v>70</v>
      </c>
      <c r="F31" s="12" t="s">
        <v>354</v>
      </c>
      <c r="G31" s="12" t="s">
        <v>345</v>
      </c>
      <c r="H31" s="12" t="s">
        <v>346</v>
      </c>
      <c r="I31" s="16"/>
      <c r="J31" s="16"/>
      <c r="K31" s="16"/>
      <c r="L31" s="16"/>
      <c r="M31" s="16">
        <v>567</v>
      </c>
      <c r="N31" s="16">
        <v>368</v>
      </c>
      <c r="O31" s="16">
        <v>21</v>
      </c>
      <c r="P31" s="16">
        <v>48</v>
      </c>
      <c r="Q31" s="16">
        <v>460</v>
      </c>
      <c r="R31" s="16">
        <v>68</v>
      </c>
      <c r="S31" s="16" t="s">
        <v>347</v>
      </c>
      <c r="T31" s="15"/>
      <c r="U31" s="16"/>
      <c r="V31" s="16"/>
      <c r="W31" s="16"/>
      <c r="X31" s="16"/>
      <c r="Y31" s="16"/>
      <c r="Z31" s="16"/>
      <c r="AA31" s="16"/>
      <c r="AB31" s="15">
        <f>IF(SUM(AC31:AI31)&gt;M31,"ERROR",(SUM(AC31:AI31)))</f>
        <v>0</v>
      </c>
      <c r="AC31" s="16"/>
      <c r="AD31" s="16"/>
      <c r="AE31" s="16"/>
      <c r="AF31" s="16"/>
      <c r="AG31" s="16"/>
      <c r="AH31" s="16"/>
      <c r="AI31" s="16"/>
      <c r="AJ31" s="15">
        <f>IF(SUM(AK31:AQ31)&gt;M31,"ERROR",(SUM(AK31:AQ31)))</f>
        <v>0</v>
      </c>
      <c r="AK31" s="16"/>
      <c r="AL31" s="16"/>
      <c r="AM31" s="16"/>
      <c r="AN31" s="16"/>
      <c r="AO31" s="16"/>
      <c r="AP31" s="117"/>
      <c r="AQ31" s="52"/>
      <c r="AR31" s="55" t="s">
        <v>348</v>
      </c>
      <c r="AS31" s="55" t="s">
        <v>348</v>
      </c>
      <c r="AT31" s="55" t="s">
        <v>348</v>
      </c>
    </row>
    <row r="32" spans="2:75" s="8" customFormat="1">
      <c r="B32" s="44" t="s">
        <v>16</v>
      </c>
      <c r="C32" s="40"/>
      <c r="D32" s="40" t="s">
        <v>361</v>
      </c>
      <c r="E32" s="17" t="s">
        <v>70</v>
      </c>
      <c r="F32" s="12" t="s">
        <v>354</v>
      </c>
      <c r="G32" s="12" t="s">
        <v>345</v>
      </c>
      <c r="H32" s="12" t="s">
        <v>349</v>
      </c>
      <c r="I32" s="16"/>
      <c r="J32" s="16"/>
      <c r="K32" s="16"/>
      <c r="L32" s="16"/>
      <c r="M32" s="16">
        <v>586</v>
      </c>
      <c r="N32" s="16">
        <v>582</v>
      </c>
      <c r="O32" s="16">
        <v>30</v>
      </c>
      <c r="P32" s="16">
        <v>43</v>
      </c>
      <c r="Q32" s="16">
        <v>465</v>
      </c>
      <c r="R32" s="16">
        <v>74</v>
      </c>
      <c r="S32" s="16" t="s">
        <v>347</v>
      </c>
      <c r="T32" s="15"/>
      <c r="U32" s="16"/>
      <c r="V32" s="16"/>
      <c r="W32" s="16"/>
      <c r="X32" s="16"/>
      <c r="Y32" s="16"/>
      <c r="Z32" s="16"/>
      <c r="AA32" s="16"/>
      <c r="AB32" s="15"/>
      <c r="AC32" s="16"/>
      <c r="AD32" s="16"/>
      <c r="AE32" s="16"/>
      <c r="AF32" s="16"/>
      <c r="AG32" s="16"/>
      <c r="AH32" s="16"/>
      <c r="AI32" s="16"/>
      <c r="AJ32" s="15"/>
      <c r="AK32" s="16"/>
      <c r="AL32" s="16"/>
      <c r="AM32" s="16"/>
      <c r="AN32" s="16"/>
      <c r="AO32" s="16"/>
      <c r="AP32" s="117"/>
      <c r="AQ32" s="52"/>
      <c r="AR32" s="55">
        <v>76.16</v>
      </c>
      <c r="AS32" s="56">
        <v>0.3</v>
      </c>
      <c r="AT32" s="55" t="s">
        <v>350</v>
      </c>
    </row>
    <row r="33" spans="2:46" s="8" customFormat="1">
      <c r="B33" s="44" t="s">
        <v>16</v>
      </c>
      <c r="C33" s="40"/>
      <c r="D33" s="40" t="s">
        <v>361</v>
      </c>
      <c r="E33" s="17" t="s">
        <v>70</v>
      </c>
      <c r="F33" s="12" t="s">
        <v>354</v>
      </c>
      <c r="G33" s="12" t="s">
        <v>345</v>
      </c>
      <c r="H33" s="12" t="s">
        <v>351</v>
      </c>
      <c r="I33" s="16"/>
      <c r="J33" s="16"/>
      <c r="K33" s="16"/>
      <c r="L33" s="16"/>
      <c r="M33" s="16">
        <v>589</v>
      </c>
      <c r="N33" s="16">
        <v>396</v>
      </c>
      <c r="O33" s="16" t="s">
        <v>352</v>
      </c>
      <c r="P33" s="16">
        <v>42</v>
      </c>
      <c r="Q33" s="16">
        <v>459</v>
      </c>
      <c r="R33" s="16">
        <v>82</v>
      </c>
      <c r="S33" s="16" t="s">
        <v>347</v>
      </c>
      <c r="T33" s="15"/>
      <c r="U33" s="16"/>
      <c r="V33" s="16"/>
      <c r="W33" s="16"/>
      <c r="X33" s="16"/>
      <c r="Y33" s="16"/>
      <c r="Z33" s="16"/>
      <c r="AA33" s="16"/>
      <c r="AB33" s="15"/>
      <c r="AC33" s="16"/>
      <c r="AD33" s="16"/>
      <c r="AE33" s="16"/>
      <c r="AF33" s="16"/>
      <c r="AG33" s="16"/>
      <c r="AH33" s="16"/>
      <c r="AI33" s="16"/>
      <c r="AJ33" s="15"/>
      <c r="AK33" s="16"/>
      <c r="AL33" s="16"/>
      <c r="AM33" s="16"/>
      <c r="AN33" s="16"/>
      <c r="AO33" s="16"/>
      <c r="AP33" s="117"/>
      <c r="AQ33" s="52"/>
      <c r="AR33" s="55">
        <v>76.813999999999993</v>
      </c>
      <c r="AS33" s="56">
        <v>0</v>
      </c>
      <c r="AT33" s="55" t="s">
        <v>350</v>
      </c>
    </row>
    <row r="34" spans="2:46" s="8" customFormat="1">
      <c r="B34" s="44" t="s">
        <v>16</v>
      </c>
      <c r="C34" s="40"/>
      <c r="D34" s="40" t="s">
        <v>362</v>
      </c>
      <c r="E34" s="12" t="s">
        <v>74</v>
      </c>
      <c r="F34" s="12" t="s">
        <v>344</v>
      </c>
      <c r="G34" s="12" t="s">
        <v>345</v>
      </c>
      <c r="H34" s="12" t="s">
        <v>346</v>
      </c>
      <c r="I34" s="16"/>
      <c r="J34" s="16"/>
      <c r="K34" s="16"/>
      <c r="L34" s="16"/>
      <c r="M34" s="16">
        <v>336</v>
      </c>
      <c r="N34" s="16">
        <v>336</v>
      </c>
      <c r="O34" s="16">
        <v>165</v>
      </c>
      <c r="P34" s="16">
        <v>41</v>
      </c>
      <c r="Q34" s="16">
        <v>15</v>
      </c>
      <c r="R34" s="16">
        <v>204</v>
      </c>
      <c r="S34" s="16">
        <v>0</v>
      </c>
      <c r="T34" s="15"/>
      <c r="U34" s="16"/>
      <c r="V34" s="16"/>
      <c r="W34" s="16"/>
      <c r="X34" s="16"/>
      <c r="Y34" s="16"/>
      <c r="Z34" s="16"/>
      <c r="AA34" s="16"/>
      <c r="AB34" s="15">
        <f>IF(SUM(AC34:AI34)&gt;M34,"ERROR",(SUM(AC34:AI34)))</f>
        <v>0</v>
      </c>
      <c r="AC34" s="16"/>
      <c r="AD34" s="16"/>
      <c r="AE34" s="16"/>
      <c r="AF34" s="16"/>
      <c r="AG34" s="16"/>
      <c r="AH34" s="16"/>
      <c r="AI34" s="16"/>
      <c r="AJ34" s="15">
        <f>IF(SUM(AK34:AQ34)&gt;M34,"ERROR",(SUM(AK34:AQ34)))</f>
        <v>0</v>
      </c>
      <c r="AK34" s="16"/>
      <c r="AL34" s="16"/>
      <c r="AM34" s="16"/>
      <c r="AN34" s="16"/>
      <c r="AO34" s="16"/>
      <c r="AP34" s="117"/>
      <c r="AQ34" s="52"/>
      <c r="AR34" s="55" t="s">
        <v>348</v>
      </c>
      <c r="AS34" s="55" t="s">
        <v>348</v>
      </c>
      <c r="AT34" s="55" t="s">
        <v>348</v>
      </c>
    </row>
    <row r="35" spans="2:46" s="8" customFormat="1">
      <c r="B35" s="44" t="s">
        <v>16</v>
      </c>
      <c r="C35" s="40"/>
      <c r="D35" s="40" t="s">
        <v>362</v>
      </c>
      <c r="E35" s="12" t="s">
        <v>74</v>
      </c>
      <c r="F35" s="12" t="s">
        <v>344</v>
      </c>
      <c r="G35" s="12" t="s">
        <v>345</v>
      </c>
      <c r="H35" s="12" t="s">
        <v>349</v>
      </c>
      <c r="I35" s="16"/>
      <c r="J35" s="16"/>
      <c r="K35" s="16"/>
      <c r="L35" s="16"/>
      <c r="M35" s="16">
        <v>298</v>
      </c>
      <c r="N35" s="16">
        <v>298</v>
      </c>
      <c r="O35" s="16">
        <v>203</v>
      </c>
      <c r="P35" s="16">
        <v>23</v>
      </c>
      <c r="Q35" s="16">
        <v>11</v>
      </c>
      <c r="R35" s="16">
        <v>127</v>
      </c>
      <c r="S35" s="16">
        <v>0</v>
      </c>
      <c r="T35" s="15"/>
      <c r="U35" s="16"/>
      <c r="V35" s="16"/>
      <c r="W35" s="16"/>
      <c r="X35" s="16"/>
      <c r="Y35" s="16"/>
      <c r="Z35" s="16"/>
      <c r="AA35" s="16"/>
      <c r="AB35" s="15"/>
      <c r="AC35" s="16"/>
      <c r="AD35" s="16"/>
      <c r="AE35" s="16"/>
      <c r="AF35" s="16"/>
      <c r="AG35" s="16"/>
      <c r="AH35" s="16"/>
      <c r="AI35" s="16"/>
      <c r="AJ35" s="15"/>
      <c r="AK35" s="16"/>
      <c r="AL35" s="16"/>
      <c r="AM35" s="16"/>
      <c r="AN35" s="16"/>
      <c r="AO35" s="16"/>
      <c r="AP35" s="117"/>
      <c r="AQ35" s="52"/>
      <c r="AR35" s="55">
        <v>65.085999999999999</v>
      </c>
      <c r="AS35" s="56">
        <v>1</v>
      </c>
      <c r="AT35" s="55" t="s">
        <v>350</v>
      </c>
    </row>
    <row r="36" spans="2:46" s="8" customFormat="1">
      <c r="B36" s="44" t="s">
        <v>16</v>
      </c>
      <c r="C36" s="40"/>
      <c r="D36" s="40" t="s">
        <v>362</v>
      </c>
      <c r="E36" s="12" t="s">
        <v>74</v>
      </c>
      <c r="F36" s="12" t="s">
        <v>344</v>
      </c>
      <c r="G36" s="12" t="s">
        <v>345</v>
      </c>
      <c r="H36" s="12" t="s">
        <v>351</v>
      </c>
      <c r="I36" s="16"/>
      <c r="J36" s="16"/>
      <c r="K36" s="16"/>
      <c r="L36" s="16"/>
      <c r="M36" s="16">
        <v>271</v>
      </c>
      <c r="N36" s="16">
        <v>266</v>
      </c>
      <c r="O36" s="16" t="s">
        <v>352</v>
      </c>
      <c r="P36" s="16">
        <v>28</v>
      </c>
      <c r="Q36" s="16">
        <v>26</v>
      </c>
      <c r="R36" s="16">
        <v>240</v>
      </c>
      <c r="S36" s="16">
        <v>0</v>
      </c>
      <c r="T36" s="15"/>
      <c r="U36" s="16"/>
      <c r="V36" s="16"/>
      <c r="W36" s="16"/>
      <c r="X36" s="16"/>
      <c r="Y36" s="16"/>
      <c r="Z36" s="16"/>
      <c r="AA36" s="16"/>
      <c r="AB36" s="15"/>
      <c r="AC36" s="16"/>
      <c r="AD36" s="16"/>
      <c r="AE36" s="16"/>
      <c r="AF36" s="16"/>
      <c r="AG36" s="16"/>
      <c r="AH36" s="16"/>
      <c r="AI36" s="16"/>
      <c r="AJ36" s="15"/>
      <c r="AK36" s="16"/>
      <c r="AL36" s="16"/>
      <c r="AM36" s="16"/>
      <c r="AN36" s="16"/>
      <c r="AO36" s="16"/>
      <c r="AP36" s="117"/>
      <c r="AQ36" s="52"/>
      <c r="AR36" s="55">
        <v>55.444000000000003</v>
      </c>
      <c r="AS36" s="56">
        <v>0</v>
      </c>
      <c r="AT36" s="55" t="s">
        <v>353</v>
      </c>
    </row>
    <row r="37" spans="2:46" s="8" customFormat="1">
      <c r="B37" s="44" t="s">
        <v>16</v>
      </c>
      <c r="C37" s="40"/>
      <c r="D37" s="40" t="s">
        <v>363</v>
      </c>
      <c r="E37" s="12" t="s">
        <v>82</v>
      </c>
      <c r="F37" s="12" t="s">
        <v>344</v>
      </c>
      <c r="G37" s="17" t="s">
        <v>345</v>
      </c>
      <c r="H37" s="12" t="s">
        <v>346</v>
      </c>
      <c r="I37" s="16"/>
      <c r="J37" s="16"/>
      <c r="K37" s="16"/>
      <c r="L37" s="16"/>
      <c r="M37" s="16">
        <v>590</v>
      </c>
      <c r="N37" s="16">
        <v>590</v>
      </c>
      <c r="O37" s="16">
        <v>139</v>
      </c>
      <c r="P37" s="16">
        <v>25</v>
      </c>
      <c r="Q37" s="16">
        <v>421</v>
      </c>
      <c r="R37" s="16">
        <v>32</v>
      </c>
      <c r="S37" s="16" t="s">
        <v>347</v>
      </c>
      <c r="T37" s="15"/>
      <c r="U37" s="16"/>
      <c r="V37" s="16"/>
      <c r="W37" s="16"/>
      <c r="X37" s="16"/>
      <c r="Y37" s="16"/>
      <c r="Z37" s="16"/>
      <c r="AA37" s="16"/>
      <c r="AB37" s="15"/>
      <c r="AC37" s="16"/>
      <c r="AD37" s="16"/>
      <c r="AE37" s="16"/>
      <c r="AF37" s="16"/>
      <c r="AG37" s="16"/>
      <c r="AH37" s="16"/>
      <c r="AI37" s="16"/>
      <c r="AJ37" s="15">
        <f>IF(SUM(AK37:AQ37)&gt;M37,"ERROR",(SUM(AK37:AQ37)))</f>
        <v>0</v>
      </c>
      <c r="AK37" s="16"/>
      <c r="AL37" s="16"/>
      <c r="AM37" s="16"/>
      <c r="AN37" s="16"/>
      <c r="AO37" s="16"/>
      <c r="AP37" s="117"/>
      <c r="AQ37" s="52"/>
      <c r="AR37" s="55" t="s">
        <v>348</v>
      </c>
      <c r="AS37" s="55" t="s">
        <v>348</v>
      </c>
      <c r="AT37" s="55" t="s">
        <v>348</v>
      </c>
    </row>
    <row r="38" spans="2:46" s="8" customFormat="1">
      <c r="B38" s="44" t="s">
        <v>16</v>
      </c>
      <c r="C38" s="40"/>
      <c r="D38" s="40" t="s">
        <v>363</v>
      </c>
      <c r="E38" s="12" t="s">
        <v>82</v>
      </c>
      <c r="F38" s="12" t="s">
        <v>344</v>
      </c>
      <c r="G38" s="17" t="s">
        <v>345</v>
      </c>
      <c r="H38" s="12" t="s">
        <v>349</v>
      </c>
      <c r="I38" s="16"/>
      <c r="J38" s="16"/>
      <c r="K38" s="16"/>
      <c r="L38" s="16"/>
      <c r="M38" s="16">
        <v>573</v>
      </c>
      <c r="N38" s="16">
        <v>569</v>
      </c>
      <c r="O38" s="16">
        <v>232</v>
      </c>
      <c r="P38" s="16">
        <v>21</v>
      </c>
      <c r="Q38" s="16">
        <v>388</v>
      </c>
      <c r="R38" s="16">
        <v>34</v>
      </c>
      <c r="S38" s="16" t="s">
        <v>347</v>
      </c>
      <c r="T38" s="15"/>
      <c r="U38" s="16"/>
      <c r="V38" s="16"/>
      <c r="W38" s="16"/>
      <c r="X38" s="16"/>
      <c r="Y38" s="16"/>
      <c r="Z38" s="16"/>
      <c r="AA38" s="16"/>
      <c r="AB38" s="15"/>
      <c r="AC38" s="16"/>
      <c r="AD38" s="16"/>
      <c r="AE38" s="16"/>
      <c r="AF38" s="16"/>
      <c r="AG38" s="16"/>
      <c r="AH38" s="16"/>
      <c r="AI38" s="16"/>
      <c r="AJ38" s="15"/>
      <c r="AK38" s="16"/>
      <c r="AL38" s="16"/>
      <c r="AM38" s="16"/>
      <c r="AN38" s="16"/>
      <c r="AO38" s="16"/>
      <c r="AP38" s="117"/>
      <c r="AQ38" s="52"/>
      <c r="AR38" s="55">
        <v>72.451999999999998</v>
      </c>
      <c r="AS38" s="56">
        <v>0.3</v>
      </c>
      <c r="AT38" s="55" t="s">
        <v>350</v>
      </c>
    </row>
    <row r="39" spans="2:46" s="8" customFormat="1">
      <c r="B39" s="44" t="s">
        <v>16</v>
      </c>
      <c r="C39" s="40"/>
      <c r="D39" s="40" t="s">
        <v>363</v>
      </c>
      <c r="E39" s="12" t="s">
        <v>82</v>
      </c>
      <c r="F39" s="12" t="s">
        <v>344</v>
      </c>
      <c r="G39" s="17" t="s">
        <v>345</v>
      </c>
      <c r="H39" s="12" t="s">
        <v>351</v>
      </c>
      <c r="I39" s="16"/>
      <c r="J39" s="16"/>
      <c r="K39" s="16"/>
      <c r="L39" s="16"/>
      <c r="M39" s="16">
        <v>544</v>
      </c>
      <c r="N39" s="16">
        <v>543</v>
      </c>
      <c r="O39" s="16" t="s">
        <v>352</v>
      </c>
      <c r="P39" s="16">
        <v>22</v>
      </c>
      <c r="Q39" s="16">
        <v>373</v>
      </c>
      <c r="R39" s="16">
        <v>25</v>
      </c>
      <c r="S39" s="16" t="s">
        <v>347</v>
      </c>
      <c r="T39" s="15"/>
      <c r="U39" s="16"/>
      <c r="V39" s="16"/>
      <c r="W39" s="16"/>
      <c r="X39" s="16"/>
      <c r="Y39" s="16"/>
      <c r="Z39" s="16"/>
      <c r="AA39" s="16"/>
      <c r="AB39" s="15"/>
      <c r="AC39" s="16"/>
      <c r="AD39" s="16"/>
      <c r="AE39" s="16"/>
      <c r="AF39" s="16"/>
      <c r="AG39" s="16"/>
      <c r="AH39" s="16"/>
      <c r="AI39" s="16"/>
      <c r="AJ39" s="15"/>
      <c r="AK39" s="16"/>
      <c r="AL39" s="16"/>
      <c r="AM39" s="16"/>
      <c r="AN39" s="16"/>
      <c r="AO39" s="16"/>
      <c r="AP39" s="117"/>
      <c r="AQ39" s="52"/>
      <c r="AR39" s="55">
        <v>73.137</v>
      </c>
      <c r="AS39" s="56">
        <v>0.5</v>
      </c>
      <c r="AT39" s="55" t="s">
        <v>350</v>
      </c>
    </row>
    <row r="40" spans="2:46" s="8" customFormat="1">
      <c r="B40" s="44" t="s">
        <v>16</v>
      </c>
      <c r="C40" s="40"/>
      <c r="D40" s="40" t="s">
        <v>364</v>
      </c>
      <c r="E40" s="12" t="s">
        <v>86</v>
      </c>
      <c r="F40" s="17" t="s">
        <v>354</v>
      </c>
      <c r="G40" s="17" t="s">
        <v>345</v>
      </c>
      <c r="H40" s="12" t="s">
        <v>346</v>
      </c>
      <c r="I40" s="16"/>
      <c r="J40" s="16"/>
      <c r="K40" s="16"/>
      <c r="L40" s="16"/>
      <c r="M40" s="16">
        <v>888</v>
      </c>
      <c r="N40" s="16">
        <v>345</v>
      </c>
      <c r="O40" s="16">
        <v>90</v>
      </c>
      <c r="P40" s="16">
        <v>75</v>
      </c>
      <c r="Q40" s="16">
        <v>550</v>
      </c>
      <c r="R40" s="16">
        <v>64</v>
      </c>
      <c r="S40" s="16" t="s">
        <v>347</v>
      </c>
      <c r="T40" s="15"/>
      <c r="U40" s="16"/>
      <c r="V40" s="16"/>
      <c r="W40" s="16"/>
      <c r="X40" s="16"/>
      <c r="Y40" s="16"/>
      <c r="Z40" s="16"/>
      <c r="AA40" s="16"/>
      <c r="AB40" s="15">
        <f>IF(SUM(AC40:AI40)&gt;M40,"ERROR",(SUM(AC40:AI40)))</f>
        <v>0</v>
      </c>
      <c r="AC40" s="16"/>
      <c r="AD40" s="16"/>
      <c r="AE40" s="16"/>
      <c r="AF40" s="16"/>
      <c r="AG40" s="16"/>
      <c r="AH40" s="16"/>
      <c r="AI40" s="16"/>
      <c r="AJ40" s="15">
        <f>IF(SUM(AK40:AQ40)&gt;M40,"ERROR",(SUM(AK40:AQ40)))</f>
        <v>0</v>
      </c>
      <c r="AK40" s="16"/>
      <c r="AL40" s="16"/>
      <c r="AM40" s="16"/>
      <c r="AN40" s="16"/>
      <c r="AO40" s="16"/>
      <c r="AP40" s="117"/>
      <c r="AQ40" s="52"/>
      <c r="AR40" s="55" t="s">
        <v>348</v>
      </c>
      <c r="AS40" s="55" t="s">
        <v>348</v>
      </c>
      <c r="AT40" s="55" t="s">
        <v>348</v>
      </c>
    </row>
    <row r="41" spans="2:46" s="8" customFormat="1">
      <c r="B41" s="44" t="s">
        <v>16</v>
      </c>
      <c r="C41" s="40"/>
      <c r="D41" s="40" t="s">
        <v>364</v>
      </c>
      <c r="E41" s="12" t="s">
        <v>86</v>
      </c>
      <c r="F41" s="17" t="s">
        <v>354</v>
      </c>
      <c r="G41" s="17" t="s">
        <v>345</v>
      </c>
      <c r="H41" s="12" t="s">
        <v>349</v>
      </c>
      <c r="I41" s="16"/>
      <c r="J41" s="16"/>
      <c r="K41" s="16"/>
      <c r="L41" s="16"/>
      <c r="M41" s="16">
        <v>814</v>
      </c>
      <c r="N41" s="16">
        <v>437</v>
      </c>
      <c r="O41" s="16">
        <v>93</v>
      </c>
      <c r="P41" s="16">
        <v>57</v>
      </c>
      <c r="Q41" s="16">
        <v>483</v>
      </c>
      <c r="R41" s="16">
        <v>65</v>
      </c>
      <c r="S41" s="16" t="s">
        <v>347</v>
      </c>
      <c r="T41" s="15"/>
      <c r="U41" s="16"/>
      <c r="V41" s="16"/>
      <c r="W41" s="16"/>
      <c r="X41" s="16"/>
      <c r="Y41" s="16"/>
      <c r="Z41" s="16"/>
      <c r="AA41" s="16"/>
      <c r="AB41" s="15"/>
      <c r="AC41" s="16"/>
      <c r="AD41" s="16"/>
      <c r="AE41" s="16"/>
      <c r="AF41" s="16"/>
      <c r="AG41" s="16"/>
      <c r="AH41" s="16"/>
      <c r="AI41" s="16"/>
      <c r="AJ41" s="15"/>
      <c r="AK41" s="16"/>
      <c r="AL41" s="16"/>
      <c r="AM41" s="16"/>
      <c r="AN41" s="16"/>
      <c r="AO41" s="16"/>
      <c r="AP41" s="117"/>
      <c r="AQ41" s="52"/>
      <c r="AR41" s="55">
        <v>91.983000000000004</v>
      </c>
      <c r="AS41" s="56">
        <v>0</v>
      </c>
      <c r="AT41" s="55" t="s">
        <v>365</v>
      </c>
    </row>
    <row r="42" spans="2:46" s="8" customFormat="1">
      <c r="B42" s="44" t="s">
        <v>16</v>
      </c>
      <c r="C42" s="40"/>
      <c r="D42" s="40" t="s">
        <v>364</v>
      </c>
      <c r="E42" s="12" t="s">
        <v>86</v>
      </c>
      <c r="F42" s="17" t="s">
        <v>354</v>
      </c>
      <c r="G42" s="17" t="s">
        <v>345</v>
      </c>
      <c r="H42" s="12" t="s">
        <v>351</v>
      </c>
      <c r="I42" s="16"/>
      <c r="J42" s="16"/>
      <c r="K42" s="16"/>
      <c r="L42" s="16"/>
      <c r="M42" s="16">
        <v>731</v>
      </c>
      <c r="N42" s="16">
        <v>291</v>
      </c>
      <c r="O42" s="16" t="s">
        <v>352</v>
      </c>
      <c r="P42" s="16">
        <v>42</v>
      </c>
      <c r="Q42" s="16">
        <v>416</v>
      </c>
      <c r="R42" s="16">
        <v>64</v>
      </c>
      <c r="S42" s="16" t="s">
        <v>347</v>
      </c>
      <c r="T42" s="15"/>
      <c r="U42" s="16"/>
      <c r="V42" s="16"/>
      <c r="W42" s="16"/>
      <c r="X42" s="16"/>
      <c r="Y42" s="16"/>
      <c r="Z42" s="16"/>
      <c r="AA42" s="16"/>
      <c r="AB42" s="15"/>
      <c r="AC42" s="16"/>
      <c r="AD42" s="16"/>
      <c r="AE42" s="16"/>
      <c r="AF42" s="16"/>
      <c r="AG42" s="16"/>
      <c r="AH42" s="16"/>
      <c r="AI42" s="16"/>
      <c r="AJ42" s="15"/>
      <c r="AK42" s="16"/>
      <c r="AL42" s="16"/>
      <c r="AM42" s="16"/>
      <c r="AN42" s="16"/>
      <c r="AO42" s="16"/>
      <c r="AP42" s="117"/>
      <c r="AQ42" s="52"/>
      <c r="AR42" s="55">
        <v>91.828999999999994</v>
      </c>
      <c r="AS42" s="56">
        <v>0</v>
      </c>
      <c r="AT42" s="55" t="s">
        <v>365</v>
      </c>
    </row>
    <row r="43" spans="2:46" s="8" customFormat="1">
      <c r="B43" s="44" t="s">
        <v>16</v>
      </c>
      <c r="C43" s="40"/>
      <c r="D43" s="40" t="s">
        <v>366</v>
      </c>
      <c r="E43" s="17" t="s">
        <v>91</v>
      </c>
      <c r="F43" s="12" t="s">
        <v>344</v>
      </c>
      <c r="G43" s="12" t="s">
        <v>345</v>
      </c>
      <c r="H43" s="12" t="s">
        <v>346</v>
      </c>
      <c r="I43" s="16"/>
      <c r="J43" s="16"/>
      <c r="K43" s="16"/>
      <c r="L43" s="16"/>
      <c r="M43" s="16">
        <v>293</v>
      </c>
      <c r="N43" s="16">
        <v>293</v>
      </c>
      <c r="O43" s="16">
        <v>0</v>
      </c>
      <c r="P43" s="16">
        <v>39</v>
      </c>
      <c r="Q43" s="16">
        <v>280</v>
      </c>
      <c r="R43" s="16" t="s">
        <v>347</v>
      </c>
      <c r="S43" s="16">
        <v>0</v>
      </c>
      <c r="T43" s="15"/>
      <c r="U43" s="16"/>
      <c r="V43" s="16"/>
      <c r="W43" s="16"/>
      <c r="X43" s="16"/>
      <c r="Y43" s="16"/>
      <c r="Z43" s="16"/>
      <c r="AA43" s="16"/>
      <c r="AB43" s="15"/>
      <c r="AC43" s="16"/>
      <c r="AD43" s="16"/>
      <c r="AE43" s="16"/>
      <c r="AF43" s="16"/>
      <c r="AG43" s="16"/>
      <c r="AH43" s="16"/>
      <c r="AI43" s="16"/>
      <c r="AJ43" s="15"/>
      <c r="AK43" s="16"/>
      <c r="AL43" s="16"/>
      <c r="AM43" s="16"/>
      <c r="AN43" s="16"/>
      <c r="AO43" s="16"/>
      <c r="AP43" s="117"/>
      <c r="AQ43" s="52"/>
      <c r="AR43" s="55" t="s">
        <v>348</v>
      </c>
      <c r="AS43" s="55" t="s">
        <v>348</v>
      </c>
      <c r="AT43" s="55" t="s">
        <v>348</v>
      </c>
    </row>
    <row r="44" spans="2:46" s="8" customFormat="1">
      <c r="B44" s="44" t="s">
        <v>16</v>
      </c>
      <c r="C44" s="40"/>
      <c r="D44" s="40" t="s">
        <v>366</v>
      </c>
      <c r="E44" s="17" t="s">
        <v>91</v>
      </c>
      <c r="F44" s="12" t="s">
        <v>344</v>
      </c>
      <c r="G44" s="12" t="s">
        <v>345</v>
      </c>
      <c r="H44" s="12" t="s">
        <v>349</v>
      </c>
      <c r="I44" s="16"/>
      <c r="J44" s="16"/>
      <c r="K44" s="16"/>
      <c r="L44" s="16"/>
      <c r="M44" s="16">
        <v>318</v>
      </c>
      <c r="N44" s="16">
        <v>317</v>
      </c>
      <c r="O44" s="16" t="s">
        <v>347</v>
      </c>
      <c r="P44" s="16">
        <v>40</v>
      </c>
      <c r="Q44" s="16">
        <v>294</v>
      </c>
      <c r="R44" s="16" t="s">
        <v>347</v>
      </c>
      <c r="S44" s="16">
        <v>0</v>
      </c>
      <c r="T44" s="15"/>
      <c r="U44" s="16"/>
      <c r="V44" s="16"/>
      <c r="W44" s="16"/>
      <c r="X44" s="16"/>
      <c r="Y44" s="16"/>
      <c r="Z44" s="16"/>
      <c r="AA44" s="16"/>
      <c r="AB44" s="15"/>
      <c r="AC44" s="16"/>
      <c r="AD44" s="16"/>
      <c r="AE44" s="16"/>
      <c r="AF44" s="16"/>
      <c r="AG44" s="16"/>
      <c r="AH44" s="16"/>
      <c r="AI44" s="16"/>
      <c r="AJ44" s="15"/>
      <c r="AK44" s="16"/>
      <c r="AL44" s="16"/>
      <c r="AM44" s="16"/>
      <c r="AN44" s="16"/>
      <c r="AO44" s="16"/>
      <c r="AP44" s="117"/>
      <c r="AQ44" s="52"/>
      <c r="AR44" s="55">
        <v>54.612000000000002</v>
      </c>
      <c r="AS44" s="56">
        <v>0</v>
      </c>
      <c r="AT44" s="55" t="s">
        <v>353</v>
      </c>
    </row>
    <row r="45" spans="2:46" s="8" customFormat="1">
      <c r="B45" s="44" t="s">
        <v>16</v>
      </c>
      <c r="C45" s="40"/>
      <c r="D45" s="40" t="s">
        <v>366</v>
      </c>
      <c r="E45" s="17" t="s">
        <v>91</v>
      </c>
      <c r="F45" s="12" t="s">
        <v>344</v>
      </c>
      <c r="G45" s="12" t="s">
        <v>345</v>
      </c>
      <c r="H45" s="12" t="s">
        <v>351</v>
      </c>
      <c r="I45" s="16"/>
      <c r="J45" s="16"/>
      <c r="K45" s="16"/>
      <c r="L45" s="16"/>
      <c r="M45" s="16">
        <v>282</v>
      </c>
      <c r="N45" s="16">
        <v>278</v>
      </c>
      <c r="O45" s="16" t="s">
        <v>352</v>
      </c>
      <c r="P45" s="16">
        <v>35</v>
      </c>
      <c r="Q45" s="16">
        <v>268</v>
      </c>
      <c r="R45" s="16" t="s">
        <v>347</v>
      </c>
      <c r="S45" s="16">
        <v>0</v>
      </c>
      <c r="T45" s="15"/>
      <c r="U45" s="16"/>
      <c r="V45" s="16"/>
      <c r="W45" s="16"/>
      <c r="X45" s="16"/>
      <c r="Y45" s="16"/>
      <c r="Z45" s="16"/>
      <c r="AA45" s="16"/>
      <c r="AB45" s="15"/>
      <c r="AC45" s="16"/>
      <c r="AD45" s="16"/>
      <c r="AE45" s="16"/>
      <c r="AF45" s="16"/>
      <c r="AG45" s="16"/>
      <c r="AH45" s="16"/>
      <c r="AI45" s="16"/>
      <c r="AJ45" s="15"/>
      <c r="AK45" s="16"/>
      <c r="AL45" s="16"/>
      <c r="AM45" s="16"/>
      <c r="AN45" s="16"/>
      <c r="AO45" s="16"/>
      <c r="AP45" s="117"/>
      <c r="AQ45" s="52"/>
      <c r="AR45" s="55">
        <v>53.823</v>
      </c>
      <c r="AS45" s="56">
        <v>0</v>
      </c>
      <c r="AT45" s="55" t="s">
        <v>353</v>
      </c>
    </row>
    <row r="46" spans="2:46" s="8" customFormat="1">
      <c r="B46" s="44" t="s">
        <v>16</v>
      </c>
      <c r="C46" s="40"/>
      <c r="D46" s="40" t="s">
        <v>367</v>
      </c>
      <c r="E46" s="12" t="s">
        <v>95</v>
      </c>
      <c r="F46" s="17" t="s">
        <v>354</v>
      </c>
      <c r="G46" s="12" t="s">
        <v>345</v>
      </c>
      <c r="H46" s="12" t="s">
        <v>346</v>
      </c>
      <c r="I46" s="16"/>
      <c r="J46" s="16"/>
      <c r="K46" s="16"/>
      <c r="L46" s="16"/>
      <c r="M46" s="16">
        <v>322</v>
      </c>
      <c r="N46" s="16">
        <v>322</v>
      </c>
      <c r="O46" s="16" t="s">
        <v>347</v>
      </c>
      <c r="P46" s="16">
        <v>26</v>
      </c>
      <c r="Q46" s="16">
        <v>193</v>
      </c>
      <c r="R46" s="16">
        <v>19</v>
      </c>
      <c r="S46" s="16" t="s">
        <v>347</v>
      </c>
      <c r="T46" s="15"/>
      <c r="U46" s="16"/>
      <c r="V46" s="16"/>
      <c r="W46" s="16"/>
      <c r="X46" s="16"/>
      <c r="Y46" s="16"/>
      <c r="Z46" s="16"/>
      <c r="AA46" s="16"/>
      <c r="AB46" s="15">
        <f>IF(SUM(AC46:AI46)&gt;M46,"ERROR",(SUM(AC46:AI46)))</f>
        <v>0</v>
      </c>
      <c r="AC46" s="16"/>
      <c r="AD46" s="16"/>
      <c r="AE46" s="16"/>
      <c r="AF46" s="16"/>
      <c r="AG46" s="16"/>
      <c r="AH46" s="16"/>
      <c r="AI46" s="16"/>
      <c r="AJ46" s="15">
        <f>IF(SUM(AK46:AQ46)&gt;M46,"ERROR",(SUM(AK46:AQ46)))</f>
        <v>0</v>
      </c>
      <c r="AK46" s="16"/>
      <c r="AL46" s="16"/>
      <c r="AM46" s="16"/>
      <c r="AN46" s="16"/>
      <c r="AO46" s="16"/>
      <c r="AP46" s="117"/>
      <c r="AQ46" s="52"/>
      <c r="AR46" s="55" t="s">
        <v>348</v>
      </c>
      <c r="AS46" s="55" t="s">
        <v>348</v>
      </c>
      <c r="AT46" s="55" t="s">
        <v>348</v>
      </c>
    </row>
    <row r="47" spans="2:46" s="8" customFormat="1">
      <c r="B47" s="44" t="s">
        <v>16</v>
      </c>
      <c r="C47" s="40"/>
      <c r="D47" s="40" t="s">
        <v>367</v>
      </c>
      <c r="E47" s="12" t="s">
        <v>95</v>
      </c>
      <c r="F47" s="17" t="s">
        <v>354</v>
      </c>
      <c r="G47" s="12" t="s">
        <v>345</v>
      </c>
      <c r="H47" s="12" t="s">
        <v>349</v>
      </c>
      <c r="I47" s="16"/>
      <c r="J47" s="16"/>
      <c r="K47" s="16"/>
      <c r="L47" s="16"/>
      <c r="M47" s="16">
        <v>275</v>
      </c>
      <c r="N47" s="16">
        <v>275</v>
      </c>
      <c r="O47" s="16" t="s">
        <v>347</v>
      </c>
      <c r="P47" s="16">
        <v>27</v>
      </c>
      <c r="Q47" s="16">
        <v>138</v>
      </c>
      <c r="R47" s="16" t="s">
        <v>347</v>
      </c>
      <c r="S47" s="16" t="s">
        <v>347</v>
      </c>
      <c r="T47" s="15"/>
      <c r="U47" s="16"/>
      <c r="V47" s="16"/>
      <c r="W47" s="16"/>
      <c r="X47" s="16"/>
      <c r="Y47" s="16"/>
      <c r="Z47" s="16"/>
      <c r="AA47" s="16"/>
      <c r="AB47" s="15"/>
      <c r="AC47" s="16"/>
      <c r="AD47" s="16"/>
      <c r="AE47" s="16"/>
      <c r="AF47" s="16"/>
      <c r="AG47" s="16"/>
      <c r="AH47" s="16"/>
      <c r="AI47" s="16"/>
      <c r="AJ47" s="15"/>
      <c r="AK47" s="16"/>
      <c r="AL47" s="16"/>
      <c r="AM47" s="16"/>
      <c r="AN47" s="16"/>
      <c r="AO47" s="16"/>
      <c r="AP47" s="117"/>
      <c r="AQ47" s="52"/>
      <c r="AR47" s="55">
        <v>56.03</v>
      </c>
      <c r="AS47" s="56">
        <v>2.7</v>
      </c>
      <c r="AT47" s="55" t="s">
        <v>353</v>
      </c>
    </row>
    <row r="48" spans="2:46" s="8" customFormat="1">
      <c r="B48" s="44" t="s">
        <v>16</v>
      </c>
      <c r="C48" s="40"/>
      <c r="D48" s="40" t="s">
        <v>368</v>
      </c>
      <c r="E48" s="12" t="s">
        <v>103</v>
      </c>
      <c r="F48" s="12" t="s">
        <v>344</v>
      </c>
      <c r="G48" s="12" t="s">
        <v>345</v>
      </c>
      <c r="H48" s="12" t="s">
        <v>346</v>
      </c>
      <c r="I48" s="16"/>
      <c r="J48" s="16"/>
      <c r="K48" s="16"/>
      <c r="L48" s="16"/>
      <c r="M48" s="16">
        <v>333</v>
      </c>
      <c r="N48" s="16">
        <v>333</v>
      </c>
      <c r="O48" s="16" t="s">
        <v>347</v>
      </c>
      <c r="P48" s="16">
        <v>23</v>
      </c>
      <c r="Q48" s="16">
        <v>305</v>
      </c>
      <c r="R48" s="16" t="s">
        <v>347</v>
      </c>
      <c r="S48" s="16">
        <v>0</v>
      </c>
      <c r="T48" s="15"/>
      <c r="U48" s="16"/>
      <c r="V48" s="16"/>
      <c r="W48" s="16"/>
      <c r="X48" s="16"/>
      <c r="Y48" s="16"/>
      <c r="Z48" s="16"/>
      <c r="AA48" s="16"/>
      <c r="AB48" s="15"/>
      <c r="AC48" s="16"/>
      <c r="AD48" s="16"/>
      <c r="AE48" s="16"/>
      <c r="AF48" s="16"/>
      <c r="AG48" s="16"/>
      <c r="AH48" s="16"/>
      <c r="AI48" s="16"/>
      <c r="AJ48" s="15">
        <f>IF(SUM(AK48:AQ48)&gt;M48,"ERROR",(SUM(AK48:AQ48)))</f>
        <v>0</v>
      </c>
      <c r="AK48" s="16"/>
      <c r="AL48" s="16"/>
      <c r="AM48" s="16"/>
      <c r="AN48" s="16"/>
      <c r="AO48" s="16"/>
      <c r="AP48" s="117"/>
      <c r="AQ48" s="52"/>
      <c r="AR48" s="55" t="s">
        <v>348</v>
      </c>
      <c r="AS48" s="55" t="s">
        <v>348</v>
      </c>
      <c r="AT48" s="55" t="s">
        <v>348</v>
      </c>
    </row>
    <row r="49" spans="2:46" s="8" customFormat="1">
      <c r="B49" s="44" t="s">
        <v>16</v>
      </c>
      <c r="C49" s="40"/>
      <c r="D49" s="40" t="s">
        <v>368</v>
      </c>
      <c r="E49" s="12" t="s">
        <v>103</v>
      </c>
      <c r="F49" s="12" t="s">
        <v>344</v>
      </c>
      <c r="G49" s="12" t="s">
        <v>345</v>
      </c>
      <c r="H49" s="12" t="s">
        <v>349</v>
      </c>
      <c r="I49" s="16"/>
      <c r="J49" s="16"/>
      <c r="K49" s="16"/>
      <c r="L49" s="16"/>
      <c r="M49" s="16">
        <v>257</v>
      </c>
      <c r="N49" s="16">
        <v>215</v>
      </c>
      <c r="O49" s="16">
        <v>0</v>
      </c>
      <c r="P49" s="16">
        <v>28</v>
      </c>
      <c r="Q49" s="16">
        <v>244</v>
      </c>
      <c r="R49" s="16" t="s">
        <v>347</v>
      </c>
      <c r="S49" s="16">
        <v>0</v>
      </c>
      <c r="T49" s="15"/>
      <c r="U49" s="16"/>
      <c r="V49" s="16"/>
      <c r="W49" s="16"/>
      <c r="X49" s="16"/>
      <c r="Y49" s="16"/>
      <c r="Z49" s="16"/>
      <c r="AA49" s="16"/>
      <c r="AB49" s="15"/>
      <c r="AC49" s="16"/>
      <c r="AD49" s="16"/>
      <c r="AE49" s="16"/>
      <c r="AF49" s="16"/>
      <c r="AG49" s="16"/>
      <c r="AH49" s="16"/>
      <c r="AI49" s="16"/>
      <c r="AJ49" s="15"/>
      <c r="AK49" s="16"/>
      <c r="AL49" s="16"/>
      <c r="AM49" s="16"/>
      <c r="AN49" s="16"/>
      <c r="AO49" s="16"/>
      <c r="AP49" s="117"/>
      <c r="AQ49" s="52"/>
      <c r="AR49" s="55">
        <v>53.780999999999999</v>
      </c>
      <c r="AS49" s="56">
        <v>0</v>
      </c>
      <c r="AT49" s="55" t="s">
        <v>353</v>
      </c>
    </row>
    <row r="50" spans="2:46" s="8" customFormat="1">
      <c r="B50" s="44" t="s">
        <v>16</v>
      </c>
      <c r="C50" s="40"/>
      <c r="D50" s="40" t="s">
        <v>368</v>
      </c>
      <c r="E50" s="12" t="s">
        <v>103</v>
      </c>
      <c r="F50" s="12" t="s">
        <v>344</v>
      </c>
      <c r="G50" s="12" t="s">
        <v>345</v>
      </c>
      <c r="H50" s="12" t="s">
        <v>351</v>
      </c>
      <c r="I50" s="16"/>
      <c r="J50" s="16"/>
      <c r="K50" s="16"/>
      <c r="L50" s="16"/>
      <c r="M50" s="16">
        <v>149</v>
      </c>
      <c r="N50" s="16">
        <v>94</v>
      </c>
      <c r="O50" s="16" t="s">
        <v>352</v>
      </c>
      <c r="P50" s="16">
        <v>15</v>
      </c>
      <c r="Q50" s="16">
        <v>136</v>
      </c>
      <c r="R50" s="16" t="s">
        <v>347</v>
      </c>
      <c r="S50" s="16">
        <v>0</v>
      </c>
      <c r="T50" s="15"/>
      <c r="U50" s="16"/>
      <c r="V50" s="16"/>
      <c r="W50" s="16"/>
      <c r="X50" s="16"/>
      <c r="Y50" s="16"/>
      <c r="Z50" s="16"/>
      <c r="AA50" s="16"/>
      <c r="AB50" s="15"/>
      <c r="AC50" s="16"/>
      <c r="AD50" s="16"/>
      <c r="AE50" s="16"/>
      <c r="AF50" s="16"/>
      <c r="AG50" s="16"/>
      <c r="AH50" s="16"/>
      <c r="AI50" s="16"/>
      <c r="AJ50" s="15"/>
      <c r="AK50" s="16"/>
      <c r="AL50" s="16"/>
      <c r="AM50" s="16"/>
      <c r="AN50" s="16"/>
      <c r="AO50" s="16"/>
      <c r="AP50" s="117"/>
      <c r="AQ50" s="52"/>
      <c r="AR50" s="55">
        <v>50.655999999999999</v>
      </c>
      <c r="AS50" s="56">
        <v>2.5</v>
      </c>
      <c r="AT50" s="55" t="s">
        <v>353</v>
      </c>
    </row>
    <row r="51" spans="2:46" s="8" customFormat="1">
      <c r="B51" s="44" t="s">
        <v>16</v>
      </c>
      <c r="C51" s="40"/>
      <c r="D51" s="40" t="s">
        <v>369</v>
      </c>
      <c r="E51" s="12" t="s">
        <v>108</v>
      </c>
      <c r="F51" s="12" t="s">
        <v>344</v>
      </c>
      <c r="G51" s="12" t="s">
        <v>345</v>
      </c>
      <c r="H51" s="12" t="s">
        <v>346</v>
      </c>
      <c r="I51" s="16"/>
      <c r="J51" s="16"/>
      <c r="K51" s="16"/>
      <c r="L51" s="16"/>
      <c r="M51" s="16">
        <v>462</v>
      </c>
      <c r="N51" s="16">
        <v>462</v>
      </c>
      <c r="O51" s="16">
        <v>0</v>
      </c>
      <c r="P51" s="16">
        <v>62</v>
      </c>
      <c r="Q51" s="16">
        <v>173</v>
      </c>
      <c r="R51" s="16">
        <v>10</v>
      </c>
      <c r="S51" s="16">
        <v>0</v>
      </c>
      <c r="T51" s="15"/>
      <c r="U51" s="16"/>
      <c r="V51" s="16"/>
      <c r="W51" s="16"/>
      <c r="X51" s="16"/>
      <c r="Y51" s="16"/>
      <c r="Z51" s="16"/>
      <c r="AA51" s="16"/>
      <c r="AB51" s="15">
        <f>IF(SUM(AC51:AI51)&gt;M51,"ERROR",(SUM(AC51:AI51)))</f>
        <v>0</v>
      </c>
      <c r="AC51" s="16"/>
      <c r="AD51" s="16"/>
      <c r="AE51" s="16"/>
      <c r="AF51" s="16"/>
      <c r="AG51" s="16"/>
      <c r="AH51" s="16"/>
      <c r="AI51" s="16"/>
      <c r="AJ51" s="15">
        <f>IF(SUM(AK51:AQ51)&gt;M51,"ERROR",(SUM(AK51:AQ51)))</f>
        <v>0</v>
      </c>
      <c r="AK51" s="16"/>
      <c r="AL51" s="16"/>
      <c r="AM51" s="16"/>
      <c r="AN51" s="16"/>
      <c r="AO51" s="16"/>
      <c r="AP51" s="117"/>
      <c r="AQ51" s="52"/>
      <c r="AR51" s="55" t="s">
        <v>348</v>
      </c>
      <c r="AS51" s="55" t="s">
        <v>348</v>
      </c>
      <c r="AT51" s="55" t="s">
        <v>348</v>
      </c>
    </row>
    <row r="52" spans="2:46" s="8" customFormat="1">
      <c r="B52" s="44" t="s">
        <v>16</v>
      </c>
      <c r="C52" s="40"/>
      <c r="D52" s="40" t="s">
        <v>369</v>
      </c>
      <c r="E52" s="12" t="s">
        <v>108</v>
      </c>
      <c r="F52" s="12" t="s">
        <v>344</v>
      </c>
      <c r="G52" s="12" t="s">
        <v>345</v>
      </c>
      <c r="H52" s="12" t="s">
        <v>349</v>
      </c>
      <c r="I52" s="16"/>
      <c r="J52" s="16"/>
      <c r="K52" s="16"/>
      <c r="L52" s="16"/>
      <c r="M52" s="16">
        <v>404</v>
      </c>
      <c r="N52" s="16">
        <v>404</v>
      </c>
      <c r="O52" s="16">
        <v>0</v>
      </c>
      <c r="P52" s="16">
        <v>47</v>
      </c>
      <c r="Q52" s="16">
        <v>167</v>
      </c>
      <c r="R52" s="16" t="s">
        <v>347</v>
      </c>
      <c r="S52" s="16">
        <v>0</v>
      </c>
      <c r="T52" s="15"/>
      <c r="U52" s="16"/>
      <c r="V52" s="16"/>
      <c r="W52" s="16"/>
      <c r="X52" s="16"/>
      <c r="Y52" s="16"/>
      <c r="Z52" s="16"/>
      <c r="AA52" s="16"/>
      <c r="AB52" s="15"/>
      <c r="AC52" s="16"/>
      <c r="AD52" s="16"/>
      <c r="AE52" s="16"/>
      <c r="AF52" s="16"/>
      <c r="AG52" s="16"/>
      <c r="AH52" s="16"/>
      <c r="AI52" s="16"/>
      <c r="AJ52" s="15"/>
      <c r="AK52" s="16"/>
      <c r="AL52" s="16"/>
      <c r="AM52" s="16"/>
      <c r="AN52" s="16"/>
      <c r="AO52" s="16"/>
      <c r="AP52" s="117"/>
      <c r="AQ52" s="52"/>
      <c r="AR52" s="55">
        <v>72.271000000000001</v>
      </c>
      <c r="AS52" s="56">
        <v>0</v>
      </c>
      <c r="AT52" s="55" t="s">
        <v>350</v>
      </c>
    </row>
    <row r="53" spans="2:46" s="8" customFormat="1">
      <c r="B53" s="44" t="s">
        <v>16</v>
      </c>
      <c r="C53" s="40"/>
      <c r="D53" s="40" t="s">
        <v>369</v>
      </c>
      <c r="E53" s="12" t="s">
        <v>108</v>
      </c>
      <c r="F53" s="12" t="s">
        <v>344</v>
      </c>
      <c r="G53" s="12" t="s">
        <v>345</v>
      </c>
      <c r="H53" s="12" t="s">
        <v>351</v>
      </c>
      <c r="I53" s="16"/>
      <c r="J53" s="16"/>
      <c r="K53" s="16"/>
      <c r="L53" s="16"/>
      <c r="M53" s="16">
        <v>390</v>
      </c>
      <c r="N53" s="16">
        <v>354</v>
      </c>
      <c r="O53" s="16" t="s">
        <v>352</v>
      </c>
      <c r="P53" s="16">
        <v>36</v>
      </c>
      <c r="Q53" s="16">
        <v>170</v>
      </c>
      <c r="R53" s="16" t="s">
        <v>347</v>
      </c>
      <c r="S53" s="16" t="s">
        <v>347</v>
      </c>
      <c r="T53" s="15"/>
      <c r="U53" s="16"/>
      <c r="V53" s="16"/>
      <c r="W53" s="16"/>
      <c r="X53" s="16"/>
      <c r="Y53" s="16"/>
      <c r="Z53" s="16"/>
      <c r="AA53" s="16"/>
      <c r="AB53" s="15"/>
      <c r="AC53" s="16"/>
      <c r="AD53" s="16"/>
      <c r="AE53" s="16"/>
      <c r="AF53" s="16"/>
      <c r="AG53" s="16"/>
      <c r="AH53" s="16"/>
      <c r="AI53" s="16"/>
      <c r="AJ53" s="15"/>
      <c r="AK53" s="16"/>
      <c r="AL53" s="16"/>
      <c r="AM53" s="16"/>
      <c r="AN53" s="16"/>
      <c r="AO53" s="16"/>
      <c r="AP53" s="117"/>
      <c r="AQ53" s="52"/>
      <c r="AR53" s="55">
        <v>72.344999999999999</v>
      </c>
      <c r="AS53" s="56">
        <v>0</v>
      </c>
      <c r="AT53" s="55" t="s">
        <v>350</v>
      </c>
    </row>
    <row r="54" spans="2:46" s="8" customFormat="1">
      <c r="B54" s="44" t="s">
        <v>16</v>
      </c>
      <c r="C54" s="40"/>
      <c r="D54" s="40">
        <v>142968</v>
      </c>
      <c r="E54" s="17" t="s">
        <v>113</v>
      </c>
      <c r="F54" s="12" t="s">
        <v>344</v>
      </c>
      <c r="G54" s="12" t="s">
        <v>345</v>
      </c>
      <c r="H54" s="12" t="s">
        <v>346</v>
      </c>
      <c r="I54" s="16"/>
      <c r="J54" s="16"/>
      <c r="K54" s="16"/>
      <c r="L54" s="16"/>
      <c r="M54" s="16">
        <v>270</v>
      </c>
      <c r="N54" s="16">
        <v>270</v>
      </c>
      <c r="O54" s="16" t="s">
        <v>347</v>
      </c>
      <c r="P54" s="16">
        <v>56</v>
      </c>
      <c r="Q54" s="16">
        <v>190</v>
      </c>
      <c r="R54" s="16">
        <v>15</v>
      </c>
      <c r="S54" s="16">
        <v>0</v>
      </c>
      <c r="T54" s="15"/>
      <c r="U54" s="16"/>
      <c r="V54" s="16"/>
      <c r="W54" s="16"/>
      <c r="X54" s="16"/>
      <c r="Y54" s="16"/>
      <c r="Z54" s="16"/>
      <c r="AA54" s="16"/>
      <c r="AB54" s="15">
        <f>IF(SUM(AC54:AI54)&gt;M54,"ERROR",(SUM(AC54:AI54)))</f>
        <v>0</v>
      </c>
      <c r="AC54" s="16"/>
      <c r="AD54" s="16"/>
      <c r="AE54" s="16"/>
      <c r="AF54" s="16"/>
      <c r="AG54" s="16"/>
      <c r="AH54" s="16"/>
      <c r="AI54" s="16"/>
      <c r="AJ54" s="15">
        <f>IF(SUM(AK54:AQ54)&gt;M54,"ERROR",(SUM(AK54:AQ54)))</f>
        <v>0</v>
      </c>
      <c r="AK54" s="16"/>
      <c r="AL54" s="16"/>
      <c r="AM54" s="16"/>
      <c r="AN54" s="16"/>
      <c r="AO54" s="16"/>
      <c r="AP54" s="117"/>
      <c r="AQ54" s="52"/>
      <c r="AR54" s="55" t="s">
        <v>348</v>
      </c>
      <c r="AS54" s="55" t="s">
        <v>348</v>
      </c>
      <c r="AT54" s="55" t="s">
        <v>348</v>
      </c>
    </row>
    <row r="55" spans="2:46" s="8" customFormat="1">
      <c r="B55" s="44" t="s">
        <v>16</v>
      </c>
      <c r="C55" s="40"/>
      <c r="D55" s="40">
        <v>142968</v>
      </c>
      <c r="E55" s="17" t="s">
        <v>113</v>
      </c>
      <c r="F55" s="12" t="s">
        <v>344</v>
      </c>
      <c r="G55" s="12" t="s">
        <v>345</v>
      </c>
      <c r="H55" s="12" t="s">
        <v>349</v>
      </c>
      <c r="I55" s="16"/>
      <c r="J55" s="16"/>
      <c r="K55" s="16"/>
      <c r="L55" s="16"/>
      <c r="M55" s="16">
        <v>310</v>
      </c>
      <c r="N55" s="16">
        <v>309</v>
      </c>
      <c r="O55" s="16" t="s">
        <v>347</v>
      </c>
      <c r="P55" s="16">
        <v>55</v>
      </c>
      <c r="Q55" s="16" t="s">
        <v>370</v>
      </c>
      <c r="R55" s="16">
        <v>19</v>
      </c>
      <c r="S55" s="16" t="s">
        <v>347</v>
      </c>
      <c r="T55" s="15"/>
      <c r="U55" s="16"/>
      <c r="V55" s="16"/>
      <c r="W55" s="16"/>
      <c r="X55" s="16"/>
      <c r="Y55" s="16"/>
      <c r="Z55" s="16"/>
      <c r="AA55" s="16"/>
      <c r="AB55" s="15"/>
      <c r="AC55" s="16"/>
      <c r="AD55" s="16"/>
      <c r="AE55" s="16"/>
      <c r="AF55" s="16"/>
      <c r="AG55" s="16"/>
      <c r="AH55" s="16"/>
      <c r="AI55" s="16"/>
      <c r="AJ55" s="15"/>
      <c r="AK55" s="16"/>
      <c r="AL55" s="16"/>
      <c r="AM55" s="16"/>
      <c r="AN55" s="16"/>
      <c r="AO55" s="16"/>
      <c r="AP55" s="117"/>
      <c r="AQ55" s="52"/>
      <c r="AR55" s="55">
        <v>53.542999999999999</v>
      </c>
      <c r="AS55" s="56">
        <v>0</v>
      </c>
      <c r="AT55" s="55" t="s">
        <v>353</v>
      </c>
    </row>
    <row r="56" spans="2:46" s="8" customFormat="1">
      <c r="B56" s="44" t="s">
        <v>16</v>
      </c>
      <c r="C56" s="40"/>
      <c r="D56" s="40">
        <v>142968</v>
      </c>
      <c r="E56" s="17" t="s">
        <v>113</v>
      </c>
      <c r="F56" s="12" t="s">
        <v>344</v>
      </c>
      <c r="G56" s="12" t="s">
        <v>345</v>
      </c>
      <c r="H56" s="12" t="s">
        <v>351</v>
      </c>
      <c r="I56" s="16"/>
      <c r="J56" s="16"/>
      <c r="K56" s="16"/>
      <c r="L56" s="16"/>
      <c r="M56" s="16">
        <v>265</v>
      </c>
      <c r="N56" s="16">
        <v>260</v>
      </c>
      <c r="O56" s="16" t="s">
        <v>352</v>
      </c>
      <c r="P56" s="16">
        <v>53</v>
      </c>
      <c r="Q56" s="16">
        <v>170</v>
      </c>
      <c r="R56" s="16">
        <v>21</v>
      </c>
      <c r="S56" s="16">
        <v>0</v>
      </c>
      <c r="T56" s="15"/>
      <c r="U56" s="16"/>
      <c r="V56" s="16"/>
      <c r="W56" s="16"/>
      <c r="X56" s="16"/>
      <c r="Y56" s="16"/>
      <c r="Z56" s="16"/>
      <c r="AA56" s="16"/>
      <c r="AB56" s="15"/>
      <c r="AC56" s="16"/>
      <c r="AD56" s="16"/>
      <c r="AE56" s="16"/>
      <c r="AF56" s="16"/>
      <c r="AG56" s="16"/>
      <c r="AH56" s="16"/>
      <c r="AI56" s="16"/>
      <c r="AJ56" s="15"/>
      <c r="AK56" s="16"/>
      <c r="AL56" s="16"/>
      <c r="AM56" s="16"/>
      <c r="AN56" s="16"/>
      <c r="AO56" s="16"/>
      <c r="AP56" s="117"/>
      <c r="AQ56" s="52"/>
      <c r="AR56" s="55">
        <v>53.179000000000002</v>
      </c>
      <c r="AS56" s="56">
        <v>0.5</v>
      </c>
      <c r="AT56" s="55" t="s">
        <v>353</v>
      </c>
    </row>
    <row r="57" spans="2:46" s="8" customFormat="1">
      <c r="B57" s="44" t="s">
        <v>16</v>
      </c>
      <c r="C57" s="40"/>
      <c r="D57" s="40" t="s">
        <v>371</v>
      </c>
      <c r="E57" s="17" t="s">
        <v>117</v>
      </c>
      <c r="F57" s="12" t="s">
        <v>344</v>
      </c>
      <c r="G57" s="12" t="s">
        <v>345</v>
      </c>
      <c r="H57" s="12" t="s">
        <v>346</v>
      </c>
      <c r="I57" s="16"/>
      <c r="J57" s="16"/>
      <c r="K57" s="16"/>
      <c r="L57" s="16"/>
      <c r="M57" s="16">
        <v>197</v>
      </c>
      <c r="N57" s="16">
        <v>197</v>
      </c>
      <c r="O57" s="16">
        <v>10</v>
      </c>
      <c r="P57" s="16">
        <v>35</v>
      </c>
      <c r="Q57" s="16">
        <v>47</v>
      </c>
      <c r="R57" s="16">
        <v>47</v>
      </c>
      <c r="S57" s="16">
        <v>0</v>
      </c>
      <c r="T57" s="15"/>
      <c r="U57" s="16"/>
      <c r="V57" s="16"/>
      <c r="W57" s="16"/>
      <c r="X57" s="16"/>
      <c r="Y57" s="16"/>
      <c r="Z57" s="16"/>
      <c r="AA57" s="16"/>
      <c r="AB57" s="15"/>
      <c r="AC57" s="16"/>
      <c r="AD57" s="16"/>
      <c r="AE57" s="16"/>
      <c r="AF57" s="16"/>
      <c r="AG57" s="16"/>
      <c r="AH57" s="16"/>
      <c r="AI57" s="16"/>
      <c r="AJ57" s="15"/>
      <c r="AK57" s="16"/>
      <c r="AL57" s="16"/>
      <c r="AM57" s="16"/>
      <c r="AN57" s="16"/>
      <c r="AO57" s="16"/>
      <c r="AP57" s="117"/>
      <c r="AQ57" s="52"/>
      <c r="AR57" s="55" t="s">
        <v>348</v>
      </c>
      <c r="AS57" s="55" t="s">
        <v>348</v>
      </c>
      <c r="AT57" s="55" t="s">
        <v>348</v>
      </c>
    </row>
    <row r="58" spans="2:46" s="8" customFormat="1">
      <c r="B58" s="44" t="s">
        <v>16</v>
      </c>
      <c r="C58" s="40"/>
      <c r="D58" s="40" t="s">
        <v>371</v>
      </c>
      <c r="E58" s="17" t="s">
        <v>117</v>
      </c>
      <c r="F58" s="12" t="s">
        <v>344</v>
      </c>
      <c r="G58" s="12" t="s">
        <v>345</v>
      </c>
      <c r="H58" s="12" t="s">
        <v>349</v>
      </c>
      <c r="I58" s="16"/>
      <c r="J58" s="16"/>
      <c r="K58" s="16"/>
      <c r="L58" s="16"/>
      <c r="M58" s="16">
        <v>221</v>
      </c>
      <c r="N58" s="16">
        <v>220</v>
      </c>
      <c r="O58" s="16">
        <v>17</v>
      </c>
      <c r="P58" s="16">
        <v>37</v>
      </c>
      <c r="Q58" s="16">
        <v>102</v>
      </c>
      <c r="R58" s="16">
        <v>52</v>
      </c>
      <c r="S58" s="16">
        <v>0</v>
      </c>
      <c r="T58" s="15"/>
      <c r="U58" s="16"/>
      <c r="V58" s="16"/>
      <c r="W58" s="16"/>
      <c r="X58" s="16"/>
      <c r="Y58" s="16"/>
      <c r="Z58" s="16"/>
      <c r="AA58" s="16"/>
      <c r="AB58" s="15"/>
      <c r="AC58" s="16"/>
      <c r="AD58" s="16"/>
      <c r="AE58" s="16"/>
      <c r="AF58" s="16"/>
      <c r="AG58" s="16"/>
      <c r="AH58" s="16"/>
      <c r="AI58" s="16"/>
      <c r="AJ58" s="15"/>
      <c r="AK58" s="16"/>
      <c r="AL58" s="16"/>
      <c r="AM58" s="16"/>
      <c r="AN58" s="16"/>
      <c r="AO58" s="16"/>
      <c r="AP58" s="117"/>
      <c r="AQ58" s="52"/>
      <c r="AR58" s="55">
        <v>74.414000000000001</v>
      </c>
      <c r="AS58" s="56">
        <v>0</v>
      </c>
      <c r="AT58" s="55" t="s">
        <v>350</v>
      </c>
    </row>
    <row r="59" spans="2:46" s="8" customFormat="1">
      <c r="B59" s="44" t="s">
        <v>16</v>
      </c>
      <c r="C59" s="40"/>
      <c r="D59" s="40" t="s">
        <v>371</v>
      </c>
      <c r="E59" s="17" t="s">
        <v>117</v>
      </c>
      <c r="F59" s="12" t="s">
        <v>344</v>
      </c>
      <c r="G59" s="12" t="s">
        <v>345</v>
      </c>
      <c r="H59" s="12" t="s">
        <v>351</v>
      </c>
      <c r="I59" s="16"/>
      <c r="J59" s="16"/>
      <c r="K59" s="16"/>
      <c r="L59" s="16"/>
      <c r="M59" s="16">
        <v>240</v>
      </c>
      <c r="N59" s="16">
        <v>238</v>
      </c>
      <c r="O59" s="16" t="s">
        <v>352</v>
      </c>
      <c r="P59" s="16">
        <v>33</v>
      </c>
      <c r="Q59" s="16">
        <v>105</v>
      </c>
      <c r="R59" s="16">
        <v>52</v>
      </c>
      <c r="S59" s="16">
        <v>0</v>
      </c>
      <c r="T59" s="15"/>
      <c r="U59" s="16"/>
      <c r="V59" s="16"/>
      <c r="W59" s="16"/>
      <c r="X59" s="16"/>
      <c r="Y59" s="16"/>
      <c r="Z59" s="16"/>
      <c r="AA59" s="16"/>
      <c r="AB59" s="15"/>
      <c r="AC59" s="16"/>
      <c r="AD59" s="16"/>
      <c r="AE59" s="16"/>
      <c r="AF59" s="16"/>
      <c r="AG59" s="16"/>
      <c r="AH59" s="16"/>
      <c r="AI59" s="16"/>
      <c r="AJ59" s="15"/>
      <c r="AK59" s="16"/>
      <c r="AL59" s="16"/>
      <c r="AM59" s="16"/>
      <c r="AN59" s="16"/>
      <c r="AO59" s="16"/>
      <c r="AP59" s="117"/>
      <c r="AQ59" s="52"/>
      <c r="AR59" s="55">
        <v>78.028000000000006</v>
      </c>
      <c r="AS59" s="56">
        <v>0.6</v>
      </c>
      <c r="AT59" s="55" t="s">
        <v>350</v>
      </c>
    </row>
    <row r="60" spans="2:46" s="8" customFormat="1">
      <c r="B60" s="44" t="s">
        <v>123</v>
      </c>
      <c r="C60" s="40"/>
      <c r="D60" s="40" t="s">
        <v>372</v>
      </c>
      <c r="E60" s="17" t="s">
        <v>121</v>
      </c>
      <c r="F60" s="12" t="s">
        <v>373</v>
      </c>
      <c r="G60" s="12" t="s">
        <v>345</v>
      </c>
      <c r="H60" s="12" t="s">
        <v>346</v>
      </c>
      <c r="I60" s="16"/>
      <c r="J60" s="16"/>
      <c r="K60" s="16"/>
      <c r="L60" s="16"/>
      <c r="M60" s="16">
        <v>186</v>
      </c>
      <c r="N60" s="16">
        <v>165</v>
      </c>
      <c r="O60" s="16">
        <v>0</v>
      </c>
      <c r="P60" s="16" t="s">
        <v>347</v>
      </c>
      <c r="Q60" s="16">
        <v>165</v>
      </c>
      <c r="R60" s="16">
        <v>9</v>
      </c>
      <c r="S60" s="16">
        <v>0</v>
      </c>
      <c r="T60" s="15"/>
      <c r="U60" s="16"/>
      <c r="V60" s="16"/>
      <c r="W60" s="16"/>
      <c r="X60" s="16"/>
      <c r="Y60" s="16"/>
      <c r="Z60" s="16"/>
      <c r="AA60" s="16"/>
      <c r="AB60" s="15">
        <f>IF(SUM(AC60:AI60)&gt;M60,"ERROR",(SUM(AC60:AI60)))</f>
        <v>0</v>
      </c>
      <c r="AC60" s="16"/>
      <c r="AD60" s="16"/>
      <c r="AE60" s="16"/>
      <c r="AF60" s="16"/>
      <c r="AG60" s="16"/>
      <c r="AH60" s="16"/>
      <c r="AI60" s="16"/>
      <c r="AJ60" s="15">
        <f>IF(SUM(AK60:AQ60)&gt;M60,"ERROR",(SUM(AK60:AQ60)))</f>
        <v>0</v>
      </c>
      <c r="AK60" s="16"/>
      <c r="AL60" s="16"/>
      <c r="AM60" s="16"/>
      <c r="AN60" s="16"/>
      <c r="AO60" s="16"/>
      <c r="AP60" s="117"/>
      <c r="AQ60" s="52"/>
      <c r="AR60" s="53" t="s">
        <v>348</v>
      </c>
      <c r="AS60" s="54" t="s">
        <v>348</v>
      </c>
      <c r="AT60" s="53" t="s">
        <v>374</v>
      </c>
    </row>
    <row r="61" spans="2:46" s="8" customFormat="1">
      <c r="B61" s="44" t="s">
        <v>123</v>
      </c>
      <c r="C61" s="40"/>
      <c r="D61" s="40" t="s">
        <v>372</v>
      </c>
      <c r="E61" s="17" t="s">
        <v>121</v>
      </c>
      <c r="F61" s="12" t="s">
        <v>373</v>
      </c>
      <c r="G61" s="12" t="s">
        <v>345</v>
      </c>
      <c r="H61" s="12" t="s">
        <v>349</v>
      </c>
      <c r="I61" s="16"/>
      <c r="J61" s="16"/>
      <c r="K61" s="16"/>
      <c r="L61" s="16"/>
      <c r="M61" s="16">
        <v>180</v>
      </c>
      <c r="N61" s="16">
        <v>161</v>
      </c>
      <c r="O61" s="16">
        <v>0</v>
      </c>
      <c r="P61" s="16" t="s">
        <v>347</v>
      </c>
      <c r="Q61" s="16">
        <v>160</v>
      </c>
      <c r="R61" s="16">
        <v>6</v>
      </c>
      <c r="S61" s="16">
        <v>0</v>
      </c>
      <c r="T61" s="15"/>
      <c r="U61" s="16"/>
      <c r="V61" s="16"/>
      <c r="W61" s="16"/>
      <c r="X61" s="16"/>
      <c r="Y61" s="16"/>
      <c r="Z61" s="16"/>
      <c r="AA61" s="16"/>
      <c r="AB61" s="15"/>
      <c r="AC61" s="16"/>
      <c r="AD61" s="16"/>
      <c r="AE61" s="16"/>
      <c r="AF61" s="16"/>
      <c r="AG61" s="16"/>
      <c r="AH61" s="16"/>
      <c r="AI61" s="16"/>
      <c r="AJ61" s="15"/>
      <c r="AK61" s="16"/>
      <c r="AL61" s="16"/>
      <c r="AM61" s="16"/>
      <c r="AN61" s="16"/>
      <c r="AO61" s="16"/>
      <c r="AP61" s="117"/>
      <c r="AQ61" s="52"/>
      <c r="AR61" s="53">
        <v>73.48</v>
      </c>
      <c r="AS61" s="54">
        <v>0</v>
      </c>
      <c r="AT61" s="53" t="s">
        <v>352</v>
      </c>
    </row>
    <row r="62" spans="2:46" s="8" customFormat="1">
      <c r="B62" s="44" t="s">
        <v>123</v>
      </c>
      <c r="C62" s="40"/>
      <c r="D62" s="40" t="s">
        <v>372</v>
      </c>
      <c r="E62" s="17" t="s">
        <v>121</v>
      </c>
      <c r="F62" s="12" t="s">
        <v>373</v>
      </c>
      <c r="G62" s="12" t="s">
        <v>345</v>
      </c>
      <c r="H62" s="12" t="s">
        <v>351</v>
      </c>
      <c r="I62" s="16"/>
      <c r="J62" s="16"/>
      <c r="K62" s="16"/>
      <c r="L62" s="16"/>
      <c r="M62" s="16">
        <v>172</v>
      </c>
      <c r="N62" s="16">
        <v>129</v>
      </c>
      <c r="O62" s="16">
        <v>0</v>
      </c>
      <c r="P62" s="16" t="s">
        <v>347</v>
      </c>
      <c r="Q62" s="16">
        <v>163</v>
      </c>
      <c r="R62" s="16">
        <v>4</v>
      </c>
      <c r="S62" s="16">
        <v>1</v>
      </c>
      <c r="T62" s="15"/>
      <c r="U62" s="16"/>
      <c r="V62" s="16"/>
      <c r="W62" s="16"/>
      <c r="X62" s="16"/>
      <c r="Y62" s="16"/>
      <c r="Z62" s="16"/>
      <c r="AA62" s="16"/>
      <c r="AB62" s="15"/>
      <c r="AC62" s="16"/>
      <c r="AD62" s="16"/>
      <c r="AE62" s="16"/>
      <c r="AF62" s="16"/>
      <c r="AG62" s="16"/>
      <c r="AH62" s="16"/>
      <c r="AI62" s="16"/>
      <c r="AJ62" s="15"/>
      <c r="AK62" s="16"/>
      <c r="AL62" s="16"/>
      <c r="AM62" s="16"/>
      <c r="AN62" s="16"/>
      <c r="AO62" s="16"/>
      <c r="AP62" s="117"/>
      <c r="AQ62" s="52"/>
      <c r="AR62" s="114">
        <v>37.700000000000003</v>
      </c>
      <c r="AS62" s="54" t="s">
        <v>352</v>
      </c>
      <c r="AT62" s="53" t="s">
        <v>352</v>
      </c>
    </row>
    <row r="63" spans="2:46" s="8" customFormat="1">
      <c r="B63" s="44" t="s">
        <v>16</v>
      </c>
      <c r="C63" s="40"/>
      <c r="D63" s="40" t="s">
        <v>375</v>
      </c>
      <c r="E63" s="12" t="s">
        <v>130</v>
      </c>
      <c r="F63" s="12" t="s">
        <v>344</v>
      </c>
      <c r="G63" s="17" t="s">
        <v>345</v>
      </c>
      <c r="H63" s="12" t="s">
        <v>346</v>
      </c>
      <c r="I63" s="16"/>
      <c r="J63" s="16"/>
      <c r="K63" s="16"/>
      <c r="L63" s="16"/>
      <c r="M63" s="16">
        <v>263</v>
      </c>
      <c r="N63" s="16">
        <v>263</v>
      </c>
      <c r="O63" s="16">
        <v>0</v>
      </c>
      <c r="P63" s="16">
        <v>27</v>
      </c>
      <c r="Q63" s="16">
        <v>256</v>
      </c>
      <c r="R63" s="16" t="s">
        <v>347</v>
      </c>
      <c r="S63" s="16">
        <v>0</v>
      </c>
      <c r="T63" s="15" t="s">
        <v>376</v>
      </c>
      <c r="U63" s="16"/>
      <c r="V63" s="16"/>
      <c r="W63" s="16"/>
      <c r="X63" s="16"/>
      <c r="Y63" s="16"/>
      <c r="Z63" s="16"/>
      <c r="AA63" s="16"/>
      <c r="AB63" s="15"/>
      <c r="AC63" s="16"/>
      <c r="AD63" s="16"/>
      <c r="AE63" s="16"/>
      <c r="AF63" s="16"/>
      <c r="AG63" s="16"/>
      <c r="AH63" s="16"/>
      <c r="AI63" s="16"/>
      <c r="AJ63" s="15">
        <f>IF(SUM(AK63:AQ63)&gt;M63,"ERROR",(SUM(AK63:AQ63)))</f>
        <v>0</v>
      </c>
      <c r="AK63" s="16"/>
      <c r="AL63" s="16"/>
      <c r="AM63" s="16"/>
      <c r="AN63" s="16"/>
      <c r="AO63" s="16"/>
      <c r="AP63" s="117"/>
      <c r="AQ63" s="52"/>
      <c r="AR63" s="55" t="s">
        <v>348</v>
      </c>
      <c r="AS63" s="55" t="s">
        <v>348</v>
      </c>
      <c r="AT63" s="55" t="s">
        <v>348</v>
      </c>
    </row>
    <row r="64" spans="2:46" s="8" customFormat="1">
      <c r="B64" s="44" t="s">
        <v>16</v>
      </c>
      <c r="C64" s="40"/>
      <c r="D64" s="40" t="s">
        <v>375</v>
      </c>
      <c r="E64" s="12" t="s">
        <v>130</v>
      </c>
      <c r="F64" s="12" t="s">
        <v>344</v>
      </c>
      <c r="G64" s="17" t="s">
        <v>345</v>
      </c>
      <c r="H64" s="12" t="s">
        <v>349</v>
      </c>
      <c r="I64" s="16"/>
      <c r="J64" s="16"/>
      <c r="K64" s="16"/>
      <c r="L64" s="16"/>
      <c r="M64" s="16">
        <v>238</v>
      </c>
      <c r="N64" s="16">
        <v>238</v>
      </c>
      <c r="O64" s="16">
        <v>0</v>
      </c>
      <c r="P64" s="16">
        <v>30</v>
      </c>
      <c r="Q64" s="16">
        <v>229</v>
      </c>
      <c r="R64" s="16" t="s">
        <v>347</v>
      </c>
      <c r="S64" s="16">
        <v>0</v>
      </c>
      <c r="T64" s="15"/>
      <c r="U64" s="16"/>
      <c r="V64" s="16"/>
      <c r="W64" s="16"/>
      <c r="X64" s="16"/>
      <c r="Y64" s="16"/>
      <c r="Z64" s="16"/>
      <c r="AA64" s="16"/>
      <c r="AB64" s="15"/>
      <c r="AC64" s="16"/>
      <c r="AD64" s="16"/>
      <c r="AE64" s="16"/>
      <c r="AF64" s="16"/>
      <c r="AG64" s="16"/>
      <c r="AH64" s="16"/>
      <c r="AI64" s="16"/>
      <c r="AJ64" s="15"/>
      <c r="AK64" s="16"/>
      <c r="AL64" s="16"/>
      <c r="AM64" s="16"/>
      <c r="AN64" s="16"/>
      <c r="AO64" s="16"/>
      <c r="AP64" s="117"/>
      <c r="AQ64" s="52"/>
      <c r="AR64" s="55">
        <v>56.061</v>
      </c>
      <c r="AS64" s="56">
        <v>0</v>
      </c>
      <c r="AT64" s="55" t="s">
        <v>353</v>
      </c>
    </row>
    <row r="65" spans="2:46" s="8" customFormat="1">
      <c r="B65" s="44" t="s">
        <v>16</v>
      </c>
      <c r="C65" s="40"/>
      <c r="D65" s="40" t="s">
        <v>375</v>
      </c>
      <c r="E65" s="12" t="s">
        <v>130</v>
      </c>
      <c r="F65" s="12" t="s">
        <v>344</v>
      </c>
      <c r="G65" s="17" t="s">
        <v>345</v>
      </c>
      <c r="H65" s="12" t="s">
        <v>351</v>
      </c>
      <c r="I65" s="16"/>
      <c r="J65" s="16"/>
      <c r="K65" s="16"/>
      <c r="L65" s="16"/>
      <c r="M65" s="16">
        <v>239</v>
      </c>
      <c r="N65" s="16">
        <v>239</v>
      </c>
      <c r="O65" s="16" t="s">
        <v>352</v>
      </c>
      <c r="P65" s="16">
        <v>30</v>
      </c>
      <c r="Q65" s="16">
        <v>232</v>
      </c>
      <c r="R65" s="16">
        <v>0</v>
      </c>
      <c r="S65" s="16" t="s">
        <v>347</v>
      </c>
      <c r="T65" s="15"/>
      <c r="U65" s="16"/>
      <c r="V65" s="16"/>
      <c r="W65" s="16"/>
      <c r="X65" s="16"/>
      <c r="Y65" s="16"/>
      <c r="Z65" s="16"/>
      <c r="AA65" s="16"/>
      <c r="AB65" s="15"/>
      <c r="AC65" s="16"/>
      <c r="AD65" s="16"/>
      <c r="AE65" s="16"/>
      <c r="AF65" s="16"/>
      <c r="AG65" s="16"/>
      <c r="AH65" s="16"/>
      <c r="AI65" s="16"/>
      <c r="AJ65" s="15"/>
      <c r="AK65" s="16"/>
      <c r="AL65" s="16"/>
      <c r="AM65" s="16"/>
      <c r="AN65" s="16"/>
      <c r="AO65" s="16"/>
      <c r="AP65" s="117"/>
      <c r="AQ65" s="52"/>
      <c r="AR65" s="55">
        <v>45.195</v>
      </c>
      <c r="AS65" s="56">
        <v>2.9</v>
      </c>
      <c r="AT65" s="55" t="s">
        <v>353</v>
      </c>
    </row>
    <row r="66" spans="2:46" s="8" customFormat="1">
      <c r="B66" s="44" t="s">
        <v>16</v>
      </c>
      <c r="C66" s="40"/>
      <c r="D66" s="40" t="s">
        <v>377</v>
      </c>
      <c r="E66" s="17" t="s">
        <v>134</v>
      </c>
      <c r="F66" s="12" t="s">
        <v>344</v>
      </c>
      <c r="G66" s="12" t="s">
        <v>345</v>
      </c>
      <c r="H66" s="12" t="s">
        <v>346</v>
      </c>
      <c r="I66" s="16"/>
      <c r="J66" s="16"/>
      <c r="K66" s="16"/>
      <c r="L66" s="16"/>
      <c r="M66" s="16">
        <v>358</v>
      </c>
      <c r="N66" s="16">
        <v>358</v>
      </c>
      <c r="O66" s="16">
        <v>28</v>
      </c>
      <c r="P66" s="16">
        <v>72</v>
      </c>
      <c r="Q66" s="16">
        <v>118</v>
      </c>
      <c r="R66" s="16">
        <v>111</v>
      </c>
      <c r="S66" s="16">
        <v>0</v>
      </c>
      <c r="T66" s="15"/>
      <c r="U66" s="16"/>
      <c r="V66" s="16"/>
      <c r="W66" s="16"/>
      <c r="X66" s="16"/>
      <c r="Y66" s="16"/>
      <c r="Z66" s="16"/>
      <c r="AA66" s="16"/>
      <c r="AB66" s="15">
        <f>IF(SUM(AC66:AI66)&gt;M66,"ERROR",(SUM(AC66:AI66)))</f>
        <v>0</v>
      </c>
      <c r="AC66" s="16"/>
      <c r="AD66" s="16"/>
      <c r="AE66" s="16"/>
      <c r="AF66" s="16"/>
      <c r="AG66" s="16"/>
      <c r="AH66" s="16"/>
      <c r="AI66" s="16"/>
      <c r="AJ66" s="15">
        <f>IF(SUM(AK66:AQ66)&gt;M66,"ERROR",(SUM(AK66:AQ66)))</f>
        <v>0</v>
      </c>
      <c r="AK66" s="16"/>
      <c r="AL66" s="16"/>
      <c r="AM66" s="16"/>
      <c r="AN66" s="16"/>
      <c r="AO66" s="16"/>
      <c r="AP66" s="117"/>
      <c r="AQ66" s="52"/>
      <c r="AR66" s="55" t="s">
        <v>348</v>
      </c>
      <c r="AS66" s="55" t="s">
        <v>348</v>
      </c>
      <c r="AT66" s="55" t="s">
        <v>348</v>
      </c>
    </row>
    <row r="67" spans="2:46" s="8" customFormat="1">
      <c r="B67" s="44" t="s">
        <v>16</v>
      </c>
      <c r="C67" s="40"/>
      <c r="D67" s="40" t="s">
        <v>377</v>
      </c>
      <c r="E67" s="17" t="s">
        <v>134</v>
      </c>
      <c r="F67" s="12" t="s">
        <v>344</v>
      </c>
      <c r="G67" s="12" t="s">
        <v>345</v>
      </c>
      <c r="H67" s="12" t="s">
        <v>349</v>
      </c>
      <c r="I67" s="16"/>
      <c r="J67" s="16"/>
      <c r="K67" s="16"/>
      <c r="L67" s="16"/>
      <c r="M67" s="16">
        <v>422</v>
      </c>
      <c r="N67" s="16">
        <v>421</v>
      </c>
      <c r="O67" s="16">
        <v>22</v>
      </c>
      <c r="P67" s="16">
        <v>81</v>
      </c>
      <c r="Q67" s="16">
        <v>130</v>
      </c>
      <c r="R67" s="16">
        <v>149</v>
      </c>
      <c r="S67" s="16">
        <v>0</v>
      </c>
      <c r="T67" s="15"/>
      <c r="U67" s="16"/>
      <c r="V67" s="16"/>
      <c r="W67" s="16"/>
      <c r="X67" s="16"/>
      <c r="Y67" s="16"/>
      <c r="Z67" s="16"/>
      <c r="AA67" s="16"/>
      <c r="AB67" s="15"/>
      <c r="AC67" s="16"/>
      <c r="AD67" s="16"/>
      <c r="AE67" s="16"/>
      <c r="AF67" s="16"/>
      <c r="AG67" s="16"/>
      <c r="AH67" s="16"/>
      <c r="AI67" s="16"/>
      <c r="AJ67" s="15"/>
      <c r="AK67" s="16"/>
      <c r="AL67" s="16"/>
      <c r="AM67" s="16"/>
      <c r="AN67" s="16"/>
      <c r="AO67" s="16"/>
      <c r="AP67" s="117"/>
      <c r="AQ67" s="52"/>
      <c r="AR67" s="55">
        <v>57.058999999999997</v>
      </c>
      <c r="AS67" s="56" t="s">
        <v>378</v>
      </c>
      <c r="AT67" s="55" t="s">
        <v>353</v>
      </c>
    </row>
    <row r="68" spans="2:46" s="8" customFormat="1">
      <c r="B68" s="44" t="s">
        <v>16</v>
      </c>
      <c r="C68" s="40"/>
      <c r="D68" s="40" t="s">
        <v>377</v>
      </c>
      <c r="E68" s="17" t="s">
        <v>134</v>
      </c>
      <c r="F68" s="12" t="s">
        <v>344</v>
      </c>
      <c r="G68" s="12" t="s">
        <v>345</v>
      </c>
      <c r="H68" s="12" t="s">
        <v>351</v>
      </c>
      <c r="I68" s="16"/>
      <c r="J68" s="16"/>
      <c r="K68" s="16"/>
      <c r="L68" s="16"/>
      <c r="M68" s="16">
        <v>196</v>
      </c>
      <c r="N68" s="16">
        <v>196</v>
      </c>
      <c r="O68" s="16" t="s">
        <v>352</v>
      </c>
      <c r="P68" s="16">
        <v>28</v>
      </c>
      <c r="Q68" s="16">
        <v>67</v>
      </c>
      <c r="R68" s="16">
        <v>67</v>
      </c>
      <c r="S68" s="16" t="s">
        <v>347</v>
      </c>
      <c r="T68" s="15"/>
      <c r="U68" s="16"/>
      <c r="V68" s="16"/>
      <c r="W68" s="16"/>
      <c r="X68" s="16"/>
      <c r="Y68" s="16"/>
      <c r="Z68" s="16"/>
      <c r="AA68" s="16"/>
      <c r="AB68" s="15"/>
      <c r="AC68" s="16"/>
      <c r="AD68" s="16"/>
      <c r="AE68" s="16"/>
      <c r="AF68" s="16"/>
      <c r="AG68" s="16"/>
      <c r="AH68" s="16"/>
      <c r="AI68" s="16"/>
      <c r="AJ68" s="15"/>
      <c r="AK68" s="16"/>
      <c r="AL68" s="16"/>
      <c r="AM68" s="16"/>
      <c r="AN68" s="16"/>
      <c r="AO68" s="16"/>
      <c r="AP68" s="117"/>
      <c r="AQ68" s="52"/>
      <c r="AR68" s="55">
        <v>61.457000000000001</v>
      </c>
      <c r="AS68" s="56">
        <v>0</v>
      </c>
      <c r="AT68" s="55" t="s">
        <v>350</v>
      </c>
    </row>
    <row r="69" spans="2:46" s="8" customFormat="1">
      <c r="B69" s="44" t="s">
        <v>16</v>
      </c>
      <c r="C69" s="40"/>
      <c r="D69" s="40" t="s">
        <v>379</v>
      </c>
      <c r="E69" s="12" t="s">
        <v>141</v>
      </c>
      <c r="F69" s="12" t="s">
        <v>344</v>
      </c>
      <c r="G69" s="12" t="s">
        <v>345</v>
      </c>
      <c r="H69" s="12" t="s">
        <v>346</v>
      </c>
      <c r="I69" s="16"/>
      <c r="J69" s="16"/>
      <c r="K69" s="16"/>
      <c r="L69" s="16"/>
      <c r="M69" s="16">
        <v>194</v>
      </c>
      <c r="N69" s="16">
        <v>194</v>
      </c>
      <c r="O69" s="16">
        <v>40</v>
      </c>
      <c r="P69" s="16">
        <v>16</v>
      </c>
      <c r="Q69" s="16">
        <v>50</v>
      </c>
      <c r="R69" s="16">
        <v>104</v>
      </c>
      <c r="S69" s="16" t="s">
        <v>347</v>
      </c>
      <c r="T69" s="15">
        <f>IF(SUM(U69:AA69)&gt;M69,"ERROR",(SUM(U69:AA69)))</f>
        <v>0</v>
      </c>
      <c r="U69" s="16"/>
      <c r="V69" s="16"/>
      <c r="W69" s="16"/>
      <c r="X69" s="16"/>
      <c r="Y69" s="16"/>
      <c r="Z69" s="16"/>
      <c r="AA69" s="16"/>
      <c r="AB69" s="15">
        <f>IF(SUM(AC69:AI69)&gt;M69,"ERROR",(SUM(AC69:AI69)))</f>
        <v>0</v>
      </c>
      <c r="AC69" s="16"/>
      <c r="AD69" s="16"/>
      <c r="AE69" s="16"/>
      <c r="AF69" s="16"/>
      <c r="AG69" s="16"/>
      <c r="AH69" s="16"/>
      <c r="AI69" s="16"/>
      <c r="AJ69" s="15">
        <f>IF(SUM(AK69:AQ69)&gt;M69,"ERROR",(SUM(AK69:AQ69)))</f>
        <v>0</v>
      </c>
      <c r="AK69" s="16"/>
      <c r="AL69" s="16"/>
      <c r="AM69" s="16"/>
      <c r="AN69" s="16"/>
      <c r="AO69" s="16"/>
      <c r="AP69" s="117"/>
      <c r="AQ69" s="52"/>
      <c r="AR69" s="55" t="s">
        <v>348</v>
      </c>
      <c r="AS69" s="55" t="s">
        <v>348</v>
      </c>
      <c r="AT69" s="55" t="s">
        <v>348</v>
      </c>
    </row>
    <row r="70" spans="2:46" s="8" customFormat="1">
      <c r="B70" s="44" t="s">
        <v>16</v>
      </c>
      <c r="C70" s="40"/>
      <c r="D70" s="40" t="s">
        <v>379</v>
      </c>
      <c r="E70" s="12" t="s">
        <v>141</v>
      </c>
      <c r="F70" s="12" t="s">
        <v>344</v>
      </c>
      <c r="G70" s="12" t="s">
        <v>345</v>
      </c>
      <c r="H70" s="12" t="s">
        <v>349</v>
      </c>
      <c r="I70" s="16"/>
      <c r="J70" s="16"/>
      <c r="K70" s="16"/>
      <c r="L70" s="16"/>
      <c r="M70" s="16">
        <v>110</v>
      </c>
      <c r="N70" s="16">
        <v>89</v>
      </c>
      <c r="O70" s="16">
        <v>25</v>
      </c>
      <c r="P70" s="16">
        <v>11</v>
      </c>
      <c r="Q70" s="16">
        <v>34</v>
      </c>
      <c r="R70" s="16">
        <v>55</v>
      </c>
      <c r="S70" s="16">
        <v>0</v>
      </c>
      <c r="T70" s="15"/>
      <c r="U70" s="16"/>
      <c r="V70" s="16"/>
      <c r="W70" s="16"/>
      <c r="X70" s="16"/>
      <c r="Y70" s="16"/>
      <c r="Z70" s="16"/>
      <c r="AA70" s="16"/>
      <c r="AB70" s="15"/>
      <c r="AC70" s="16"/>
      <c r="AD70" s="16"/>
      <c r="AE70" s="16"/>
      <c r="AF70" s="16"/>
      <c r="AG70" s="16"/>
      <c r="AH70" s="16"/>
      <c r="AI70" s="16"/>
      <c r="AJ70" s="15"/>
      <c r="AK70" s="16"/>
      <c r="AL70" s="16"/>
      <c r="AM70" s="16"/>
      <c r="AN70" s="16"/>
      <c r="AO70" s="16"/>
      <c r="AP70" s="117"/>
      <c r="AQ70" s="52"/>
      <c r="AR70" s="55">
        <v>51.343000000000004</v>
      </c>
      <c r="AS70" s="56">
        <v>0</v>
      </c>
      <c r="AT70" s="55" t="s">
        <v>353</v>
      </c>
    </row>
    <row r="71" spans="2:46" s="8" customFormat="1">
      <c r="B71" s="44" t="s">
        <v>16</v>
      </c>
      <c r="C71" s="40"/>
      <c r="D71" s="40" t="s">
        <v>380</v>
      </c>
      <c r="E71" s="12" t="s">
        <v>146</v>
      </c>
      <c r="F71" s="17" t="s">
        <v>344</v>
      </c>
      <c r="G71" s="17" t="s">
        <v>345</v>
      </c>
      <c r="H71" s="12" t="s">
        <v>346</v>
      </c>
      <c r="I71" s="16"/>
      <c r="J71" s="16"/>
      <c r="K71" s="16"/>
      <c r="L71" s="16"/>
      <c r="M71" s="16">
        <v>534</v>
      </c>
      <c r="N71" s="16">
        <v>534</v>
      </c>
      <c r="O71" s="16">
        <v>0</v>
      </c>
      <c r="P71" s="16">
        <v>75</v>
      </c>
      <c r="Q71" s="16">
        <v>165</v>
      </c>
      <c r="R71" s="16">
        <v>181</v>
      </c>
      <c r="S71" s="16">
        <v>0</v>
      </c>
      <c r="T71" s="15">
        <f>IF(SUM(U71:AA71)&gt;M71,"ERROR",(SUM(U71:AA71)))</f>
        <v>0</v>
      </c>
      <c r="U71" s="16"/>
      <c r="V71" s="16"/>
      <c r="W71" s="16"/>
      <c r="X71" s="16"/>
      <c r="Y71" s="16"/>
      <c r="Z71" s="16"/>
      <c r="AA71" s="16"/>
      <c r="AB71" s="15">
        <f>IF(SUM(AC71:AI71)&gt;M71,"ERROR",(SUM(AC71:AI71)))</f>
        <v>0</v>
      </c>
      <c r="AC71" s="16"/>
      <c r="AD71" s="16"/>
      <c r="AE71" s="16"/>
      <c r="AF71" s="16"/>
      <c r="AG71" s="16"/>
      <c r="AH71" s="16"/>
      <c r="AI71" s="16"/>
      <c r="AJ71" s="15">
        <f>IF(SUM(AK71:AQ71)&gt;M71,"ERROR",(SUM(AK71:AQ71)))</f>
        <v>0</v>
      </c>
      <c r="AK71" s="16"/>
      <c r="AL71" s="16"/>
      <c r="AM71" s="16"/>
      <c r="AN71" s="16"/>
      <c r="AO71" s="16"/>
      <c r="AP71" s="117"/>
      <c r="AQ71" s="52"/>
      <c r="AR71" s="55" t="s">
        <v>348</v>
      </c>
      <c r="AS71" s="55" t="s">
        <v>348</v>
      </c>
      <c r="AT71" s="55" t="s">
        <v>348</v>
      </c>
    </row>
    <row r="72" spans="2:46" s="8" customFormat="1">
      <c r="B72" s="44" t="s">
        <v>16</v>
      </c>
      <c r="C72" s="40"/>
      <c r="D72" s="40" t="s">
        <v>380</v>
      </c>
      <c r="E72" s="12" t="s">
        <v>146</v>
      </c>
      <c r="F72" s="17" t="s">
        <v>344</v>
      </c>
      <c r="G72" s="17" t="s">
        <v>345</v>
      </c>
      <c r="H72" s="12" t="s">
        <v>349</v>
      </c>
      <c r="I72" s="16"/>
      <c r="J72" s="16"/>
      <c r="K72" s="16"/>
      <c r="L72" s="16"/>
      <c r="M72" s="16">
        <v>531</v>
      </c>
      <c r="N72" s="16">
        <v>531</v>
      </c>
      <c r="O72" s="16">
        <v>0</v>
      </c>
      <c r="P72" s="16">
        <v>70</v>
      </c>
      <c r="Q72" s="16">
        <v>173</v>
      </c>
      <c r="R72" s="16">
        <v>171</v>
      </c>
      <c r="S72" s="16">
        <v>0</v>
      </c>
      <c r="T72" s="15"/>
      <c r="U72" s="16"/>
      <c r="V72" s="16"/>
      <c r="W72" s="16"/>
      <c r="X72" s="16"/>
      <c r="Y72" s="16"/>
      <c r="Z72" s="16"/>
      <c r="AA72" s="16"/>
      <c r="AB72" s="15"/>
      <c r="AC72" s="16"/>
      <c r="AD72" s="16"/>
      <c r="AE72" s="16"/>
      <c r="AF72" s="16"/>
      <c r="AG72" s="16"/>
      <c r="AH72" s="16"/>
      <c r="AI72" s="16"/>
      <c r="AJ72" s="15"/>
      <c r="AK72" s="16"/>
      <c r="AL72" s="16"/>
      <c r="AM72" s="16"/>
      <c r="AN72" s="16"/>
      <c r="AO72" s="16"/>
      <c r="AP72" s="117"/>
      <c r="AQ72" s="52"/>
      <c r="AR72" s="55">
        <v>69.539000000000001</v>
      </c>
      <c r="AS72" s="56">
        <v>0.1</v>
      </c>
      <c r="AT72" s="55" t="s">
        <v>350</v>
      </c>
    </row>
    <row r="73" spans="2:46" s="8" customFormat="1">
      <c r="B73" s="44" t="s">
        <v>16</v>
      </c>
      <c r="C73" s="40"/>
      <c r="D73" s="40" t="s">
        <v>380</v>
      </c>
      <c r="E73" s="12" t="s">
        <v>146</v>
      </c>
      <c r="F73" s="17" t="s">
        <v>344</v>
      </c>
      <c r="G73" s="17" t="s">
        <v>345</v>
      </c>
      <c r="H73" s="12" t="s">
        <v>351</v>
      </c>
      <c r="I73" s="16"/>
      <c r="J73" s="16"/>
      <c r="K73" s="16"/>
      <c r="L73" s="16"/>
      <c r="M73" s="16">
        <v>515</v>
      </c>
      <c r="N73" s="16">
        <v>515</v>
      </c>
      <c r="O73" s="16" t="s">
        <v>352</v>
      </c>
      <c r="P73" s="16">
        <v>66</v>
      </c>
      <c r="Q73" s="16">
        <v>171</v>
      </c>
      <c r="R73" s="16">
        <v>179</v>
      </c>
      <c r="S73" s="16">
        <v>0</v>
      </c>
      <c r="T73" s="15"/>
      <c r="U73" s="16"/>
      <c r="V73" s="16"/>
      <c r="W73" s="16"/>
      <c r="X73" s="16"/>
      <c r="Y73" s="16"/>
      <c r="Z73" s="16"/>
      <c r="AA73" s="16"/>
      <c r="AB73" s="15"/>
      <c r="AC73" s="16"/>
      <c r="AD73" s="16"/>
      <c r="AE73" s="16"/>
      <c r="AF73" s="16"/>
      <c r="AG73" s="16"/>
      <c r="AH73" s="16"/>
      <c r="AI73" s="16"/>
      <c r="AJ73" s="15"/>
      <c r="AK73" s="16"/>
      <c r="AL73" s="16"/>
      <c r="AM73" s="16"/>
      <c r="AN73" s="16"/>
      <c r="AO73" s="16"/>
      <c r="AP73" s="117"/>
      <c r="AQ73" s="52"/>
      <c r="AR73" s="55">
        <v>66.228999999999999</v>
      </c>
      <c r="AS73" s="56">
        <v>0</v>
      </c>
      <c r="AT73" s="55" t="s">
        <v>350</v>
      </c>
    </row>
    <row r="74" spans="2:46" s="8" customFormat="1">
      <c r="B74" s="44" t="s">
        <v>16</v>
      </c>
      <c r="C74" s="40"/>
      <c r="D74" s="40" t="s">
        <v>381</v>
      </c>
      <c r="E74" s="12" t="s">
        <v>150</v>
      </c>
      <c r="F74" s="12" t="s">
        <v>344</v>
      </c>
      <c r="G74" s="12" t="s">
        <v>345</v>
      </c>
      <c r="H74" s="12" t="s">
        <v>346</v>
      </c>
      <c r="I74" s="16"/>
      <c r="J74" s="16"/>
      <c r="K74" s="16"/>
      <c r="L74" s="16"/>
      <c r="M74" s="16">
        <v>78</v>
      </c>
      <c r="N74" s="16">
        <v>53</v>
      </c>
      <c r="O74" s="16">
        <v>0</v>
      </c>
      <c r="P74" s="16">
        <v>16</v>
      </c>
      <c r="Q74" s="16">
        <v>17</v>
      </c>
      <c r="R74" s="16" t="s">
        <v>347</v>
      </c>
      <c r="S74" s="16">
        <v>0</v>
      </c>
      <c r="T74" s="15"/>
      <c r="U74" s="16"/>
      <c r="V74" s="16"/>
      <c r="W74" s="16"/>
      <c r="X74" s="16"/>
      <c r="Y74" s="16"/>
      <c r="Z74" s="16"/>
      <c r="AA74" s="16"/>
      <c r="AB74" s="15"/>
      <c r="AC74" s="16"/>
      <c r="AD74" s="16"/>
      <c r="AE74" s="16"/>
      <c r="AF74" s="16"/>
      <c r="AG74" s="16"/>
      <c r="AH74" s="16"/>
      <c r="AI74" s="16"/>
      <c r="AJ74" s="15">
        <f>IF(SUM(AK74:AQ74)&gt;M74,"ERROR",(SUM(AK74:AQ74)))</f>
        <v>0</v>
      </c>
      <c r="AK74" s="16"/>
      <c r="AL74" s="16"/>
      <c r="AM74" s="16"/>
      <c r="AN74" s="16"/>
      <c r="AO74" s="16"/>
      <c r="AP74" s="117"/>
      <c r="AQ74" s="52"/>
      <c r="AR74" s="55" t="s">
        <v>348</v>
      </c>
      <c r="AS74" s="55" t="s">
        <v>348</v>
      </c>
      <c r="AT74" s="55" t="s">
        <v>348</v>
      </c>
    </row>
    <row r="75" spans="2:46" s="8" customFormat="1">
      <c r="B75" s="44" t="s">
        <v>16</v>
      </c>
      <c r="C75" s="40"/>
      <c r="D75" s="40" t="s">
        <v>382</v>
      </c>
      <c r="E75" s="12" t="s">
        <v>155</v>
      </c>
      <c r="F75" s="12" t="s">
        <v>344</v>
      </c>
      <c r="G75" s="12" t="s">
        <v>345</v>
      </c>
      <c r="H75" s="12" t="s">
        <v>346</v>
      </c>
      <c r="I75" s="16"/>
      <c r="J75" s="16"/>
      <c r="K75" s="16"/>
      <c r="L75" s="16"/>
      <c r="M75" s="16">
        <v>252</v>
      </c>
      <c r="N75" s="16">
        <v>252</v>
      </c>
      <c r="O75" s="16">
        <v>0</v>
      </c>
      <c r="P75" s="16">
        <v>40</v>
      </c>
      <c r="Q75" s="16">
        <v>107</v>
      </c>
      <c r="R75" s="16">
        <v>22</v>
      </c>
      <c r="S75" s="16" t="s">
        <v>347</v>
      </c>
      <c r="T75" s="15">
        <f>IF(SUM(U75:AA75)&gt;M75,"ERROR",(SUM(U75:AA75)))</f>
        <v>0</v>
      </c>
      <c r="U75" s="16"/>
      <c r="V75" s="16"/>
      <c r="W75" s="16"/>
      <c r="X75" s="16"/>
      <c r="Y75" s="16"/>
      <c r="Z75" s="16"/>
      <c r="AA75" s="16"/>
      <c r="AB75" s="15">
        <f>IF(SUM(AC75:AI75)&gt;M75,"ERROR",(SUM(AC75:AI75)))</f>
        <v>0</v>
      </c>
      <c r="AC75" s="16"/>
      <c r="AD75" s="16"/>
      <c r="AE75" s="16"/>
      <c r="AF75" s="16"/>
      <c r="AG75" s="16"/>
      <c r="AH75" s="16"/>
      <c r="AI75" s="16"/>
      <c r="AJ75" s="15">
        <f>IF(SUM(AK75:AQ75)&gt;M75,"ERROR",(SUM(AK75:AQ75)))</f>
        <v>0</v>
      </c>
      <c r="AK75" s="16"/>
      <c r="AL75" s="16"/>
      <c r="AM75" s="16"/>
      <c r="AN75" s="16"/>
      <c r="AO75" s="16"/>
      <c r="AP75" s="117"/>
      <c r="AQ75" s="52"/>
      <c r="AR75" s="55" t="s">
        <v>348</v>
      </c>
      <c r="AS75" s="55" t="s">
        <v>348</v>
      </c>
      <c r="AT75" s="55" t="s">
        <v>348</v>
      </c>
    </row>
    <row r="76" spans="2:46" s="8" customFormat="1">
      <c r="B76" s="44" t="s">
        <v>16</v>
      </c>
      <c r="C76" s="40"/>
      <c r="D76" s="40" t="s">
        <v>382</v>
      </c>
      <c r="E76" s="12" t="s">
        <v>155</v>
      </c>
      <c r="F76" s="12" t="s">
        <v>344</v>
      </c>
      <c r="G76" s="12" t="s">
        <v>345</v>
      </c>
      <c r="H76" s="12" t="s">
        <v>349</v>
      </c>
      <c r="I76" s="16"/>
      <c r="J76" s="16"/>
      <c r="K76" s="16"/>
      <c r="L76" s="16"/>
      <c r="M76" s="16">
        <v>213</v>
      </c>
      <c r="N76" s="16">
        <v>213</v>
      </c>
      <c r="O76" s="16">
        <v>0</v>
      </c>
      <c r="P76" s="16">
        <v>32</v>
      </c>
      <c r="Q76" s="16">
        <v>84</v>
      </c>
      <c r="R76" s="16">
        <v>24</v>
      </c>
      <c r="S76" s="16">
        <v>0</v>
      </c>
      <c r="T76" s="15"/>
      <c r="U76" s="16"/>
      <c r="V76" s="16"/>
      <c r="W76" s="16"/>
      <c r="X76" s="16"/>
      <c r="Y76" s="16"/>
      <c r="Z76" s="16"/>
      <c r="AA76" s="16"/>
      <c r="AB76" s="15"/>
      <c r="AC76" s="16"/>
      <c r="AD76" s="16"/>
      <c r="AE76" s="16"/>
      <c r="AF76" s="16"/>
      <c r="AG76" s="16"/>
      <c r="AH76" s="16"/>
      <c r="AI76" s="16"/>
      <c r="AJ76" s="15"/>
      <c r="AK76" s="16"/>
      <c r="AL76" s="16"/>
      <c r="AM76" s="16"/>
      <c r="AN76" s="16"/>
      <c r="AO76" s="16"/>
      <c r="AP76" s="117"/>
      <c r="AQ76" s="52"/>
      <c r="AR76" s="55">
        <v>59.953000000000003</v>
      </c>
      <c r="AS76" s="56">
        <v>0</v>
      </c>
      <c r="AT76" s="55" t="s">
        <v>350</v>
      </c>
    </row>
    <row r="77" spans="2:46" s="8" customFormat="1">
      <c r="B77" s="44" t="s">
        <v>16</v>
      </c>
      <c r="C77" s="40"/>
      <c r="D77" s="40" t="s">
        <v>382</v>
      </c>
      <c r="E77" s="12" t="s">
        <v>155</v>
      </c>
      <c r="F77" s="12" t="s">
        <v>344</v>
      </c>
      <c r="G77" s="12" t="s">
        <v>345</v>
      </c>
      <c r="H77" s="12" t="s">
        <v>351</v>
      </c>
      <c r="I77" s="16"/>
      <c r="J77" s="16"/>
      <c r="K77" s="16"/>
      <c r="L77" s="16"/>
      <c r="M77" s="16">
        <v>117</v>
      </c>
      <c r="N77" s="16">
        <v>117</v>
      </c>
      <c r="O77" s="16" t="s">
        <v>352</v>
      </c>
      <c r="P77" s="16">
        <v>12</v>
      </c>
      <c r="Q77" s="16">
        <v>45</v>
      </c>
      <c r="R77" s="16">
        <v>10</v>
      </c>
      <c r="S77" s="16">
        <v>0</v>
      </c>
      <c r="T77" s="15"/>
      <c r="U77" s="16"/>
      <c r="V77" s="16"/>
      <c r="W77" s="16"/>
      <c r="X77" s="16"/>
      <c r="Y77" s="16"/>
      <c r="Z77" s="16"/>
      <c r="AA77" s="16"/>
      <c r="AB77" s="15"/>
      <c r="AC77" s="16"/>
      <c r="AD77" s="16"/>
      <c r="AE77" s="16"/>
      <c r="AF77" s="16"/>
      <c r="AG77" s="16"/>
      <c r="AH77" s="16"/>
      <c r="AI77" s="16"/>
      <c r="AJ77" s="15"/>
      <c r="AK77" s="16"/>
      <c r="AL77" s="16"/>
      <c r="AM77" s="16"/>
      <c r="AN77" s="16"/>
      <c r="AO77" s="16"/>
      <c r="AP77" s="117"/>
      <c r="AQ77" s="52"/>
      <c r="AR77" s="55">
        <v>58.951999999999998</v>
      </c>
      <c r="AS77" s="56">
        <v>0</v>
      </c>
      <c r="AT77" s="55" t="s">
        <v>353</v>
      </c>
    </row>
    <row r="78" spans="2:46" s="8" customFormat="1">
      <c r="B78" s="44" t="s">
        <v>16</v>
      </c>
      <c r="C78" s="40"/>
      <c r="D78" s="40" t="s">
        <v>383</v>
      </c>
      <c r="E78" s="12" t="s">
        <v>159</v>
      </c>
      <c r="F78" s="12" t="s">
        <v>344</v>
      </c>
      <c r="G78" s="17" t="s">
        <v>345</v>
      </c>
      <c r="H78" s="12" t="s">
        <v>346</v>
      </c>
      <c r="I78" s="16"/>
      <c r="J78" s="16"/>
      <c r="K78" s="16"/>
      <c r="L78" s="16"/>
      <c r="M78" s="16">
        <v>244</v>
      </c>
      <c r="N78" s="16">
        <v>244</v>
      </c>
      <c r="O78" s="16">
        <v>0</v>
      </c>
      <c r="P78" s="16">
        <v>35</v>
      </c>
      <c r="Q78" s="16">
        <v>126</v>
      </c>
      <c r="R78" s="16">
        <v>16</v>
      </c>
      <c r="S78" s="16">
        <v>0</v>
      </c>
      <c r="T78" s="15">
        <f>IF(SUM(U78:AA78)&gt;M78,"ERROR",(SUM(U78:AA78)))</f>
        <v>0</v>
      </c>
      <c r="U78" s="16"/>
      <c r="V78" s="16"/>
      <c r="W78" s="16"/>
      <c r="X78" s="16"/>
      <c r="Y78" s="16"/>
      <c r="Z78" s="16"/>
      <c r="AA78" s="16"/>
      <c r="AB78" s="15">
        <f>IF(SUM(AC78:AI78)&gt;M78,"ERROR",(SUM(AC78:AI78)))</f>
        <v>0</v>
      </c>
      <c r="AC78" s="16"/>
      <c r="AD78" s="16"/>
      <c r="AE78" s="16"/>
      <c r="AF78" s="16"/>
      <c r="AG78" s="16"/>
      <c r="AH78" s="16"/>
      <c r="AI78" s="16"/>
      <c r="AJ78" s="15">
        <f>IF(SUM(AK78:AQ78)&gt;M78,"ERROR",(SUM(AK78:AQ78)))</f>
        <v>0</v>
      </c>
      <c r="AK78" s="16"/>
      <c r="AL78" s="16"/>
      <c r="AM78" s="16"/>
      <c r="AN78" s="16"/>
      <c r="AO78" s="16"/>
      <c r="AP78" s="117"/>
      <c r="AQ78" s="52"/>
      <c r="AR78" s="55" t="s">
        <v>348</v>
      </c>
      <c r="AS78" s="55" t="s">
        <v>348</v>
      </c>
      <c r="AT78" s="55" t="s">
        <v>348</v>
      </c>
    </row>
    <row r="79" spans="2:46" s="8" customFormat="1">
      <c r="B79" s="44" t="s">
        <v>16</v>
      </c>
      <c r="C79" s="40"/>
      <c r="D79" s="40" t="s">
        <v>383</v>
      </c>
      <c r="E79" s="12" t="s">
        <v>159</v>
      </c>
      <c r="F79" s="12" t="s">
        <v>344</v>
      </c>
      <c r="G79" s="17" t="s">
        <v>345</v>
      </c>
      <c r="H79" s="12" t="s">
        <v>349</v>
      </c>
      <c r="I79" s="16"/>
      <c r="J79" s="16"/>
      <c r="K79" s="16"/>
      <c r="L79" s="16"/>
      <c r="M79" s="16">
        <v>212</v>
      </c>
      <c r="N79" s="16">
        <v>204</v>
      </c>
      <c r="O79" s="16">
        <v>0</v>
      </c>
      <c r="P79" s="16">
        <v>28</v>
      </c>
      <c r="Q79" s="16">
        <v>138</v>
      </c>
      <c r="R79" s="16">
        <v>13</v>
      </c>
      <c r="S79" s="16">
        <v>0</v>
      </c>
      <c r="T79" s="15"/>
      <c r="U79" s="16"/>
      <c r="V79" s="16"/>
      <c r="W79" s="16"/>
      <c r="X79" s="16"/>
      <c r="Y79" s="16"/>
      <c r="Z79" s="16"/>
      <c r="AA79" s="16"/>
      <c r="AB79" s="15"/>
      <c r="AC79" s="16"/>
      <c r="AD79" s="16"/>
      <c r="AE79" s="16"/>
      <c r="AF79" s="16"/>
      <c r="AG79" s="16"/>
      <c r="AH79" s="16"/>
      <c r="AI79" s="16"/>
      <c r="AJ79" s="15"/>
      <c r="AK79" s="16"/>
      <c r="AL79" s="16"/>
      <c r="AM79" s="16"/>
      <c r="AN79" s="16"/>
      <c r="AO79" s="16"/>
      <c r="AP79" s="117"/>
      <c r="AQ79" s="52"/>
      <c r="AR79" s="55">
        <v>47.987000000000002</v>
      </c>
      <c r="AS79" s="56">
        <v>0.3</v>
      </c>
      <c r="AT79" s="55" t="s">
        <v>353</v>
      </c>
    </row>
    <row r="80" spans="2:46" s="8" customFormat="1">
      <c r="B80" s="44" t="s">
        <v>16</v>
      </c>
      <c r="C80" s="40"/>
      <c r="D80" s="40" t="s">
        <v>384</v>
      </c>
      <c r="E80" s="17" t="s">
        <v>164</v>
      </c>
      <c r="F80" s="12" t="s">
        <v>354</v>
      </c>
      <c r="G80" s="12" t="s">
        <v>345</v>
      </c>
      <c r="H80" s="12" t="s">
        <v>346</v>
      </c>
      <c r="I80" s="16"/>
      <c r="J80" s="16"/>
      <c r="K80" s="16"/>
      <c r="L80" s="16"/>
      <c r="M80" s="16">
        <v>328</v>
      </c>
      <c r="N80" s="16">
        <v>332</v>
      </c>
      <c r="O80" s="16">
        <v>0</v>
      </c>
      <c r="P80" s="16">
        <v>46</v>
      </c>
      <c r="Q80" s="16">
        <v>307</v>
      </c>
      <c r="R80" s="16" t="s">
        <v>347</v>
      </c>
      <c r="S80" s="16" t="s">
        <v>347</v>
      </c>
      <c r="T80" s="15">
        <f>IF(SUM(U80:AA80)&gt;M80,"ERROR",(SUM(U80:AA80)))</f>
        <v>0</v>
      </c>
      <c r="U80" s="16"/>
      <c r="V80" s="16"/>
      <c r="W80" s="16"/>
      <c r="X80" s="16"/>
      <c r="Y80" s="16"/>
      <c r="Z80" s="16"/>
      <c r="AA80" s="16"/>
      <c r="AB80" s="15">
        <f>IF(SUM(AC80:AI80)&gt;M80,"ERROR",(SUM(AC80:AI80)))</f>
        <v>0</v>
      </c>
      <c r="AC80" s="16"/>
      <c r="AD80" s="16"/>
      <c r="AE80" s="16"/>
      <c r="AF80" s="16"/>
      <c r="AG80" s="16"/>
      <c r="AH80" s="16"/>
      <c r="AI80" s="16"/>
      <c r="AJ80" s="15">
        <f>IF(SUM(AK80:AQ80)&gt;M80,"ERROR",(SUM(AK80:AQ80)))</f>
        <v>0</v>
      </c>
      <c r="AK80" s="16"/>
      <c r="AL80" s="16"/>
      <c r="AM80" s="16"/>
      <c r="AN80" s="16"/>
      <c r="AO80" s="16"/>
      <c r="AP80" s="117"/>
      <c r="AQ80" s="52"/>
      <c r="AR80" s="55" t="s">
        <v>348</v>
      </c>
      <c r="AS80" s="55" t="s">
        <v>348</v>
      </c>
      <c r="AT80" s="55" t="s">
        <v>348</v>
      </c>
    </row>
    <row r="81" spans="2:46" s="8" customFormat="1">
      <c r="B81" s="44" t="s">
        <v>16</v>
      </c>
      <c r="C81" s="40"/>
      <c r="D81" s="40" t="s">
        <v>384</v>
      </c>
      <c r="E81" s="17" t="s">
        <v>164</v>
      </c>
      <c r="F81" s="12" t="s">
        <v>354</v>
      </c>
      <c r="G81" s="12" t="s">
        <v>345</v>
      </c>
      <c r="H81" s="12" t="s">
        <v>349</v>
      </c>
      <c r="I81" s="16"/>
      <c r="J81" s="16"/>
      <c r="K81" s="16"/>
      <c r="L81" s="16"/>
      <c r="M81" s="16">
        <v>328</v>
      </c>
      <c r="N81" s="16" t="s">
        <v>347</v>
      </c>
      <c r="O81" s="16">
        <v>0</v>
      </c>
      <c r="P81" s="16">
        <v>38</v>
      </c>
      <c r="Q81" s="16">
        <v>302</v>
      </c>
      <c r="R81" s="16" t="s">
        <v>347</v>
      </c>
      <c r="S81" s="16">
        <v>0</v>
      </c>
      <c r="T81" s="15"/>
      <c r="U81" s="16"/>
      <c r="V81" s="16"/>
      <c r="W81" s="16"/>
      <c r="X81" s="16"/>
      <c r="Y81" s="16"/>
      <c r="Z81" s="16"/>
      <c r="AA81" s="16"/>
      <c r="AB81" s="15"/>
      <c r="AC81" s="16"/>
      <c r="AD81" s="16"/>
      <c r="AE81" s="16"/>
      <c r="AF81" s="16"/>
      <c r="AG81" s="16"/>
      <c r="AH81" s="16"/>
      <c r="AI81" s="16"/>
      <c r="AJ81" s="15"/>
      <c r="AK81" s="16"/>
      <c r="AL81" s="16"/>
      <c r="AM81" s="16"/>
      <c r="AN81" s="16"/>
      <c r="AO81" s="16"/>
      <c r="AP81" s="117"/>
      <c r="AQ81" s="52"/>
      <c r="AR81" s="55">
        <v>51.262</v>
      </c>
      <c r="AS81" s="56">
        <v>0.2</v>
      </c>
      <c r="AT81" s="55" t="s">
        <v>353</v>
      </c>
    </row>
    <row r="82" spans="2:46" s="8" customFormat="1">
      <c r="B82" s="44" t="s">
        <v>16</v>
      </c>
      <c r="C82" s="40"/>
      <c r="D82" s="40" t="s">
        <v>385</v>
      </c>
      <c r="E82" s="12" t="s">
        <v>169</v>
      </c>
      <c r="F82" s="17" t="s">
        <v>344</v>
      </c>
      <c r="G82" s="17" t="s">
        <v>345</v>
      </c>
      <c r="H82" s="12" t="s">
        <v>346</v>
      </c>
      <c r="I82" s="16"/>
      <c r="J82" s="16"/>
      <c r="K82" s="16"/>
      <c r="L82" s="16"/>
      <c r="M82" s="16">
        <v>113</v>
      </c>
      <c r="N82" s="16">
        <v>68</v>
      </c>
      <c r="O82" s="16" t="s">
        <v>347</v>
      </c>
      <c r="P82" s="16" t="s">
        <v>347</v>
      </c>
      <c r="Q82" s="16">
        <v>100</v>
      </c>
      <c r="R82" s="16" t="s">
        <v>347</v>
      </c>
      <c r="S82" s="16">
        <v>0</v>
      </c>
      <c r="T82" s="15"/>
      <c r="U82" s="16"/>
      <c r="V82" s="16"/>
      <c r="W82" s="16"/>
      <c r="X82" s="16"/>
      <c r="Y82" s="16"/>
      <c r="Z82" s="16"/>
      <c r="AA82" s="16"/>
      <c r="AB82" s="15"/>
      <c r="AC82" s="16"/>
      <c r="AD82" s="16"/>
      <c r="AE82" s="16"/>
      <c r="AF82" s="16"/>
      <c r="AG82" s="16"/>
      <c r="AH82" s="16"/>
      <c r="AI82" s="16"/>
      <c r="AJ82" s="15">
        <f>IF(SUM(AK82:AQ82)&gt;M82,"ERROR",(SUM(AK82:AQ82)))</f>
        <v>0</v>
      </c>
      <c r="AK82" s="16"/>
      <c r="AL82" s="16"/>
      <c r="AM82" s="16"/>
      <c r="AN82" s="16"/>
      <c r="AO82" s="16"/>
      <c r="AP82" s="117"/>
      <c r="AQ82" s="52"/>
      <c r="AR82" s="55" t="s">
        <v>348</v>
      </c>
      <c r="AS82" s="55" t="s">
        <v>348</v>
      </c>
      <c r="AT82" s="55" t="s">
        <v>348</v>
      </c>
    </row>
    <row r="83" spans="2:46" s="8" customFormat="1">
      <c r="B83" s="44" t="s">
        <v>16</v>
      </c>
      <c r="C83" s="40"/>
      <c r="D83" s="40" t="s">
        <v>386</v>
      </c>
      <c r="E83" s="12" t="s">
        <v>173</v>
      </c>
      <c r="F83" s="12" t="s">
        <v>354</v>
      </c>
      <c r="G83" s="12" t="s">
        <v>345</v>
      </c>
      <c r="H83" s="12" t="s">
        <v>346</v>
      </c>
      <c r="I83" s="16"/>
      <c r="J83" s="16"/>
      <c r="K83" s="16"/>
      <c r="L83" s="16"/>
      <c r="M83" s="16">
        <v>474</v>
      </c>
      <c r="N83" s="16">
        <v>474</v>
      </c>
      <c r="O83" s="16">
        <v>10</v>
      </c>
      <c r="P83" s="16">
        <v>92</v>
      </c>
      <c r="Q83" s="16">
        <v>351</v>
      </c>
      <c r="R83" s="16">
        <v>72</v>
      </c>
      <c r="S83" s="16">
        <v>0</v>
      </c>
      <c r="T83" s="15">
        <f>IF(SUM(U83:AA83)&gt;M83,"ERROR",(SUM(U83:AA83)))</f>
        <v>0</v>
      </c>
      <c r="U83" s="16"/>
      <c r="V83" s="16"/>
      <c r="W83" s="16"/>
      <c r="X83" s="16"/>
      <c r="Y83" s="16"/>
      <c r="Z83" s="16"/>
      <c r="AA83" s="16"/>
      <c r="AB83" s="15">
        <f>IF(SUM(AC83:AI83)&gt;M83,"ERROR",(SUM(AC83:AI83)))</f>
        <v>0</v>
      </c>
      <c r="AC83" s="16"/>
      <c r="AD83" s="16"/>
      <c r="AE83" s="16"/>
      <c r="AF83" s="16"/>
      <c r="AG83" s="16"/>
      <c r="AH83" s="16"/>
      <c r="AI83" s="16"/>
      <c r="AJ83" s="15">
        <f>IF(SUM(AK83:AQ83)&gt;M83,"ERROR",(SUM(AK83:AQ83)))</f>
        <v>0</v>
      </c>
      <c r="AK83" s="16"/>
      <c r="AL83" s="16"/>
      <c r="AM83" s="16"/>
      <c r="AN83" s="16"/>
      <c r="AO83" s="16"/>
      <c r="AP83" s="117"/>
      <c r="AQ83" s="52"/>
      <c r="AR83" s="55" t="s">
        <v>348</v>
      </c>
      <c r="AS83" s="55" t="s">
        <v>348</v>
      </c>
      <c r="AT83" s="55" t="s">
        <v>348</v>
      </c>
    </row>
    <row r="84" spans="2:46" s="8" customFormat="1">
      <c r="B84" s="44" t="s">
        <v>16</v>
      </c>
      <c r="C84" s="40"/>
      <c r="D84" s="40" t="s">
        <v>386</v>
      </c>
      <c r="E84" s="12" t="s">
        <v>173</v>
      </c>
      <c r="F84" s="12" t="s">
        <v>354</v>
      </c>
      <c r="G84" s="12" t="s">
        <v>345</v>
      </c>
      <c r="H84" s="12" t="s">
        <v>349</v>
      </c>
      <c r="I84" s="16"/>
      <c r="J84" s="16"/>
      <c r="K84" s="16"/>
      <c r="L84" s="16"/>
      <c r="M84" s="16">
        <v>451</v>
      </c>
      <c r="N84" s="16">
        <v>449</v>
      </c>
      <c r="O84" s="16" t="s">
        <v>347</v>
      </c>
      <c r="P84" s="16">
        <v>81</v>
      </c>
      <c r="Q84" s="16">
        <v>357</v>
      </c>
      <c r="R84" s="16">
        <v>50</v>
      </c>
      <c r="S84" s="16">
        <v>0</v>
      </c>
      <c r="T84" s="15"/>
      <c r="U84" s="16"/>
      <c r="V84" s="16"/>
      <c r="W84" s="16"/>
      <c r="X84" s="16"/>
      <c r="Y84" s="16"/>
      <c r="Z84" s="16"/>
      <c r="AA84" s="16"/>
      <c r="AB84" s="15"/>
      <c r="AC84" s="16"/>
      <c r="AD84" s="16"/>
      <c r="AE84" s="16"/>
      <c r="AF84" s="16"/>
      <c r="AG84" s="16"/>
      <c r="AH84" s="16"/>
      <c r="AI84" s="16"/>
      <c r="AJ84" s="15"/>
      <c r="AK84" s="16"/>
      <c r="AL84" s="16"/>
      <c r="AM84" s="16"/>
      <c r="AN84" s="16"/>
      <c r="AO84" s="16"/>
      <c r="AP84" s="117"/>
      <c r="AQ84" s="52"/>
      <c r="AR84" s="55">
        <v>61.728000000000002</v>
      </c>
      <c r="AS84" s="54" t="s">
        <v>352</v>
      </c>
      <c r="AT84" s="53" t="s">
        <v>352</v>
      </c>
    </row>
    <row r="85" spans="2:46" s="8" customFormat="1">
      <c r="B85" s="44" t="s">
        <v>16</v>
      </c>
      <c r="C85" s="40"/>
      <c r="D85" s="40" t="s">
        <v>386</v>
      </c>
      <c r="E85" s="12" t="s">
        <v>173</v>
      </c>
      <c r="F85" s="12" t="s">
        <v>354</v>
      </c>
      <c r="G85" s="12" t="s">
        <v>345</v>
      </c>
      <c r="H85" s="12" t="s">
        <v>351</v>
      </c>
      <c r="I85" s="16"/>
      <c r="J85" s="16"/>
      <c r="K85" s="16"/>
      <c r="L85" s="16"/>
      <c r="M85" s="16">
        <v>502</v>
      </c>
      <c r="N85" s="16">
        <v>501</v>
      </c>
      <c r="O85" s="16" t="s">
        <v>352</v>
      </c>
      <c r="P85" s="16">
        <v>85</v>
      </c>
      <c r="Q85" s="16">
        <v>394</v>
      </c>
      <c r="R85" s="16">
        <v>58</v>
      </c>
      <c r="S85" s="16" t="s">
        <v>347</v>
      </c>
      <c r="T85" s="15"/>
      <c r="U85" s="16"/>
      <c r="V85" s="16"/>
      <c r="W85" s="16"/>
      <c r="X85" s="16"/>
      <c r="Y85" s="16"/>
      <c r="Z85" s="16"/>
      <c r="AA85" s="16"/>
      <c r="AB85" s="15"/>
      <c r="AC85" s="16"/>
      <c r="AD85" s="16"/>
      <c r="AE85" s="16"/>
      <c r="AF85" s="16"/>
      <c r="AG85" s="16"/>
      <c r="AH85" s="16"/>
      <c r="AI85" s="16"/>
      <c r="AJ85" s="15"/>
      <c r="AK85" s="16"/>
      <c r="AL85" s="16"/>
      <c r="AM85" s="16"/>
      <c r="AN85" s="16"/>
      <c r="AO85" s="16"/>
      <c r="AP85" s="117"/>
      <c r="AQ85" s="52"/>
      <c r="AR85" s="55">
        <v>58.16</v>
      </c>
      <c r="AS85" s="56">
        <v>0.2</v>
      </c>
      <c r="AT85" s="55" t="s">
        <v>353</v>
      </c>
    </row>
    <row r="86" spans="2:46" s="8" customFormat="1">
      <c r="B86" s="44" t="s">
        <v>16</v>
      </c>
      <c r="C86" s="40"/>
      <c r="D86" s="40" t="s">
        <v>387</v>
      </c>
      <c r="E86" s="12" t="s">
        <v>178</v>
      </c>
      <c r="F86" s="12" t="s">
        <v>344</v>
      </c>
      <c r="G86" s="17" t="s">
        <v>345</v>
      </c>
      <c r="H86" s="12" t="s">
        <v>346</v>
      </c>
      <c r="I86" s="16"/>
      <c r="J86" s="16"/>
      <c r="K86" s="16"/>
      <c r="L86" s="16"/>
      <c r="M86" s="16">
        <v>314</v>
      </c>
      <c r="N86" s="16">
        <v>314</v>
      </c>
      <c r="O86" s="16" t="s">
        <v>347</v>
      </c>
      <c r="P86" s="16">
        <v>41</v>
      </c>
      <c r="Q86" s="16">
        <v>295</v>
      </c>
      <c r="R86" s="16">
        <v>15</v>
      </c>
      <c r="S86" s="16">
        <v>0</v>
      </c>
      <c r="T86" s="15">
        <f>IF(SUM(U86:AA86)&gt;M86,"ERROR",(SUM(U86:AA86)))</f>
        <v>0</v>
      </c>
      <c r="U86" s="16"/>
      <c r="V86" s="16"/>
      <c r="W86" s="16"/>
      <c r="X86" s="16"/>
      <c r="Y86" s="16"/>
      <c r="Z86" s="16"/>
      <c r="AA86" s="16"/>
      <c r="AB86" s="15">
        <f>IF(SUM(AC86:AI86)&gt;M86,"ERROR",(SUM(AC86:AI86)))</f>
        <v>0</v>
      </c>
      <c r="AC86" s="16"/>
      <c r="AD86" s="16"/>
      <c r="AE86" s="16"/>
      <c r="AF86" s="16"/>
      <c r="AG86" s="16"/>
      <c r="AH86" s="16"/>
      <c r="AI86" s="16"/>
      <c r="AJ86" s="15">
        <f>IF(SUM(AK86:AQ86)&gt;M86,"ERROR",(SUM(AK86:AQ86)))</f>
        <v>0</v>
      </c>
      <c r="AK86" s="16"/>
      <c r="AL86" s="16"/>
      <c r="AM86" s="16"/>
      <c r="AN86" s="16"/>
      <c r="AO86" s="16"/>
      <c r="AP86" s="117"/>
      <c r="AQ86" s="52"/>
      <c r="AR86" s="55" t="s">
        <v>348</v>
      </c>
      <c r="AS86" s="55" t="s">
        <v>348</v>
      </c>
      <c r="AT86" s="55" t="s">
        <v>348</v>
      </c>
    </row>
    <row r="87" spans="2:46" s="8" customFormat="1">
      <c r="B87" s="44" t="s">
        <v>16</v>
      </c>
      <c r="C87" s="40"/>
      <c r="D87" s="40" t="s">
        <v>387</v>
      </c>
      <c r="E87" s="12" t="s">
        <v>178</v>
      </c>
      <c r="F87" s="12" t="s">
        <v>344</v>
      </c>
      <c r="G87" s="17" t="s">
        <v>345</v>
      </c>
      <c r="H87" s="12" t="s">
        <v>349</v>
      </c>
      <c r="I87" s="16"/>
      <c r="J87" s="16"/>
      <c r="K87" s="16"/>
      <c r="L87" s="16"/>
      <c r="M87" s="16">
        <v>313</v>
      </c>
      <c r="N87" s="16">
        <v>313</v>
      </c>
      <c r="O87" s="16" t="s">
        <v>347</v>
      </c>
      <c r="P87" s="16">
        <v>44</v>
      </c>
      <c r="Q87" s="16">
        <v>297</v>
      </c>
      <c r="R87" s="16">
        <v>10</v>
      </c>
      <c r="S87" s="16">
        <v>0</v>
      </c>
      <c r="T87" s="15"/>
      <c r="U87" s="16"/>
      <c r="V87" s="16"/>
      <c r="W87" s="16"/>
      <c r="X87" s="16"/>
      <c r="Y87" s="16"/>
      <c r="Z87" s="16"/>
      <c r="AA87" s="16"/>
      <c r="AB87" s="15"/>
      <c r="AC87" s="16"/>
      <c r="AD87" s="16"/>
      <c r="AE87" s="16"/>
      <c r="AF87" s="16"/>
      <c r="AG87" s="16"/>
      <c r="AH87" s="16"/>
      <c r="AI87" s="16"/>
      <c r="AJ87" s="15"/>
      <c r="AK87" s="16"/>
      <c r="AL87" s="16"/>
      <c r="AM87" s="16"/>
      <c r="AN87" s="16"/>
      <c r="AO87" s="16"/>
      <c r="AP87" s="117"/>
      <c r="AQ87" s="52"/>
      <c r="AR87" s="55">
        <v>65.724000000000004</v>
      </c>
      <c r="AS87" s="56">
        <v>0.2</v>
      </c>
      <c r="AT87" s="55" t="s">
        <v>350</v>
      </c>
    </row>
    <row r="88" spans="2:46" s="8" customFormat="1">
      <c r="B88" s="44" t="s">
        <v>16</v>
      </c>
      <c r="C88" s="40"/>
      <c r="D88" s="40" t="s">
        <v>387</v>
      </c>
      <c r="E88" s="12" t="s">
        <v>178</v>
      </c>
      <c r="F88" s="12" t="s">
        <v>344</v>
      </c>
      <c r="G88" s="17" t="s">
        <v>345</v>
      </c>
      <c r="H88" s="12" t="s">
        <v>351</v>
      </c>
      <c r="I88" s="16"/>
      <c r="J88" s="16"/>
      <c r="K88" s="16"/>
      <c r="L88" s="16"/>
      <c r="M88" s="16">
        <v>286</v>
      </c>
      <c r="N88" s="16">
        <v>280</v>
      </c>
      <c r="O88" s="16" t="s">
        <v>352</v>
      </c>
      <c r="P88" s="16">
        <v>34</v>
      </c>
      <c r="Q88" s="16">
        <v>276</v>
      </c>
      <c r="R88" s="16" t="s">
        <v>347</v>
      </c>
      <c r="S88" s="16">
        <v>0</v>
      </c>
      <c r="T88" s="15"/>
      <c r="U88" s="16"/>
      <c r="V88" s="16"/>
      <c r="W88" s="16"/>
      <c r="X88" s="16"/>
      <c r="Y88" s="16"/>
      <c r="Z88" s="16"/>
      <c r="AA88" s="16"/>
      <c r="AB88" s="15"/>
      <c r="AC88" s="16"/>
      <c r="AD88" s="16"/>
      <c r="AE88" s="16"/>
      <c r="AF88" s="16"/>
      <c r="AG88" s="16"/>
      <c r="AH88" s="16"/>
      <c r="AI88" s="16"/>
      <c r="AJ88" s="15"/>
      <c r="AK88" s="16"/>
      <c r="AL88" s="16"/>
      <c r="AM88" s="16"/>
      <c r="AN88" s="16"/>
      <c r="AO88" s="16"/>
      <c r="AP88" s="117"/>
      <c r="AQ88" s="52"/>
      <c r="AR88" s="55">
        <v>60.566000000000003</v>
      </c>
      <c r="AS88" s="56">
        <v>1.3</v>
      </c>
      <c r="AT88" s="55" t="s">
        <v>350</v>
      </c>
    </row>
    <row r="89" spans="2:46" s="8" customFormat="1">
      <c r="B89" s="44" t="s">
        <v>16</v>
      </c>
      <c r="C89" s="40"/>
      <c r="D89" s="40" t="s">
        <v>388</v>
      </c>
      <c r="E89" s="12" t="s">
        <v>183</v>
      </c>
      <c r="F89" s="17" t="s">
        <v>354</v>
      </c>
      <c r="G89" s="17" t="s">
        <v>345</v>
      </c>
      <c r="H89" s="12" t="s">
        <v>346</v>
      </c>
      <c r="I89" s="16"/>
      <c r="J89" s="16"/>
      <c r="K89" s="16"/>
      <c r="L89" s="16"/>
      <c r="M89" s="16">
        <v>2465</v>
      </c>
      <c r="N89" s="16">
        <v>1271</v>
      </c>
      <c r="O89" s="16">
        <v>0</v>
      </c>
      <c r="P89" s="16">
        <v>420</v>
      </c>
      <c r="Q89" s="16">
        <v>580</v>
      </c>
      <c r="R89" s="16">
        <v>205</v>
      </c>
      <c r="S89" s="16">
        <v>32</v>
      </c>
      <c r="T89" s="15"/>
      <c r="U89" s="16"/>
      <c r="V89" s="16"/>
      <c r="W89" s="16"/>
      <c r="X89" s="16"/>
      <c r="Y89" s="16"/>
      <c r="Z89" s="16"/>
      <c r="AA89" s="16"/>
      <c r="AB89" s="15"/>
      <c r="AC89" s="16"/>
      <c r="AD89" s="16"/>
      <c r="AE89" s="16"/>
      <c r="AF89" s="16"/>
      <c r="AG89" s="16"/>
      <c r="AH89" s="16"/>
      <c r="AI89" s="16"/>
      <c r="AJ89" s="15"/>
      <c r="AK89" s="16"/>
      <c r="AL89" s="16"/>
      <c r="AM89" s="16"/>
      <c r="AN89" s="16"/>
      <c r="AO89" s="16"/>
      <c r="AP89" s="117"/>
      <c r="AQ89" s="52"/>
      <c r="AR89" s="53" t="s">
        <v>348</v>
      </c>
      <c r="AS89" s="53" t="s">
        <v>348</v>
      </c>
      <c r="AT89" s="53" t="s">
        <v>348</v>
      </c>
    </row>
    <row r="90" spans="2:46" s="8" customFormat="1">
      <c r="B90" s="44" t="s">
        <v>16</v>
      </c>
      <c r="C90" s="40"/>
      <c r="D90" s="40" t="s">
        <v>388</v>
      </c>
      <c r="E90" s="12" t="s">
        <v>183</v>
      </c>
      <c r="F90" s="17" t="s">
        <v>354</v>
      </c>
      <c r="G90" s="17" t="s">
        <v>345</v>
      </c>
      <c r="H90" s="12" t="s">
        <v>349</v>
      </c>
      <c r="I90" s="16"/>
      <c r="J90" s="16"/>
      <c r="K90" s="16"/>
      <c r="L90" s="16"/>
      <c r="M90" s="16">
        <v>2123</v>
      </c>
      <c r="N90" s="16">
        <v>1193</v>
      </c>
      <c r="O90" s="16" t="s">
        <v>347</v>
      </c>
      <c r="P90" s="16">
        <v>305</v>
      </c>
      <c r="Q90" s="16">
        <v>429</v>
      </c>
      <c r="R90" s="16">
        <v>169</v>
      </c>
      <c r="S90" s="16">
        <v>12</v>
      </c>
      <c r="T90" s="15"/>
      <c r="U90" s="16"/>
      <c r="V90" s="16"/>
      <c r="W90" s="16"/>
      <c r="X90" s="16"/>
      <c r="Y90" s="16"/>
      <c r="Z90" s="16"/>
      <c r="AA90" s="16"/>
      <c r="AB90" s="15"/>
      <c r="AC90" s="16"/>
      <c r="AD90" s="16"/>
      <c r="AE90" s="16"/>
      <c r="AF90" s="16"/>
      <c r="AG90" s="16"/>
      <c r="AH90" s="16"/>
      <c r="AI90" s="16"/>
      <c r="AJ90" s="15"/>
      <c r="AK90" s="16"/>
      <c r="AL90" s="16"/>
      <c r="AM90" s="16"/>
      <c r="AN90" s="16"/>
      <c r="AO90" s="16"/>
      <c r="AP90" s="117"/>
      <c r="AQ90" s="52"/>
      <c r="AR90" s="53">
        <v>54.646999999999998</v>
      </c>
      <c r="AS90" s="54">
        <v>3.1</v>
      </c>
      <c r="AT90" s="53" t="s">
        <v>353</v>
      </c>
    </row>
    <row r="91" spans="2:46" s="8" customFormat="1">
      <c r="B91" s="44" t="s">
        <v>16</v>
      </c>
      <c r="C91" s="40"/>
      <c r="D91" s="40" t="s">
        <v>388</v>
      </c>
      <c r="E91" s="12" t="s">
        <v>183</v>
      </c>
      <c r="F91" s="17" t="s">
        <v>354</v>
      </c>
      <c r="G91" s="17" t="s">
        <v>345</v>
      </c>
      <c r="H91" s="12" t="s">
        <v>351</v>
      </c>
      <c r="I91" s="16"/>
      <c r="J91" s="16"/>
      <c r="K91" s="16"/>
      <c r="L91" s="16"/>
      <c r="M91" s="16">
        <v>1084</v>
      </c>
      <c r="N91" s="16">
        <v>843</v>
      </c>
      <c r="O91" s="16" t="s">
        <v>352</v>
      </c>
      <c r="P91" s="16">
        <v>181</v>
      </c>
      <c r="Q91" s="16">
        <v>240</v>
      </c>
      <c r="R91" s="16">
        <v>71</v>
      </c>
      <c r="S91" s="16">
        <v>10</v>
      </c>
      <c r="T91" s="15"/>
      <c r="U91" s="16"/>
      <c r="V91" s="16"/>
      <c r="W91" s="16"/>
      <c r="X91" s="16"/>
      <c r="Y91" s="16"/>
      <c r="Z91" s="16"/>
      <c r="AA91" s="16"/>
      <c r="AB91" s="15"/>
      <c r="AC91" s="16"/>
      <c r="AD91" s="16"/>
      <c r="AE91" s="16"/>
      <c r="AF91" s="16"/>
      <c r="AG91" s="16"/>
      <c r="AH91" s="16"/>
      <c r="AI91" s="16"/>
      <c r="AJ91" s="15"/>
      <c r="AK91" s="16"/>
      <c r="AL91" s="16"/>
      <c r="AM91" s="16"/>
      <c r="AN91" s="16"/>
      <c r="AO91" s="16"/>
      <c r="AP91" s="117"/>
      <c r="AQ91" s="52"/>
      <c r="AR91" s="53">
        <v>58.914000000000001</v>
      </c>
      <c r="AS91" s="54">
        <v>3.5</v>
      </c>
      <c r="AT91" s="53" t="s">
        <v>353</v>
      </c>
    </row>
    <row r="92" spans="2:46" s="8" customFormat="1">
      <c r="B92" s="44" t="s">
        <v>16</v>
      </c>
      <c r="C92" s="40"/>
      <c r="D92" s="40" t="s">
        <v>389</v>
      </c>
      <c r="E92" s="12" t="s">
        <v>188</v>
      </c>
      <c r="F92" s="12" t="s">
        <v>344</v>
      </c>
      <c r="G92" s="12" t="s">
        <v>345</v>
      </c>
      <c r="H92" s="12" t="s">
        <v>346</v>
      </c>
      <c r="I92" s="16"/>
      <c r="J92" s="16"/>
      <c r="K92" s="16"/>
      <c r="L92" s="16"/>
      <c r="M92" s="16">
        <v>27</v>
      </c>
      <c r="N92" s="16">
        <v>18</v>
      </c>
      <c r="O92" s="16">
        <v>0</v>
      </c>
      <c r="P92" s="16" t="s">
        <v>347</v>
      </c>
      <c r="Q92" s="16" t="s">
        <v>347</v>
      </c>
      <c r="R92" s="16" t="s">
        <v>347</v>
      </c>
      <c r="S92" s="16" t="s">
        <v>347</v>
      </c>
      <c r="T92" s="15">
        <f>IF(SUM(U92:AA92)&gt;M92,"ERROR",(SUM(U92:AA92)))</f>
        <v>0</v>
      </c>
      <c r="U92" s="16"/>
      <c r="V92" s="16"/>
      <c r="W92" s="16"/>
      <c r="X92" s="16"/>
      <c r="Y92" s="16"/>
      <c r="Z92" s="16"/>
      <c r="AA92" s="16"/>
      <c r="AB92" s="15">
        <f>IF(SUM(AC92:AI92)&gt;M92,"ERROR",(SUM(AC92:AI92)))</f>
        <v>0</v>
      </c>
      <c r="AC92" s="16"/>
      <c r="AD92" s="16"/>
      <c r="AE92" s="16"/>
      <c r="AF92" s="16"/>
      <c r="AG92" s="16"/>
      <c r="AH92" s="16"/>
      <c r="AI92" s="16"/>
      <c r="AJ92" s="15">
        <f>IF(SUM(AK92:AQ92)&gt;M92,"ERROR",(SUM(AK92:AQ92)))</f>
        <v>0</v>
      </c>
      <c r="AK92" s="16"/>
      <c r="AL92" s="16"/>
      <c r="AM92" s="16"/>
      <c r="AN92" s="16"/>
      <c r="AO92" s="16"/>
      <c r="AP92" s="117"/>
      <c r="AQ92" s="52"/>
      <c r="AR92" s="55" t="s">
        <v>348</v>
      </c>
      <c r="AS92" s="55" t="s">
        <v>348</v>
      </c>
      <c r="AT92" s="55" t="s">
        <v>348</v>
      </c>
    </row>
    <row r="93" spans="2:46" s="8" customFormat="1">
      <c r="B93" s="44" t="s">
        <v>16</v>
      </c>
      <c r="C93" s="40"/>
      <c r="D93" s="40">
        <v>133678</v>
      </c>
      <c r="E93" s="12" t="s">
        <v>193</v>
      </c>
      <c r="F93" s="12" t="s">
        <v>344</v>
      </c>
      <c r="G93" s="12" t="s">
        <v>345</v>
      </c>
      <c r="H93" s="12" t="s">
        <v>346</v>
      </c>
      <c r="I93" s="16"/>
      <c r="J93" s="16"/>
      <c r="K93" s="16"/>
      <c r="L93" s="16"/>
      <c r="M93" s="16">
        <v>207</v>
      </c>
      <c r="N93" s="16">
        <v>207</v>
      </c>
      <c r="O93" s="16">
        <v>0</v>
      </c>
      <c r="P93" s="16">
        <v>39</v>
      </c>
      <c r="Q93" s="16">
        <v>118</v>
      </c>
      <c r="R93" s="16" t="s">
        <v>347</v>
      </c>
      <c r="S93" s="16">
        <v>0</v>
      </c>
      <c r="T93" s="15"/>
      <c r="U93" s="16"/>
      <c r="V93" s="16"/>
      <c r="W93" s="16"/>
      <c r="X93" s="16"/>
      <c r="Y93" s="16"/>
      <c r="Z93" s="16"/>
      <c r="AA93" s="16"/>
      <c r="AB93" s="15"/>
      <c r="AC93" s="16"/>
      <c r="AD93" s="16"/>
      <c r="AE93" s="16"/>
      <c r="AF93" s="16"/>
      <c r="AG93" s="16"/>
      <c r="AH93" s="16"/>
      <c r="AI93" s="16"/>
      <c r="AJ93" s="15">
        <f>IF(SUM(AK93:AQ93)&gt;M93,"ERROR",(SUM(AK93:AQ93)))</f>
        <v>0</v>
      </c>
      <c r="AK93" s="16"/>
      <c r="AL93" s="16"/>
      <c r="AM93" s="16"/>
      <c r="AN93" s="16"/>
      <c r="AO93" s="16"/>
      <c r="AP93" s="117"/>
      <c r="AQ93" s="52"/>
      <c r="AR93" s="55" t="s">
        <v>348</v>
      </c>
      <c r="AS93" s="55" t="s">
        <v>348</v>
      </c>
      <c r="AT93" s="55" t="s">
        <v>348</v>
      </c>
    </row>
    <row r="94" spans="2:46" s="8" customFormat="1">
      <c r="B94" s="44" t="s">
        <v>16</v>
      </c>
      <c r="C94" s="40"/>
      <c r="D94" s="40">
        <v>133678</v>
      </c>
      <c r="E94" s="12" t="s">
        <v>193</v>
      </c>
      <c r="F94" s="12" t="s">
        <v>344</v>
      </c>
      <c r="G94" s="12" t="s">
        <v>345</v>
      </c>
      <c r="H94" s="12" t="s">
        <v>349</v>
      </c>
      <c r="I94" s="16"/>
      <c r="J94" s="16"/>
      <c r="K94" s="16"/>
      <c r="L94" s="16"/>
      <c r="M94" s="16">
        <v>236</v>
      </c>
      <c r="N94" s="16">
        <v>236</v>
      </c>
      <c r="O94" s="16">
        <v>0</v>
      </c>
      <c r="P94" s="16">
        <v>44</v>
      </c>
      <c r="Q94" s="16">
        <v>119</v>
      </c>
      <c r="R94" s="16" t="s">
        <v>347</v>
      </c>
      <c r="S94" s="16" t="s">
        <v>347</v>
      </c>
      <c r="T94" s="15"/>
      <c r="U94" s="16"/>
      <c r="V94" s="16"/>
      <c r="W94" s="16"/>
      <c r="X94" s="16"/>
      <c r="Y94" s="16"/>
      <c r="Z94" s="16"/>
      <c r="AA94" s="16"/>
      <c r="AB94" s="15"/>
      <c r="AC94" s="16"/>
      <c r="AD94" s="16"/>
      <c r="AE94" s="16"/>
      <c r="AF94" s="16"/>
      <c r="AG94" s="16"/>
      <c r="AH94" s="16"/>
      <c r="AI94" s="16"/>
      <c r="AJ94" s="15"/>
      <c r="AK94" s="16"/>
      <c r="AL94" s="16"/>
      <c r="AM94" s="16"/>
      <c r="AN94" s="16"/>
      <c r="AO94" s="16"/>
      <c r="AP94" s="117"/>
      <c r="AQ94" s="52"/>
      <c r="AR94" s="55">
        <v>51.985999999999997</v>
      </c>
      <c r="AS94" s="56">
        <v>1.4</v>
      </c>
      <c r="AT94" s="55" t="s">
        <v>353</v>
      </c>
    </row>
    <row r="95" spans="2:46" s="8" customFormat="1">
      <c r="B95" s="44" t="s">
        <v>16</v>
      </c>
      <c r="C95" s="40"/>
      <c r="D95" s="40">
        <v>133678</v>
      </c>
      <c r="E95" s="12" t="s">
        <v>193</v>
      </c>
      <c r="F95" s="12" t="s">
        <v>344</v>
      </c>
      <c r="G95" s="12" t="s">
        <v>345</v>
      </c>
      <c r="H95" s="12" t="s">
        <v>351</v>
      </c>
      <c r="I95" s="16"/>
      <c r="J95" s="16"/>
      <c r="K95" s="16"/>
      <c r="L95" s="16"/>
      <c r="M95" s="16">
        <v>282</v>
      </c>
      <c r="N95" s="16">
        <v>258</v>
      </c>
      <c r="O95" s="16" t="s">
        <v>352</v>
      </c>
      <c r="P95" s="16">
        <v>41</v>
      </c>
      <c r="Q95" s="16">
        <v>126</v>
      </c>
      <c r="R95" s="16" t="s">
        <v>347</v>
      </c>
      <c r="S95" s="16">
        <v>0</v>
      </c>
      <c r="T95" s="15"/>
      <c r="U95" s="16"/>
      <c r="V95" s="16"/>
      <c r="W95" s="16"/>
      <c r="X95" s="16"/>
      <c r="Y95" s="16"/>
      <c r="Z95" s="16"/>
      <c r="AA95" s="16"/>
      <c r="AB95" s="15"/>
      <c r="AC95" s="16"/>
      <c r="AD95" s="16"/>
      <c r="AE95" s="16"/>
      <c r="AF95" s="16"/>
      <c r="AG95" s="16"/>
      <c r="AH95" s="16"/>
      <c r="AI95" s="16"/>
      <c r="AJ95" s="15"/>
      <c r="AK95" s="16"/>
      <c r="AL95" s="16"/>
      <c r="AM95" s="16"/>
      <c r="AN95" s="16"/>
      <c r="AO95" s="16"/>
      <c r="AP95" s="117"/>
      <c r="AQ95" s="52"/>
      <c r="AR95" s="55">
        <v>51.875</v>
      </c>
      <c r="AS95" s="56">
        <v>0.3</v>
      </c>
      <c r="AT95" s="55" t="s">
        <v>353</v>
      </c>
    </row>
    <row r="96" spans="2:46" s="8" customFormat="1">
      <c r="B96" s="44" t="s">
        <v>16</v>
      </c>
      <c r="C96" s="40"/>
      <c r="D96" s="40" t="s">
        <v>390</v>
      </c>
      <c r="E96" s="12" t="s">
        <v>197</v>
      </c>
      <c r="F96" s="12" t="s">
        <v>344</v>
      </c>
      <c r="G96" s="12" t="s">
        <v>345</v>
      </c>
      <c r="H96" s="12" t="s">
        <v>346</v>
      </c>
      <c r="I96" s="16"/>
      <c r="J96" s="16"/>
      <c r="K96" s="16"/>
      <c r="L96" s="16"/>
      <c r="M96" s="16">
        <v>217</v>
      </c>
      <c r="N96" s="16">
        <v>187</v>
      </c>
      <c r="O96" s="16" t="s">
        <v>347</v>
      </c>
      <c r="P96" s="16">
        <v>13</v>
      </c>
      <c r="Q96" s="16">
        <v>107</v>
      </c>
      <c r="R96" s="16" t="s">
        <v>347</v>
      </c>
      <c r="S96" s="16" t="s">
        <v>347</v>
      </c>
      <c r="T96" s="15">
        <f>IF(SUM(U96:AA96)&gt;M96,"ERROR",(SUM(U96:AA96)))</f>
        <v>0</v>
      </c>
      <c r="U96" s="16"/>
      <c r="V96" s="16"/>
      <c r="W96" s="16"/>
      <c r="X96" s="16"/>
      <c r="Y96" s="16"/>
      <c r="Z96" s="16"/>
      <c r="AA96" s="16"/>
      <c r="AB96" s="15">
        <f>IF(SUM(AC96:AI96)&gt;M96,"ERROR",(SUM(AC96:AI96)))</f>
        <v>0</v>
      </c>
      <c r="AC96" s="16"/>
      <c r="AD96" s="16"/>
      <c r="AE96" s="16"/>
      <c r="AF96" s="16"/>
      <c r="AG96" s="16"/>
      <c r="AH96" s="16"/>
      <c r="AI96" s="16"/>
      <c r="AJ96" s="15">
        <f>IF(SUM(AK96:AQ96)&gt;M96,"ERROR",(SUM(AK96:AQ96)))</f>
        <v>0</v>
      </c>
      <c r="AK96" s="16"/>
      <c r="AL96" s="16"/>
      <c r="AM96" s="16"/>
      <c r="AN96" s="16"/>
      <c r="AO96" s="16"/>
      <c r="AP96" s="117"/>
      <c r="AQ96" s="52"/>
      <c r="AR96" s="55" t="s">
        <v>348</v>
      </c>
      <c r="AS96" s="55" t="s">
        <v>348</v>
      </c>
      <c r="AT96" s="55" t="s">
        <v>348</v>
      </c>
    </row>
    <row r="97" spans="2:46" s="8" customFormat="1">
      <c r="B97" s="44" t="s">
        <v>16</v>
      </c>
      <c r="C97" s="40"/>
      <c r="D97" s="40" t="s">
        <v>390</v>
      </c>
      <c r="E97" s="12" t="s">
        <v>197</v>
      </c>
      <c r="F97" s="12" t="s">
        <v>344</v>
      </c>
      <c r="G97" s="12" t="s">
        <v>345</v>
      </c>
      <c r="H97" s="12" t="s">
        <v>349</v>
      </c>
      <c r="I97" s="16"/>
      <c r="J97" s="16"/>
      <c r="K97" s="16"/>
      <c r="L97" s="16"/>
      <c r="M97" s="16">
        <v>176</v>
      </c>
      <c r="N97" s="16">
        <v>162</v>
      </c>
      <c r="O97" s="16">
        <v>9</v>
      </c>
      <c r="P97" s="16">
        <v>10</v>
      </c>
      <c r="Q97" s="16">
        <v>78</v>
      </c>
      <c r="R97" s="16" t="s">
        <v>347</v>
      </c>
      <c r="S97" s="16">
        <v>0</v>
      </c>
      <c r="T97" s="15"/>
      <c r="U97" s="16"/>
      <c r="V97" s="16"/>
      <c r="W97" s="16"/>
      <c r="X97" s="16"/>
      <c r="Y97" s="16"/>
      <c r="Z97" s="16"/>
      <c r="AA97" s="16"/>
      <c r="AB97" s="15"/>
      <c r="AC97" s="16"/>
      <c r="AD97" s="16"/>
      <c r="AE97" s="16"/>
      <c r="AF97" s="16"/>
      <c r="AG97" s="16"/>
      <c r="AH97" s="16"/>
      <c r="AI97" s="16"/>
      <c r="AJ97" s="15"/>
      <c r="AK97" s="16"/>
      <c r="AL97" s="16"/>
      <c r="AM97" s="16"/>
      <c r="AN97" s="16"/>
      <c r="AO97" s="16"/>
      <c r="AP97" s="117"/>
      <c r="AQ97" s="52"/>
      <c r="AR97" s="55">
        <v>84.522000000000006</v>
      </c>
      <c r="AS97" s="56">
        <v>0</v>
      </c>
      <c r="AT97" s="55" t="s">
        <v>365</v>
      </c>
    </row>
    <row r="98" spans="2:46" s="8" customFormat="1">
      <c r="B98" s="44" t="s">
        <v>16</v>
      </c>
      <c r="C98" s="40"/>
      <c r="D98" s="40" t="s">
        <v>390</v>
      </c>
      <c r="E98" s="12" t="s">
        <v>197</v>
      </c>
      <c r="F98" s="12" t="s">
        <v>344</v>
      </c>
      <c r="G98" s="12" t="s">
        <v>345</v>
      </c>
      <c r="H98" s="12" t="s">
        <v>351</v>
      </c>
      <c r="I98" s="16"/>
      <c r="J98" s="16"/>
      <c r="K98" s="16"/>
      <c r="L98" s="16"/>
      <c r="M98" s="16">
        <v>83</v>
      </c>
      <c r="N98" s="16" t="s">
        <v>347</v>
      </c>
      <c r="O98" s="16" t="s">
        <v>352</v>
      </c>
      <c r="P98" s="16" t="s">
        <v>347</v>
      </c>
      <c r="Q98" s="16">
        <v>41</v>
      </c>
      <c r="R98" s="16" t="s">
        <v>347</v>
      </c>
      <c r="S98" s="16">
        <v>0</v>
      </c>
      <c r="T98" s="15"/>
      <c r="U98" s="16"/>
      <c r="V98" s="16"/>
      <c r="W98" s="16"/>
      <c r="X98" s="16"/>
      <c r="Y98" s="16"/>
      <c r="Z98" s="16"/>
      <c r="AA98" s="16"/>
      <c r="AB98" s="15"/>
      <c r="AC98" s="16"/>
      <c r="AD98" s="16"/>
      <c r="AE98" s="16"/>
      <c r="AF98" s="16"/>
      <c r="AG98" s="16"/>
      <c r="AH98" s="16"/>
      <c r="AI98" s="16"/>
      <c r="AJ98" s="15"/>
      <c r="AK98" s="16"/>
      <c r="AL98" s="16"/>
      <c r="AM98" s="16"/>
      <c r="AN98" s="16"/>
      <c r="AO98" s="16"/>
      <c r="AP98" s="117"/>
      <c r="AQ98" s="52"/>
      <c r="AR98" s="55">
        <v>96.471000000000004</v>
      </c>
      <c r="AS98" s="56">
        <v>0</v>
      </c>
      <c r="AT98" s="55" t="s">
        <v>391</v>
      </c>
    </row>
    <row r="99" spans="2:46" s="8" customFormat="1">
      <c r="B99" s="44" t="s">
        <v>16</v>
      </c>
      <c r="C99" s="40"/>
      <c r="D99" s="40" t="s">
        <v>392</v>
      </c>
      <c r="E99" s="12" t="s">
        <v>201</v>
      </c>
      <c r="F99" s="17" t="s">
        <v>344</v>
      </c>
      <c r="G99" s="17" t="s">
        <v>345</v>
      </c>
      <c r="H99" s="12" t="s">
        <v>346</v>
      </c>
      <c r="I99" s="16"/>
      <c r="J99" s="16"/>
      <c r="K99" s="16"/>
      <c r="L99" s="16"/>
      <c r="M99" s="16">
        <v>233</v>
      </c>
      <c r="N99" s="16">
        <v>233</v>
      </c>
      <c r="O99" s="16">
        <v>0</v>
      </c>
      <c r="P99" s="16">
        <v>31</v>
      </c>
      <c r="Q99" s="16">
        <v>88</v>
      </c>
      <c r="R99" s="16">
        <v>18</v>
      </c>
      <c r="S99" s="16">
        <v>0</v>
      </c>
      <c r="T99" s="15"/>
      <c r="U99" s="16"/>
      <c r="V99" s="16"/>
      <c r="W99" s="16"/>
      <c r="X99" s="16"/>
      <c r="Y99" s="16"/>
      <c r="Z99" s="16"/>
      <c r="AA99" s="16"/>
      <c r="AB99" s="15"/>
      <c r="AC99" s="16"/>
      <c r="AD99" s="16"/>
      <c r="AE99" s="16"/>
      <c r="AF99" s="16"/>
      <c r="AG99" s="16"/>
      <c r="AH99" s="16"/>
      <c r="AI99" s="16"/>
      <c r="AJ99" s="15">
        <f>IF(SUM(AK99:AQ99)&gt;M99,"ERROR",(SUM(AK99:AQ99)))</f>
        <v>0</v>
      </c>
      <c r="AK99" s="16"/>
      <c r="AL99" s="16"/>
      <c r="AM99" s="16"/>
      <c r="AN99" s="16"/>
      <c r="AO99" s="16"/>
      <c r="AP99" s="117"/>
      <c r="AQ99" s="52"/>
      <c r="AR99" s="55" t="s">
        <v>348</v>
      </c>
      <c r="AS99" s="55" t="s">
        <v>348</v>
      </c>
      <c r="AT99" s="55" t="s">
        <v>348</v>
      </c>
    </row>
    <row r="100" spans="2:46" s="8" customFormat="1">
      <c r="B100" s="44" t="s">
        <v>16</v>
      </c>
      <c r="C100" s="40"/>
      <c r="D100" s="40" t="s">
        <v>392</v>
      </c>
      <c r="E100" s="12" t="s">
        <v>201</v>
      </c>
      <c r="F100" s="17" t="s">
        <v>344</v>
      </c>
      <c r="G100" s="17" t="s">
        <v>345</v>
      </c>
      <c r="H100" s="12" t="s">
        <v>349</v>
      </c>
      <c r="I100" s="16"/>
      <c r="J100" s="16"/>
      <c r="K100" s="16"/>
      <c r="L100" s="16"/>
      <c r="M100" s="16">
        <v>204</v>
      </c>
      <c r="N100" s="16">
        <v>204</v>
      </c>
      <c r="O100" s="16">
        <v>0</v>
      </c>
      <c r="P100" s="16">
        <v>27</v>
      </c>
      <c r="Q100" s="16">
        <v>83</v>
      </c>
      <c r="R100" s="16" t="s">
        <v>393</v>
      </c>
      <c r="S100" s="16">
        <v>0</v>
      </c>
      <c r="T100" s="15"/>
      <c r="U100" s="16"/>
      <c r="V100" s="16"/>
      <c r="W100" s="16"/>
      <c r="X100" s="16"/>
      <c r="Y100" s="16"/>
      <c r="Z100" s="16"/>
      <c r="AA100" s="16"/>
      <c r="AB100" s="15"/>
      <c r="AC100" s="16"/>
      <c r="AD100" s="16"/>
      <c r="AE100" s="16"/>
      <c r="AF100" s="16"/>
      <c r="AG100" s="16"/>
      <c r="AH100" s="16"/>
      <c r="AI100" s="16"/>
      <c r="AJ100" s="15"/>
      <c r="AK100" s="16"/>
      <c r="AL100" s="16"/>
      <c r="AM100" s="16"/>
      <c r="AN100" s="16"/>
      <c r="AO100" s="16"/>
      <c r="AP100" s="117"/>
      <c r="AQ100" s="52"/>
      <c r="AR100" s="55">
        <v>58.320999999999998</v>
      </c>
      <c r="AS100" s="56">
        <v>0</v>
      </c>
      <c r="AT100" s="55" t="s">
        <v>353</v>
      </c>
    </row>
    <row r="101" spans="2:46" s="8" customFormat="1">
      <c r="B101" s="44" t="s">
        <v>16</v>
      </c>
      <c r="C101" s="40"/>
      <c r="D101" s="40" t="s">
        <v>392</v>
      </c>
      <c r="E101" s="12" t="s">
        <v>201</v>
      </c>
      <c r="F101" s="17" t="s">
        <v>344</v>
      </c>
      <c r="G101" s="17" t="s">
        <v>345</v>
      </c>
      <c r="H101" s="12" t="s">
        <v>351</v>
      </c>
      <c r="I101" s="16"/>
      <c r="J101" s="16"/>
      <c r="K101" s="16"/>
      <c r="L101" s="16"/>
      <c r="M101" s="16">
        <v>137</v>
      </c>
      <c r="N101" s="16">
        <v>143</v>
      </c>
      <c r="O101" s="16" t="s">
        <v>352</v>
      </c>
      <c r="P101" s="16">
        <v>23</v>
      </c>
      <c r="Q101" s="16">
        <v>59</v>
      </c>
      <c r="R101" s="16">
        <v>11</v>
      </c>
      <c r="S101" s="16" t="s">
        <v>347</v>
      </c>
      <c r="T101" s="15"/>
      <c r="U101" s="16"/>
      <c r="V101" s="16"/>
      <c r="W101" s="16"/>
      <c r="X101" s="16"/>
      <c r="Y101" s="16"/>
      <c r="Z101" s="16"/>
      <c r="AA101" s="16"/>
      <c r="AB101" s="15"/>
      <c r="AC101" s="16"/>
      <c r="AD101" s="16"/>
      <c r="AE101" s="16"/>
      <c r="AF101" s="16"/>
      <c r="AG101" s="16"/>
      <c r="AH101" s="16"/>
      <c r="AI101" s="16"/>
      <c r="AJ101" s="15"/>
      <c r="AK101" s="16"/>
      <c r="AL101" s="16"/>
      <c r="AM101" s="16"/>
      <c r="AN101" s="16"/>
      <c r="AO101" s="16"/>
      <c r="AP101" s="117"/>
      <c r="AQ101" s="52"/>
      <c r="AR101" s="55">
        <v>61.523000000000003</v>
      </c>
      <c r="AS101" s="56">
        <v>0.5</v>
      </c>
      <c r="AT101" s="55" t="s">
        <v>350</v>
      </c>
    </row>
    <row r="102" spans="2:46" s="8" customFormat="1">
      <c r="B102" s="44" t="s">
        <v>16</v>
      </c>
      <c r="C102" s="40"/>
      <c r="D102" s="40" t="s">
        <v>394</v>
      </c>
      <c r="E102" s="12" t="s">
        <v>206</v>
      </c>
      <c r="F102" s="12" t="s">
        <v>344</v>
      </c>
      <c r="G102" s="17" t="s">
        <v>345</v>
      </c>
      <c r="H102" s="12" t="s">
        <v>346</v>
      </c>
      <c r="I102" s="16"/>
      <c r="J102" s="16"/>
      <c r="K102" s="16"/>
      <c r="L102" s="16"/>
      <c r="M102" s="16">
        <v>234</v>
      </c>
      <c r="N102" s="16">
        <v>234</v>
      </c>
      <c r="O102" s="16">
        <v>0</v>
      </c>
      <c r="P102" s="16">
        <v>16</v>
      </c>
      <c r="Q102" s="16">
        <v>221</v>
      </c>
      <c r="R102" s="16" t="s">
        <v>347</v>
      </c>
      <c r="S102" s="16">
        <v>0</v>
      </c>
      <c r="T102" s="15"/>
      <c r="U102" s="16"/>
      <c r="V102" s="16"/>
      <c r="W102" s="16"/>
      <c r="X102" s="16"/>
      <c r="Y102" s="16"/>
      <c r="Z102" s="16"/>
      <c r="AA102" s="16"/>
      <c r="AB102" s="15"/>
      <c r="AC102" s="16"/>
      <c r="AD102" s="16"/>
      <c r="AE102" s="16"/>
      <c r="AF102" s="16"/>
      <c r="AG102" s="16"/>
      <c r="AH102" s="16"/>
      <c r="AI102" s="16"/>
      <c r="AJ102" s="15">
        <f>IF(SUM(AK102:AQ102)&gt;M102,"ERROR",(SUM(AK102:AQ102)))</f>
        <v>0</v>
      </c>
      <c r="AK102" s="16"/>
      <c r="AL102" s="16"/>
      <c r="AM102" s="16"/>
      <c r="AN102" s="16"/>
      <c r="AO102" s="16"/>
      <c r="AP102" s="117"/>
      <c r="AQ102" s="52"/>
      <c r="AR102" s="55" t="s">
        <v>348</v>
      </c>
      <c r="AS102" s="55" t="s">
        <v>348</v>
      </c>
      <c r="AT102" s="55" t="s">
        <v>348</v>
      </c>
    </row>
    <row r="103" spans="2:46" s="8" customFormat="1">
      <c r="B103" s="44" t="s">
        <v>16</v>
      </c>
      <c r="C103" s="40"/>
      <c r="D103" s="40" t="s">
        <v>394</v>
      </c>
      <c r="E103" s="12" t="s">
        <v>206</v>
      </c>
      <c r="F103" s="12" t="s">
        <v>344</v>
      </c>
      <c r="G103" s="17" t="s">
        <v>345</v>
      </c>
      <c r="H103" s="12" t="s">
        <v>349</v>
      </c>
      <c r="I103" s="16"/>
      <c r="J103" s="16"/>
      <c r="K103" s="16"/>
      <c r="L103" s="16"/>
      <c r="M103" s="16">
        <v>220</v>
      </c>
      <c r="N103" s="16">
        <v>216</v>
      </c>
      <c r="O103" s="16">
        <v>0</v>
      </c>
      <c r="P103" s="16">
        <v>18</v>
      </c>
      <c r="Q103" s="16">
        <v>210</v>
      </c>
      <c r="R103" s="16" t="s">
        <v>347</v>
      </c>
      <c r="S103" s="16">
        <v>0</v>
      </c>
      <c r="T103" s="15"/>
      <c r="U103" s="16"/>
      <c r="V103" s="16"/>
      <c r="W103" s="16"/>
      <c r="X103" s="16"/>
      <c r="Y103" s="16"/>
      <c r="Z103" s="16"/>
      <c r="AA103" s="16"/>
      <c r="AB103" s="15"/>
      <c r="AC103" s="16"/>
      <c r="AD103" s="16"/>
      <c r="AE103" s="16"/>
      <c r="AF103" s="16"/>
      <c r="AG103" s="16"/>
      <c r="AH103" s="16"/>
      <c r="AI103" s="16"/>
      <c r="AJ103" s="15"/>
      <c r="AK103" s="16"/>
      <c r="AL103" s="16"/>
      <c r="AM103" s="16"/>
      <c r="AN103" s="16"/>
      <c r="AO103" s="16"/>
      <c r="AP103" s="117"/>
      <c r="AQ103" s="52"/>
      <c r="AR103" s="55">
        <v>56.793999999999997</v>
      </c>
      <c r="AS103" s="56">
        <v>0.4</v>
      </c>
      <c r="AT103" s="55" t="s">
        <v>353</v>
      </c>
    </row>
    <row r="104" spans="2:46" s="8" customFormat="1">
      <c r="B104" s="44" t="s">
        <v>16</v>
      </c>
      <c r="C104" s="40"/>
      <c r="D104" s="40" t="s">
        <v>394</v>
      </c>
      <c r="E104" s="12" t="s">
        <v>206</v>
      </c>
      <c r="F104" s="12" t="s">
        <v>344</v>
      </c>
      <c r="G104" s="17" t="s">
        <v>345</v>
      </c>
      <c r="H104" s="12" t="s">
        <v>351</v>
      </c>
      <c r="I104" s="16"/>
      <c r="J104" s="16"/>
      <c r="K104" s="16"/>
      <c r="L104" s="16"/>
      <c r="M104" s="16">
        <v>164</v>
      </c>
      <c r="N104" s="16">
        <v>107</v>
      </c>
      <c r="O104" s="16" t="s">
        <v>352</v>
      </c>
      <c r="P104" s="16">
        <v>11</v>
      </c>
      <c r="Q104" s="16">
        <v>164</v>
      </c>
      <c r="R104" s="16" t="s">
        <v>347</v>
      </c>
      <c r="S104" s="16">
        <v>0</v>
      </c>
      <c r="T104" s="15"/>
      <c r="U104" s="16"/>
      <c r="V104" s="16"/>
      <c r="W104" s="16"/>
      <c r="X104" s="16"/>
      <c r="Y104" s="16"/>
      <c r="Z104" s="16"/>
      <c r="AA104" s="16"/>
      <c r="AB104" s="15"/>
      <c r="AC104" s="16"/>
      <c r="AD104" s="16"/>
      <c r="AE104" s="16"/>
      <c r="AF104" s="16"/>
      <c r="AG104" s="16"/>
      <c r="AH104" s="16"/>
      <c r="AI104" s="16"/>
      <c r="AJ104" s="15"/>
      <c r="AK104" s="16"/>
      <c r="AL104" s="16"/>
      <c r="AM104" s="16"/>
      <c r="AN104" s="16"/>
      <c r="AO104" s="16"/>
      <c r="AP104" s="117"/>
      <c r="AQ104" s="52"/>
      <c r="AR104" s="55">
        <v>51.051000000000002</v>
      </c>
      <c r="AS104" s="56">
        <v>1</v>
      </c>
      <c r="AT104" s="55" t="s">
        <v>353</v>
      </c>
    </row>
    <row r="105" spans="2:46" s="8" customFormat="1">
      <c r="B105" s="44" t="s">
        <v>16</v>
      </c>
      <c r="C105" s="40"/>
      <c r="D105" s="40" t="s">
        <v>395</v>
      </c>
      <c r="E105" s="17" t="s">
        <v>211</v>
      </c>
      <c r="F105" s="12" t="s">
        <v>344</v>
      </c>
      <c r="G105" s="12" t="s">
        <v>345</v>
      </c>
      <c r="H105" s="12" t="s">
        <v>346</v>
      </c>
      <c r="I105" s="16"/>
      <c r="J105" s="16"/>
      <c r="K105" s="16"/>
      <c r="L105" s="16"/>
      <c r="M105" s="16">
        <v>254</v>
      </c>
      <c r="N105" s="16">
        <v>143</v>
      </c>
      <c r="O105" s="16">
        <v>0</v>
      </c>
      <c r="P105" s="16">
        <v>25</v>
      </c>
      <c r="Q105" s="16">
        <v>147</v>
      </c>
      <c r="R105" s="16">
        <v>32</v>
      </c>
      <c r="S105" s="16">
        <v>0</v>
      </c>
      <c r="T105" s="15"/>
      <c r="U105" s="16"/>
      <c r="V105" s="16"/>
      <c r="W105" s="16"/>
      <c r="X105" s="16"/>
      <c r="Y105" s="16"/>
      <c r="Z105" s="16"/>
      <c r="AA105" s="16"/>
      <c r="AB105" s="15"/>
      <c r="AC105" s="16"/>
      <c r="AD105" s="16"/>
      <c r="AE105" s="16"/>
      <c r="AF105" s="16"/>
      <c r="AG105" s="16"/>
      <c r="AH105" s="16"/>
      <c r="AI105" s="16"/>
      <c r="AJ105" s="15"/>
      <c r="AK105" s="16"/>
      <c r="AL105" s="16"/>
      <c r="AM105" s="16"/>
      <c r="AN105" s="16"/>
      <c r="AO105" s="16"/>
      <c r="AP105" s="117"/>
      <c r="AQ105" s="52"/>
      <c r="AR105" s="55" t="s">
        <v>348</v>
      </c>
      <c r="AS105" s="55" t="s">
        <v>348</v>
      </c>
      <c r="AT105" s="55" t="s">
        <v>348</v>
      </c>
    </row>
    <row r="106" spans="2:46" s="8" customFormat="1">
      <c r="B106" s="44" t="s">
        <v>16</v>
      </c>
      <c r="C106" s="40"/>
      <c r="D106" s="40" t="s">
        <v>396</v>
      </c>
      <c r="E106" s="12" t="s">
        <v>216</v>
      </c>
      <c r="F106" s="12" t="s">
        <v>344</v>
      </c>
      <c r="G106" s="12" t="s">
        <v>345</v>
      </c>
      <c r="H106" s="12" t="s">
        <v>346</v>
      </c>
      <c r="I106" s="16"/>
      <c r="J106" s="16"/>
      <c r="K106" s="16"/>
      <c r="L106" s="16"/>
      <c r="M106" s="16">
        <v>228</v>
      </c>
      <c r="N106" s="16">
        <v>228</v>
      </c>
      <c r="O106" s="16">
        <v>0</v>
      </c>
      <c r="P106" s="16">
        <v>44</v>
      </c>
      <c r="Q106" s="16">
        <v>205</v>
      </c>
      <c r="R106" s="16" t="s">
        <v>347</v>
      </c>
      <c r="S106" s="16" t="s">
        <v>347</v>
      </c>
      <c r="T106" s="15">
        <f>IF(SUM(U106:AA106)&gt;M106,"ERROR",(SUM(U106:AA106)))</f>
        <v>0</v>
      </c>
      <c r="U106" s="16"/>
      <c r="V106" s="16"/>
      <c r="W106" s="16"/>
      <c r="X106" s="16"/>
      <c r="Y106" s="16"/>
      <c r="Z106" s="16"/>
      <c r="AA106" s="16"/>
      <c r="AB106" s="15">
        <f>IF(SUM(AC106:AI106)&gt;M106,"ERROR",(SUM(AC106:AI106)))</f>
        <v>0</v>
      </c>
      <c r="AC106" s="16"/>
      <c r="AD106" s="16"/>
      <c r="AE106" s="16"/>
      <c r="AF106" s="16"/>
      <c r="AG106" s="16"/>
      <c r="AH106" s="16"/>
      <c r="AI106" s="16"/>
      <c r="AJ106" s="15">
        <f>IF(SUM(AK106:AQ106)&gt;M106,"ERROR",(SUM(AK106:AQ106)))</f>
        <v>0</v>
      </c>
      <c r="AK106" s="16"/>
      <c r="AL106" s="16"/>
      <c r="AM106" s="16"/>
      <c r="AN106" s="16"/>
      <c r="AO106" s="16"/>
      <c r="AP106" s="117"/>
      <c r="AQ106" s="52"/>
      <c r="AR106" s="55" t="s">
        <v>348</v>
      </c>
      <c r="AS106" s="55" t="s">
        <v>348</v>
      </c>
      <c r="AT106" s="55" t="s">
        <v>348</v>
      </c>
    </row>
    <row r="107" spans="2:46" s="8" customFormat="1">
      <c r="B107" s="44" t="s">
        <v>16</v>
      </c>
      <c r="C107" s="40"/>
      <c r="D107" s="40" t="s">
        <v>396</v>
      </c>
      <c r="E107" s="12" t="s">
        <v>216</v>
      </c>
      <c r="F107" s="12" t="s">
        <v>344</v>
      </c>
      <c r="G107" s="12" t="s">
        <v>345</v>
      </c>
      <c r="H107" s="12" t="s">
        <v>349</v>
      </c>
      <c r="I107" s="16"/>
      <c r="J107" s="16"/>
      <c r="K107" s="16"/>
      <c r="L107" s="16"/>
      <c r="M107" s="16">
        <v>303</v>
      </c>
      <c r="N107" s="16">
        <v>301</v>
      </c>
      <c r="O107" s="16">
        <v>0</v>
      </c>
      <c r="P107" s="16">
        <v>54</v>
      </c>
      <c r="Q107" s="16">
        <v>289</v>
      </c>
      <c r="R107" s="16" t="s">
        <v>347</v>
      </c>
      <c r="S107" s="16" t="s">
        <v>347</v>
      </c>
      <c r="T107" s="15"/>
      <c r="U107" s="16"/>
      <c r="V107" s="16"/>
      <c r="W107" s="16"/>
      <c r="X107" s="16"/>
      <c r="Y107" s="16"/>
      <c r="Z107" s="16"/>
      <c r="AA107" s="16"/>
      <c r="AB107" s="15"/>
      <c r="AC107" s="16"/>
      <c r="AD107" s="16"/>
      <c r="AE107" s="16"/>
      <c r="AF107" s="16"/>
      <c r="AG107" s="16"/>
      <c r="AH107" s="16"/>
      <c r="AI107" s="16"/>
      <c r="AJ107" s="15"/>
      <c r="AK107" s="16"/>
      <c r="AL107" s="16"/>
      <c r="AM107" s="16"/>
      <c r="AN107" s="16"/>
      <c r="AO107" s="16"/>
      <c r="AP107" s="117"/>
      <c r="AQ107" s="52"/>
      <c r="AR107" s="55">
        <v>58.889000000000003</v>
      </c>
      <c r="AS107" s="56">
        <v>0.3</v>
      </c>
      <c r="AT107" s="55" t="s">
        <v>353</v>
      </c>
    </row>
    <row r="108" spans="2:46" s="8" customFormat="1">
      <c r="B108" s="44" t="s">
        <v>16</v>
      </c>
      <c r="C108" s="40"/>
      <c r="D108" s="40" t="s">
        <v>396</v>
      </c>
      <c r="E108" s="12" t="s">
        <v>216</v>
      </c>
      <c r="F108" s="12" t="s">
        <v>344</v>
      </c>
      <c r="G108" s="12" t="s">
        <v>345</v>
      </c>
      <c r="H108" s="12" t="s">
        <v>351</v>
      </c>
      <c r="I108" s="16"/>
      <c r="J108" s="16"/>
      <c r="K108" s="16"/>
      <c r="L108" s="16"/>
      <c r="M108" s="16">
        <v>379</v>
      </c>
      <c r="N108" s="16">
        <v>379</v>
      </c>
      <c r="O108" s="16" t="s">
        <v>352</v>
      </c>
      <c r="P108" s="16">
        <v>49</v>
      </c>
      <c r="Q108" s="16">
        <v>362</v>
      </c>
      <c r="R108" s="16" t="s">
        <v>347</v>
      </c>
      <c r="S108" s="16" t="s">
        <v>347</v>
      </c>
      <c r="T108" s="15"/>
      <c r="U108" s="16"/>
      <c r="V108" s="16"/>
      <c r="W108" s="16"/>
      <c r="X108" s="16"/>
      <c r="Y108" s="16"/>
      <c r="Z108" s="16"/>
      <c r="AA108" s="16"/>
      <c r="AB108" s="15"/>
      <c r="AC108" s="16"/>
      <c r="AD108" s="16"/>
      <c r="AE108" s="16"/>
      <c r="AF108" s="16"/>
      <c r="AG108" s="16"/>
      <c r="AH108" s="16"/>
      <c r="AI108" s="16"/>
      <c r="AJ108" s="15"/>
      <c r="AK108" s="16"/>
      <c r="AL108" s="16"/>
      <c r="AM108" s="16"/>
      <c r="AN108" s="16"/>
      <c r="AO108" s="16"/>
      <c r="AP108" s="117"/>
      <c r="AQ108" s="52"/>
      <c r="AR108" s="55">
        <v>58.243000000000002</v>
      </c>
      <c r="AS108" s="56" t="s">
        <v>352</v>
      </c>
      <c r="AT108" s="55" t="s">
        <v>352</v>
      </c>
    </row>
    <row r="109" spans="2:46" s="8" customFormat="1">
      <c r="B109" s="44" t="s">
        <v>16</v>
      </c>
      <c r="C109" s="40"/>
      <c r="D109" s="40" t="s">
        <v>397</v>
      </c>
      <c r="E109" s="17" t="s">
        <v>220</v>
      </c>
      <c r="F109" s="12" t="s">
        <v>344</v>
      </c>
      <c r="G109" s="12" t="s">
        <v>345</v>
      </c>
      <c r="H109" s="12" t="s">
        <v>346</v>
      </c>
      <c r="I109" s="16"/>
      <c r="J109" s="16"/>
      <c r="K109" s="16"/>
      <c r="L109" s="16"/>
      <c r="M109" s="16">
        <v>252</v>
      </c>
      <c r="N109" s="16">
        <v>252</v>
      </c>
      <c r="O109" s="16">
        <v>34</v>
      </c>
      <c r="P109" s="16">
        <v>54</v>
      </c>
      <c r="Q109" s="16">
        <v>61</v>
      </c>
      <c r="R109" s="16">
        <v>87</v>
      </c>
      <c r="S109" s="16">
        <v>0</v>
      </c>
      <c r="T109" s="15">
        <f>IF(SUM(U109:AA109)&gt;M109,"ERROR",(SUM(U109:AA109)))</f>
        <v>0</v>
      </c>
      <c r="U109" s="16"/>
      <c r="V109" s="16"/>
      <c r="W109" s="16"/>
      <c r="X109" s="16"/>
      <c r="Y109" s="16"/>
      <c r="Z109" s="16"/>
      <c r="AA109" s="16"/>
      <c r="AB109" s="15">
        <f>IF(SUM(AC109:AI109)&gt;M109,"ERROR",(SUM(AC109:AI109)))</f>
        <v>0</v>
      </c>
      <c r="AC109" s="16"/>
      <c r="AD109" s="16"/>
      <c r="AE109" s="16"/>
      <c r="AF109" s="16"/>
      <c r="AG109" s="16"/>
      <c r="AH109" s="16"/>
      <c r="AI109" s="16"/>
      <c r="AJ109" s="15">
        <f>IF(SUM(AK109:AQ109)&gt;M109,"ERROR",(SUM(AK109:AQ109)))</f>
        <v>0</v>
      </c>
      <c r="AK109" s="16"/>
      <c r="AL109" s="16"/>
      <c r="AM109" s="16"/>
      <c r="AN109" s="16"/>
      <c r="AO109" s="16"/>
      <c r="AP109" s="117"/>
      <c r="AQ109" s="52"/>
      <c r="AR109" s="55" t="s">
        <v>348</v>
      </c>
      <c r="AS109" s="55" t="s">
        <v>348</v>
      </c>
      <c r="AT109" s="55" t="s">
        <v>348</v>
      </c>
    </row>
    <row r="110" spans="2:46" s="8" customFormat="1">
      <c r="B110" s="44" t="s">
        <v>16</v>
      </c>
      <c r="C110" s="40"/>
      <c r="D110" s="40" t="s">
        <v>397</v>
      </c>
      <c r="E110" s="17" t="s">
        <v>220</v>
      </c>
      <c r="F110" s="12" t="s">
        <v>344</v>
      </c>
      <c r="G110" s="12" t="s">
        <v>345</v>
      </c>
      <c r="H110" s="12" t="s">
        <v>349</v>
      </c>
      <c r="I110" s="16"/>
      <c r="J110" s="16"/>
      <c r="K110" s="16"/>
      <c r="L110" s="16"/>
      <c r="M110" s="16">
        <v>215</v>
      </c>
      <c r="N110" s="16">
        <v>214</v>
      </c>
      <c r="O110" s="16">
        <v>33</v>
      </c>
      <c r="P110" s="16">
        <v>52</v>
      </c>
      <c r="Q110" s="16">
        <v>46</v>
      </c>
      <c r="R110" s="16">
        <v>77</v>
      </c>
      <c r="S110" s="16" t="s">
        <v>347</v>
      </c>
      <c r="T110" s="15"/>
      <c r="U110" s="16"/>
      <c r="V110" s="16"/>
      <c r="W110" s="16"/>
      <c r="X110" s="16"/>
      <c r="Y110" s="16"/>
      <c r="Z110" s="16"/>
      <c r="AA110" s="16"/>
      <c r="AB110" s="15"/>
      <c r="AC110" s="16"/>
      <c r="AD110" s="16"/>
      <c r="AE110" s="16"/>
      <c r="AF110" s="16"/>
      <c r="AG110" s="16"/>
      <c r="AH110" s="16"/>
      <c r="AI110" s="16"/>
      <c r="AJ110" s="15"/>
      <c r="AK110" s="16"/>
      <c r="AL110" s="16"/>
      <c r="AM110" s="16"/>
      <c r="AN110" s="16"/>
      <c r="AO110" s="16"/>
      <c r="AP110" s="117"/>
      <c r="AQ110" s="52"/>
      <c r="AR110" s="55">
        <v>55.994</v>
      </c>
      <c r="AS110" s="56">
        <v>0</v>
      </c>
      <c r="AT110" s="55" t="s">
        <v>353</v>
      </c>
    </row>
    <row r="111" spans="2:46" s="8" customFormat="1">
      <c r="B111" s="44" t="s">
        <v>16</v>
      </c>
      <c r="C111" s="40"/>
      <c r="D111" s="40" t="s">
        <v>397</v>
      </c>
      <c r="E111" s="17" t="s">
        <v>220</v>
      </c>
      <c r="F111" s="12" t="s">
        <v>344</v>
      </c>
      <c r="G111" s="12" t="s">
        <v>345</v>
      </c>
      <c r="H111" s="12" t="s">
        <v>351</v>
      </c>
      <c r="I111" s="16"/>
      <c r="J111" s="16"/>
      <c r="K111" s="16"/>
      <c r="L111" s="16"/>
      <c r="M111" s="16">
        <v>214</v>
      </c>
      <c r="N111" s="16">
        <v>203</v>
      </c>
      <c r="O111" s="16" t="s">
        <v>352</v>
      </c>
      <c r="P111" s="16">
        <v>34</v>
      </c>
      <c r="Q111" s="16">
        <v>59</v>
      </c>
      <c r="R111" s="16">
        <v>69</v>
      </c>
      <c r="S111" s="16">
        <v>0</v>
      </c>
      <c r="T111" s="15"/>
      <c r="U111" s="16"/>
      <c r="V111" s="16"/>
      <c r="W111" s="16"/>
      <c r="X111" s="16"/>
      <c r="Y111" s="16"/>
      <c r="Z111" s="16"/>
      <c r="AA111" s="16"/>
      <c r="AB111" s="15"/>
      <c r="AC111" s="16"/>
      <c r="AD111" s="16"/>
      <c r="AE111" s="16"/>
      <c r="AF111" s="16"/>
      <c r="AG111" s="16"/>
      <c r="AH111" s="16"/>
      <c r="AI111" s="16"/>
      <c r="AJ111" s="15"/>
      <c r="AK111" s="16"/>
      <c r="AL111" s="16"/>
      <c r="AM111" s="16"/>
      <c r="AN111" s="16"/>
      <c r="AO111" s="16"/>
      <c r="AP111" s="117"/>
      <c r="AQ111" s="52"/>
      <c r="AR111" s="55">
        <v>60.707999999999998</v>
      </c>
      <c r="AS111" s="56">
        <v>0</v>
      </c>
      <c r="AT111" s="55" t="s">
        <v>350</v>
      </c>
    </row>
    <row r="112" spans="2:46" s="8" customFormat="1">
      <c r="B112" s="44" t="s">
        <v>123</v>
      </c>
      <c r="C112" s="40"/>
      <c r="D112" s="40" t="s">
        <v>398</v>
      </c>
      <c r="E112" s="17" t="s">
        <v>224</v>
      </c>
      <c r="F112" s="12" t="s">
        <v>344</v>
      </c>
      <c r="G112" s="12" t="s">
        <v>345</v>
      </c>
      <c r="H112" s="12" t="s">
        <v>346</v>
      </c>
      <c r="I112" s="16"/>
      <c r="J112" s="16"/>
      <c r="K112" s="16"/>
      <c r="L112" s="16"/>
      <c r="M112" s="16">
        <v>167</v>
      </c>
      <c r="N112" s="16">
        <v>158</v>
      </c>
      <c r="O112" s="16">
        <v>0</v>
      </c>
      <c r="P112" s="16">
        <v>24</v>
      </c>
      <c r="Q112" s="16">
        <v>110</v>
      </c>
      <c r="R112" s="16">
        <v>23</v>
      </c>
      <c r="S112" s="16">
        <v>0</v>
      </c>
      <c r="T112" s="15"/>
      <c r="U112" s="16"/>
      <c r="V112" s="16"/>
      <c r="W112" s="16"/>
      <c r="X112" s="16"/>
      <c r="Y112" s="16"/>
      <c r="Z112" s="16"/>
      <c r="AA112" s="16"/>
      <c r="AB112" s="15"/>
      <c r="AC112" s="16"/>
      <c r="AD112" s="16"/>
      <c r="AE112" s="16"/>
      <c r="AF112" s="16"/>
      <c r="AG112" s="16"/>
      <c r="AH112" s="16"/>
      <c r="AI112" s="16"/>
      <c r="AJ112" s="15"/>
      <c r="AK112" s="16"/>
      <c r="AL112" s="16"/>
      <c r="AM112" s="16"/>
      <c r="AN112" s="16"/>
      <c r="AO112" s="16"/>
      <c r="AP112" s="117"/>
      <c r="AQ112" s="52"/>
      <c r="AR112" s="55" t="s">
        <v>348</v>
      </c>
      <c r="AS112" s="55" t="s">
        <v>348</v>
      </c>
      <c r="AT112" s="55" t="s">
        <v>348</v>
      </c>
    </row>
    <row r="113" spans="2:46" s="8" customFormat="1">
      <c r="B113" s="44" t="s">
        <v>123</v>
      </c>
      <c r="C113" s="40"/>
      <c r="D113" s="40" t="s">
        <v>398</v>
      </c>
      <c r="E113" s="17" t="s">
        <v>224</v>
      </c>
      <c r="F113" s="12" t="s">
        <v>344</v>
      </c>
      <c r="G113" s="12" t="s">
        <v>345</v>
      </c>
      <c r="H113" s="12" t="s">
        <v>349</v>
      </c>
      <c r="I113" s="16"/>
      <c r="J113" s="16"/>
      <c r="K113" s="16"/>
      <c r="L113" s="16"/>
      <c r="M113" s="16">
        <v>182</v>
      </c>
      <c r="N113" s="16">
        <v>165</v>
      </c>
      <c r="O113" s="16">
        <v>0</v>
      </c>
      <c r="P113" s="16">
        <v>10</v>
      </c>
      <c r="Q113" s="16">
        <v>122</v>
      </c>
      <c r="R113" s="16">
        <v>33</v>
      </c>
      <c r="S113" s="16">
        <v>0</v>
      </c>
      <c r="T113" s="15"/>
      <c r="U113" s="16"/>
      <c r="V113" s="16"/>
      <c r="W113" s="16"/>
      <c r="X113" s="16"/>
      <c r="Y113" s="16"/>
      <c r="Z113" s="16"/>
      <c r="AA113" s="16"/>
      <c r="AB113" s="15"/>
      <c r="AC113" s="16"/>
      <c r="AD113" s="16"/>
      <c r="AE113" s="16"/>
      <c r="AF113" s="16"/>
      <c r="AG113" s="16"/>
      <c r="AH113" s="16"/>
      <c r="AI113" s="16"/>
      <c r="AJ113" s="15"/>
      <c r="AK113" s="16"/>
      <c r="AL113" s="16"/>
      <c r="AM113" s="16"/>
      <c r="AN113" s="16"/>
      <c r="AO113" s="16"/>
      <c r="AP113" s="117"/>
      <c r="AQ113" s="52"/>
      <c r="AR113" s="114">
        <v>12.7</v>
      </c>
      <c r="AS113" s="54">
        <v>0</v>
      </c>
      <c r="AT113" s="53" t="s">
        <v>352</v>
      </c>
    </row>
    <row r="114" spans="2:46" s="8" customFormat="1">
      <c r="B114" s="44" t="s">
        <v>16</v>
      </c>
      <c r="C114" s="40"/>
      <c r="D114" s="40" t="s">
        <v>399</v>
      </c>
      <c r="E114" s="17" t="s">
        <v>232</v>
      </c>
      <c r="F114" s="12" t="s">
        <v>344</v>
      </c>
      <c r="G114" s="12" t="s">
        <v>345</v>
      </c>
      <c r="H114" s="12" t="s">
        <v>346</v>
      </c>
      <c r="I114" s="16"/>
      <c r="J114" s="16"/>
      <c r="K114" s="16"/>
      <c r="L114" s="16"/>
      <c r="M114" s="16">
        <v>158</v>
      </c>
      <c r="N114" s="16">
        <v>166</v>
      </c>
      <c r="O114" s="16">
        <v>0</v>
      </c>
      <c r="P114" s="16">
        <v>30</v>
      </c>
      <c r="Q114" s="16">
        <v>90</v>
      </c>
      <c r="R114" s="16" t="s">
        <v>347</v>
      </c>
      <c r="S114" s="16">
        <v>0</v>
      </c>
      <c r="T114" s="15"/>
      <c r="U114" s="16"/>
      <c r="V114" s="16"/>
      <c r="W114" s="16"/>
      <c r="X114" s="16"/>
      <c r="Y114" s="16"/>
      <c r="Z114" s="16"/>
      <c r="AA114" s="16"/>
      <c r="AB114" s="15"/>
      <c r="AC114" s="16"/>
      <c r="AD114" s="16"/>
      <c r="AE114" s="16"/>
      <c r="AF114" s="16"/>
      <c r="AG114" s="16"/>
      <c r="AH114" s="16"/>
      <c r="AI114" s="16"/>
      <c r="AJ114" s="15"/>
      <c r="AK114" s="16"/>
      <c r="AL114" s="16"/>
      <c r="AM114" s="16"/>
      <c r="AN114" s="16"/>
      <c r="AO114" s="16"/>
      <c r="AP114" s="117"/>
      <c r="AQ114" s="52"/>
      <c r="AR114" s="55" t="s">
        <v>348</v>
      </c>
      <c r="AS114" s="55" t="s">
        <v>348</v>
      </c>
      <c r="AT114" s="55" t="s">
        <v>348</v>
      </c>
    </row>
    <row r="115" spans="2:46" s="8" customFormat="1">
      <c r="B115" s="44" t="s">
        <v>16</v>
      </c>
      <c r="C115" s="40"/>
      <c r="D115" s="40" t="s">
        <v>399</v>
      </c>
      <c r="E115" s="17" t="s">
        <v>232</v>
      </c>
      <c r="F115" s="12" t="s">
        <v>344</v>
      </c>
      <c r="G115" s="12" t="s">
        <v>345</v>
      </c>
      <c r="H115" s="12" t="s">
        <v>349</v>
      </c>
      <c r="I115" s="16"/>
      <c r="J115" s="16"/>
      <c r="K115" s="16"/>
      <c r="L115" s="16"/>
      <c r="M115" s="16">
        <v>122</v>
      </c>
      <c r="N115" s="16">
        <v>135</v>
      </c>
      <c r="O115" s="16" t="s">
        <v>347</v>
      </c>
      <c r="P115" s="16">
        <v>26</v>
      </c>
      <c r="Q115" s="16">
        <v>52</v>
      </c>
      <c r="R115" s="16" t="s">
        <v>347</v>
      </c>
      <c r="S115" s="16" t="s">
        <v>347</v>
      </c>
      <c r="T115" s="15"/>
      <c r="U115" s="16"/>
      <c r="V115" s="16"/>
      <c r="W115" s="16"/>
      <c r="X115" s="16"/>
      <c r="Y115" s="16"/>
      <c r="Z115" s="16"/>
      <c r="AA115" s="16"/>
      <c r="AB115" s="15"/>
      <c r="AC115" s="16"/>
      <c r="AD115" s="16"/>
      <c r="AE115" s="16"/>
      <c r="AF115" s="16"/>
      <c r="AG115" s="16"/>
      <c r="AH115" s="16"/>
      <c r="AI115" s="16"/>
      <c r="AJ115" s="15"/>
      <c r="AK115" s="16"/>
      <c r="AL115" s="16"/>
      <c r="AM115" s="16"/>
      <c r="AN115" s="16"/>
      <c r="AO115" s="16"/>
      <c r="AP115" s="117"/>
      <c r="AQ115" s="52"/>
      <c r="AR115" s="55">
        <v>51.218000000000004</v>
      </c>
      <c r="AS115" s="56">
        <v>0</v>
      </c>
      <c r="AT115" s="55" t="s">
        <v>353</v>
      </c>
    </row>
    <row r="116" spans="2:46" s="8" customFormat="1">
      <c r="B116" s="44" t="s">
        <v>16</v>
      </c>
      <c r="C116" s="40"/>
      <c r="D116" s="40" t="s">
        <v>399</v>
      </c>
      <c r="E116" s="17" t="s">
        <v>232</v>
      </c>
      <c r="F116" s="12" t="s">
        <v>344</v>
      </c>
      <c r="G116" s="12" t="s">
        <v>345</v>
      </c>
      <c r="H116" s="12" t="s">
        <v>351</v>
      </c>
      <c r="I116" s="16"/>
      <c r="J116" s="16"/>
      <c r="K116" s="16"/>
      <c r="L116" s="16"/>
      <c r="M116" s="16">
        <v>109</v>
      </c>
      <c r="N116" s="16">
        <v>125</v>
      </c>
      <c r="O116" s="16" t="s">
        <v>352</v>
      </c>
      <c r="P116" s="16">
        <v>20</v>
      </c>
      <c r="Q116" s="16">
        <v>51</v>
      </c>
      <c r="R116" s="16" t="s">
        <v>347</v>
      </c>
      <c r="S116" s="16">
        <v>0</v>
      </c>
      <c r="T116" s="15"/>
      <c r="U116" s="16"/>
      <c r="V116" s="16"/>
      <c r="W116" s="16"/>
      <c r="X116" s="16"/>
      <c r="Y116" s="16"/>
      <c r="Z116" s="16"/>
      <c r="AA116" s="16"/>
      <c r="AB116" s="15"/>
      <c r="AC116" s="16"/>
      <c r="AD116" s="16"/>
      <c r="AE116" s="16"/>
      <c r="AF116" s="16"/>
      <c r="AG116" s="16"/>
      <c r="AH116" s="16"/>
      <c r="AI116" s="16"/>
      <c r="AJ116" s="15"/>
      <c r="AK116" s="16"/>
      <c r="AL116" s="16"/>
      <c r="AM116" s="16"/>
      <c r="AN116" s="16"/>
      <c r="AO116" s="16"/>
      <c r="AP116" s="117"/>
      <c r="AQ116" s="52"/>
      <c r="AR116" s="55">
        <v>41.225999999999999</v>
      </c>
      <c r="AS116" s="56">
        <v>0</v>
      </c>
      <c r="AT116" s="55" t="s">
        <v>353</v>
      </c>
    </row>
    <row r="117" spans="2:46" s="8" customFormat="1">
      <c r="B117" s="44" t="s">
        <v>16</v>
      </c>
      <c r="C117" s="40"/>
      <c r="D117" s="40" t="s">
        <v>400</v>
      </c>
      <c r="E117" s="12" t="s">
        <v>236</v>
      </c>
      <c r="F117" s="12" t="s">
        <v>344</v>
      </c>
      <c r="G117" s="12" t="s">
        <v>345</v>
      </c>
      <c r="H117" s="12" t="s">
        <v>346</v>
      </c>
      <c r="I117" s="16"/>
      <c r="J117" s="16"/>
      <c r="K117" s="13"/>
      <c r="L117" s="13"/>
      <c r="M117" s="14">
        <v>200</v>
      </c>
      <c r="N117" s="14">
        <v>200</v>
      </c>
      <c r="O117" s="14">
        <v>13</v>
      </c>
      <c r="P117" s="14">
        <v>40</v>
      </c>
      <c r="Q117" s="14">
        <v>100</v>
      </c>
      <c r="R117" s="14">
        <v>61</v>
      </c>
      <c r="S117" s="14">
        <v>0</v>
      </c>
      <c r="T117" s="15">
        <f>IF(SUM(U117:AA117)&gt;M117,"ERROR",(SUM(U117:AA117)))</f>
        <v>0</v>
      </c>
      <c r="U117" s="16"/>
      <c r="V117" s="16"/>
      <c r="W117" s="16"/>
      <c r="X117" s="16"/>
      <c r="Y117" s="16"/>
      <c r="Z117" s="16"/>
      <c r="AA117" s="16"/>
      <c r="AB117" s="15">
        <f>IF(SUM(AC117:AI117)&gt;M117,"ERROR",(SUM(AC117:AI117)))</f>
        <v>0</v>
      </c>
      <c r="AC117" s="16"/>
      <c r="AD117" s="16"/>
      <c r="AE117" s="16"/>
      <c r="AF117" s="16"/>
      <c r="AG117" s="16"/>
      <c r="AH117" s="16"/>
      <c r="AI117" s="16"/>
      <c r="AJ117" s="15">
        <f>IF(SUM(AK117:AQ117)&gt;M117,"ERROR",(SUM(AK117:AQ117)))</f>
        <v>0</v>
      </c>
      <c r="AK117" s="16"/>
      <c r="AL117" s="16"/>
      <c r="AM117" s="16"/>
      <c r="AN117" s="16"/>
      <c r="AO117" s="16"/>
      <c r="AP117" s="117"/>
      <c r="AQ117" s="52"/>
      <c r="AR117" s="55" t="s">
        <v>348</v>
      </c>
      <c r="AS117" s="55" t="s">
        <v>348</v>
      </c>
      <c r="AT117" s="55" t="s">
        <v>348</v>
      </c>
    </row>
    <row r="118" spans="2:46" s="8" customFormat="1">
      <c r="B118" s="44" t="s">
        <v>16</v>
      </c>
      <c r="C118" s="40"/>
      <c r="D118" s="40" t="s">
        <v>400</v>
      </c>
      <c r="E118" s="12" t="s">
        <v>236</v>
      </c>
      <c r="F118" s="12" t="s">
        <v>344</v>
      </c>
      <c r="G118" s="12" t="s">
        <v>345</v>
      </c>
      <c r="H118" s="12" t="s">
        <v>349</v>
      </c>
      <c r="I118" s="16"/>
      <c r="J118" s="16"/>
      <c r="K118" s="13"/>
      <c r="L118" s="13"/>
      <c r="M118" s="14">
        <v>172</v>
      </c>
      <c r="N118" s="14">
        <v>172</v>
      </c>
      <c r="O118" s="14">
        <v>24</v>
      </c>
      <c r="P118" s="14">
        <v>34</v>
      </c>
      <c r="Q118" s="14">
        <v>89</v>
      </c>
      <c r="R118" s="14">
        <v>25</v>
      </c>
      <c r="S118" s="14">
        <v>0</v>
      </c>
      <c r="T118" s="15"/>
      <c r="U118" s="16"/>
      <c r="V118" s="16"/>
      <c r="W118" s="16"/>
      <c r="X118" s="16"/>
      <c r="Y118" s="16"/>
      <c r="Z118" s="16"/>
      <c r="AA118" s="16"/>
      <c r="AB118" s="15"/>
      <c r="AC118" s="16"/>
      <c r="AD118" s="16"/>
      <c r="AE118" s="16"/>
      <c r="AF118" s="16"/>
      <c r="AG118" s="16"/>
      <c r="AH118" s="16"/>
      <c r="AI118" s="16"/>
      <c r="AJ118" s="15"/>
      <c r="AK118" s="16"/>
      <c r="AL118" s="16"/>
      <c r="AM118" s="16"/>
      <c r="AN118" s="16"/>
      <c r="AO118" s="16"/>
      <c r="AP118" s="117"/>
      <c r="AQ118" s="52"/>
      <c r="AR118" s="55">
        <v>57.447000000000003</v>
      </c>
      <c r="AS118" s="56">
        <v>0</v>
      </c>
      <c r="AT118" s="55" t="s">
        <v>353</v>
      </c>
    </row>
    <row r="119" spans="2:46" s="8" customFormat="1">
      <c r="B119" s="44" t="s">
        <v>16</v>
      </c>
      <c r="C119" s="40"/>
      <c r="D119" s="40" t="s">
        <v>400</v>
      </c>
      <c r="E119" s="12" t="s">
        <v>236</v>
      </c>
      <c r="F119" s="12" t="s">
        <v>344</v>
      </c>
      <c r="G119" s="12" t="s">
        <v>345</v>
      </c>
      <c r="H119" s="12" t="s">
        <v>351</v>
      </c>
      <c r="I119" s="16"/>
      <c r="J119" s="16"/>
      <c r="K119" s="13"/>
      <c r="L119" s="13"/>
      <c r="M119" s="14">
        <v>120</v>
      </c>
      <c r="N119" s="14">
        <v>85</v>
      </c>
      <c r="O119" s="16" t="s">
        <v>352</v>
      </c>
      <c r="P119" s="14">
        <v>12</v>
      </c>
      <c r="Q119" s="14">
        <v>55</v>
      </c>
      <c r="R119" s="14">
        <v>55</v>
      </c>
      <c r="S119" s="14">
        <v>0</v>
      </c>
      <c r="T119" s="15"/>
      <c r="U119" s="16"/>
      <c r="V119" s="16"/>
      <c r="W119" s="16"/>
      <c r="X119" s="16"/>
      <c r="Y119" s="16"/>
      <c r="Z119" s="16"/>
      <c r="AA119" s="16"/>
      <c r="AB119" s="15"/>
      <c r="AC119" s="16"/>
      <c r="AD119" s="16"/>
      <c r="AE119" s="16"/>
      <c r="AF119" s="16"/>
      <c r="AG119" s="16"/>
      <c r="AH119" s="16"/>
      <c r="AI119" s="16"/>
      <c r="AJ119" s="15"/>
      <c r="AK119" s="16"/>
      <c r="AL119" s="16"/>
      <c r="AM119" s="16"/>
      <c r="AN119" s="16"/>
      <c r="AO119" s="16"/>
      <c r="AP119" s="117"/>
      <c r="AQ119" s="52"/>
      <c r="AR119" s="55">
        <v>63.444000000000003</v>
      </c>
      <c r="AS119" s="56">
        <v>0</v>
      </c>
      <c r="AT119" s="55" t="s">
        <v>350</v>
      </c>
    </row>
  </sheetData>
  <sheetProtection formatCells="0" formatColumns="0" formatRows="0" insertRows="0" sort="0"/>
  <mergeCells count="8">
    <mergeCell ref="AR7:AT7"/>
    <mergeCell ref="T5:AO5"/>
    <mergeCell ref="T6:AO6"/>
    <mergeCell ref="B7:J7"/>
    <mergeCell ref="M7:S7"/>
    <mergeCell ref="T7:AA7"/>
    <mergeCell ref="AB7:AI7"/>
    <mergeCell ref="AJ7:AQ7"/>
  </mergeCells>
  <phoneticPr fontId="24" type="noConversion"/>
  <printOptions horizontalCentered="1" gridLines="1"/>
  <pageMargins left="0" right="0" top="0.5" bottom="0.5" header="0.5" footer="0.5"/>
  <pageSetup paperSize="5" scale="3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AT25"/>
  <sheetViews>
    <sheetView zoomScale="80" zoomScaleNormal="80" zoomScalePageLayoutView="80" workbookViewId="0">
      <selection activeCell="B6" sqref="B6:B22"/>
    </sheetView>
  </sheetViews>
  <sheetFormatPr defaultColWidth="8.85546875" defaultRowHeight="13.15"/>
  <cols>
    <col min="1" max="1" width="3.7109375" style="26" customWidth="1"/>
    <col min="2" max="2" width="135.28515625" style="26" customWidth="1"/>
    <col min="3" max="16384" width="8.85546875" style="26"/>
  </cols>
  <sheetData>
    <row r="1" spans="1:46" s="19" customFormat="1" ht="17.45">
      <c r="A1" s="18" t="s">
        <v>401</v>
      </c>
    </row>
    <row r="2" spans="1:46" s="19" customFormat="1" ht="12.75" customHeight="1">
      <c r="A2" s="20" t="s">
        <v>402</v>
      </c>
      <c r="B2" s="21"/>
    </row>
    <row r="3" spans="1:46" s="19" customFormat="1" ht="10.5" customHeight="1">
      <c r="A3" s="20"/>
      <c r="C3" s="22"/>
      <c r="D3" s="23"/>
      <c r="E3" s="23"/>
      <c r="F3" s="22"/>
      <c r="G3" s="22"/>
      <c r="H3" s="22"/>
      <c r="I3" s="22"/>
      <c r="J3" s="24"/>
      <c r="K3" s="24"/>
      <c r="L3" s="22"/>
      <c r="M3" s="25"/>
    </row>
    <row r="4" spans="1:46" s="19" customFormat="1" ht="6" customHeight="1">
      <c r="C4" s="22"/>
      <c r="D4" s="23"/>
      <c r="E4" s="23"/>
      <c r="F4" s="22"/>
      <c r="G4" s="22"/>
      <c r="H4" s="22"/>
      <c r="I4" s="22"/>
      <c r="J4" s="24"/>
      <c r="K4" s="24"/>
      <c r="L4" s="22"/>
      <c r="M4" s="25"/>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row>
    <row r="6" spans="1:46" ht="21.75" customHeight="1">
      <c r="B6" s="136" t="s">
        <v>403</v>
      </c>
    </row>
    <row r="7" spans="1:46" ht="21.75" customHeight="1">
      <c r="B7" s="137"/>
    </row>
    <row r="8" spans="1:46" ht="19.5" customHeight="1">
      <c r="B8" s="137"/>
    </row>
    <row r="9" spans="1:46" ht="19.5" customHeight="1">
      <c r="B9" s="137"/>
    </row>
    <row r="10" spans="1:46" ht="19.5" customHeight="1">
      <c r="B10" s="137"/>
    </row>
    <row r="11" spans="1:46" ht="19.5" customHeight="1">
      <c r="B11" s="137"/>
    </row>
    <row r="12" spans="1:46" ht="19.5" customHeight="1">
      <c r="B12" s="137"/>
    </row>
    <row r="13" spans="1:46" ht="19.5" customHeight="1">
      <c r="B13" s="137"/>
    </row>
    <row r="14" spans="1:46" ht="19.5" customHeight="1">
      <c r="B14" s="137"/>
    </row>
    <row r="15" spans="1:46" ht="19.5" customHeight="1">
      <c r="B15" s="137"/>
    </row>
    <row r="16" spans="1:46" ht="19.5" customHeight="1">
      <c r="B16" s="137"/>
    </row>
    <row r="17" spans="2:2" ht="19.5" customHeight="1">
      <c r="B17" s="137"/>
    </row>
    <row r="18" spans="2:2" ht="19.5" customHeight="1">
      <c r="B18" s="137"/>
    </row>
    <row r="19" spans="2:2" ht="19.5" customHeight="1">
      <c r="B19" s="137"/>
    </row>
    <row r="20" spans="2:2" ht="19.5" customHeight="1">
      <c r="B20" s="137"/>
    </row>
    <row r="21" spans="2:2" ht="19.5" customHeight="1">
      <c r="B21" s="137"/>
    </row>
    <row r="22" spans="2:2" ht="19.5" customHeight="1">
      <c r="B22" s="138"/>
    </row>
    <row r="23" spans="2:2" ht="19.5" customHeight="1"/>
    <row r="24" spans="2:2" ht="19.5" customHeight="1"/>
    <row r="25" spans="2:2" ht="19.5" customHeight="1"/>
  </sheetData>
  <mergeCells count="1">
    <mergeCell ref="B6:B22"/>
  </mergeCells>
  <pageMargins left="0.75" right="0.75" top="1" bottom="1" header="0.5" footer="0.5"/>
  <pageSetup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149"/>
  <sheetViews>
    <sheetView showGridLines="0" topLeftCell="A8" zoomScale="90" zoomScaleNormal="90" workbookViewId="0">
      <pane ySplit="1" topLeftCell="A9" activePane="bottomLeft" state="frozen"/>
      <selection pane="bottomLeft" activeCell="F51" sqref="F51"/>
      <selection activeCell="A8" sqref="A8"/>
    </sheetView>
  </sheetViews>
  <sheetFormatPr defaultColWidth="8.85546875" defaultRowHeight="13.15"/>
  <cols>
    <col min="1" max="1" width="3.42578125" style="8" customWidth="1"/>
    <col min="2" max="2" width="7.140625" style="11" customWidth="1"/>
    <col min="3" max="3" width="9.28515625" style="11" customWidth="1"/>
    <col min="4" max="4" width="14.42578125" style="11" bestFit="1" customWidth="1"/>
    <col min="5" max="5" width="46.85546875" style="11" bestFit="1" customWidth="1"/>
    <col min="6" max="6" width="16.42578125" style="11" customWidth="1"/>
    <col min="7" max="7" width="16.28515625" style="11" customWidth="1"/>
    <col min="8" max="8" width="16.28515625" style="64" customWidth="1"/>
    <col min="9" max="9" width="16.42578125" style="64" customWidth="1"/>
    <col min="10" max="10" width="11.85546875" style="64" bestFit="1" customWidth="1"/>
    <col min="11" max="11" width="12" style="64" bestFit="1" customWidth="1"/>
    <col min="12" max="15" width="14.7109375" style="64" customWidth="1"/>
    <col min="16" max="17" width="16.140625" style="64" customWidth="1"/>
    <col min="18" max="19" width="16.140625" style="64" hidden="1" customWidth="1"/>
    <col min="20" max="20" width="11.7109375" style="64" bestFit="1" customWidth="1"/>
    <col min="21" max="21" width="9.28515625" style="66" customWidth="1"/>
    <col min="22" max="22" width="11" style="66" bestFit="1" customWidth="1"/>
    <col min="23" max="24" width="9.28515625" style="72" customWidth="1"/>
    <col min="25" max="25" width="11.5703125" style="64" bestFit="1" customWidth="1"/>
    <col min="26" max="27" width="12.7109375" style="64" bestFit="1" customWidth="1"/>
    <col min="28" max="57" width="8.85546875" style="8"/>
    <col min="58" max="16384" width="8.85546875" style="11"/>
  </cols>
  <sheetData>
    <row r="1" spans="1:57" s="2" customFormat="1" ht="17.45">
      <c r="A1" s="1" t="s">
        <v>404</v>
      </c>
      <c r="H1" s="60"/>
      <c r="I1" s="60"/>
      <c r="J1" s="60"/>
      <c r="K1" s="60"/>
      <c r="L1" s="60"/>
      <c r="M1" s="60"/>
      <c r="N1" s="60"/>
      <c r="O1" s="60"/>
      <c r="P1" s="60"/>
      <c r="Q1" s="60"/>
      <c r="R1" s="60"/>
      <c r="S1" s="60"/>
      <c r="T1" s="60"/>
      <c r="U1" s="65"/>
      <c r="V1" s="65"/>
      <c r="W1" s="71"/>
      <c r="X1" s="71"/>
      <c r="Y1" s="60"/>
      <c r="Z1" s="60"/>
      <c r="AA1" s="60"/>
    </row>
    <row r="2" spans="1:57" s="2" customFormat="1" ht="12.75" customHeight="1">
      <c r="A2" s="37" t="s">
        <v>405</v>
      </c>
      <c r="B2" s="4"/>
      <c r="H2" s="60"/>
      <c r="I2" s="60"/>
      <c r="J2" s="60"/>
      <c r="K2" s="60"/>
      <c r="L2" s="60"/>
      <c r="M2" s="60"/>
      <c r="N2" s="60"/>
      <c r="O2" s="60"/>
      <c r="P2" s="60"/>
      <c r="Q2" s="60"/>
      <c r="R2" s="60"/>
      <c r="S2" s="60"/>
      <c r="T2" s="60"/>
      <c r="U2" s="65"/>
      <c r="V2" s="65"/>
      <c r="W2" s="71"/>
      <c r="X2" s="71"/>
      <c r="Y2" s="60"/>
      <c r="Z2" s="60"/>
      <c r="AA2" s="60"/>
    </row>
    <row r="3" spans="1:57" s="2" customFormat="1" ht="12.75" customHeight="1">
      <c r="A3" s="3" t="s">
        <v>307</v>
      </c>
      <c r="B3" s="4"/>
      <c r="H3" s="60"/>
      <c r="I3" s="60"/>
      <c r="J3" s="60"/>
      <c r="K3" s="60"/>
      <c r="L3" s="60"/>
      <c r="M3" s="60"/>
      <c r="N3" s="60"/>
      <c r="O3" s="60"/>
      <c r="P3" s="60"/>
      <c r="Q3" s="60"/>
      <c r="R3" s="60"/>
      <c r="S3" s="60"/>
      <c r="T3" s="60"/>
      <c r="U3" s="65"/>
      <c r="V3" s="65"/>
      <c r="W3" s="71"/>
      <c r="X3" s="71"/>
      <c r="Y3" s="60"/>
      <c r="Z3" s="60"/>
      <c r="AA3" s="60"/>
    </row>
    <row r="4" spans="1:57" s="2" customFormat="1" ht="10.5" customHeight="1">
      <c r="A4" s="34" t="s">
        <v>406</v>
      </c>
      <c r="C4" s="5"/>
      <c r="D4" s="6"/>
      <c r="E4" s="5"/>
      <c r="F4" s="6"/>
      <c r="G4" s="5"/>
      <c r="H4" s="61"/>
      <c r="I4" s="61"/>
      <c r="J4" s="61"/>
      <c r="K4" s="61"/>
      <c r="L4" s="67"/>
      <c r="M4" s="67"/>
      <c r="N4" s="67"/>
      <c r="O4" s="67"/>
      <c r="P4" s="61"/>
      <c r="Q4" s="61"/>
      <c r="R4" s="61"/>
      <c r="S4" s="61"/>
      <c r="T4" s="60"/>
      <c r="U4" s="65"/>
      <c r="V4" s="65"/>
      <c r="W4" s="71"/>
      <c r="X4" s="71"/>
      <c r="Y4" s="60"/>
      <c r="Z4" s="60"/>
      <c r="AA4" s="60"/>
    </row>
    <row r="5" spans="1:57" s="2" customFormat="1" ht="6" customHeight="1">
      <c r="C5" s="5"/>
      <c r="D5" s="6"/>
      <c r="E5" s="5"/>
      <c r="F5" s="6"/>
      <c r="G5" s="5"/>
      <c r="H5" s="61"/>
      <c r="I5" s="61"/>
      <c r="J5" s="61"/>
      <c r="K5" s="61"/>
      <c r="L5" s="67"/>
      <c r="M5" s="67"/>
      <c r="N5" s="67"/>
      <c r="O5" s="67"/>
      <c r="P5" s="61"/>
      <c r="Q5" s="61"/>
      <c r="R5" s="61"/>
      <c r="S5" s="61"/>
      <c r="T5" s="146"/>
      <c r="U5" s="146"/>
      <c r="V5" s="146"/>
      <c r="W5" s="146"/>
      <c r="X5" s="146"/>
      <c r="Y5" s="146"/>
      <c r="Z5" s="146"/>
      <c r="AA5" s="146"/>
    </row>
    <row r="6" spans="1:57" s="8" customFormat="1" ht="13.9" thickBot="1">
      <c r="C6" s="38"/>
      <c r="D6" s="38"/>
      <c r="E6" s="39"/>
      <c r="F6" s="38"/>
      <c r="G6" s="39"/>
      <c r="H6" s="62"/>
      <c r="I6" s="68"/>
      <c r="J6" s="69"/>
      <c r="K6" s="69"/>
      <c r="L6" s="70"/>
      <c r="M6" s="70"/>
      <c r="N6" s="70"/>
      <c r="O6" s="70"/>
      <c r="P6" s="62"/>
      <c r="Q6" s="62"/>
      <c r="R6" s="63"/>
      <c r="S6" s="63"/>
      <c r="T6" s="147"/>
      <c r="U6" s="147"/>
      <c r="V6" s="147"/>
      <c r="W6" s="147"/>
      <c r="X6" s="147"/>
      <c r="Y6" s="147"/>
      <c r="Z6" s="147"/>
      <c r="AA6" s="147"/>
    </row>
    <row r="7" spans="1:57" ht="32.1" customHeight="1" thickBot="1">
      <c r="A7" s="139" t="s">
        <v>309</v>
      </c>
      <c r="B7" s="140"/>
      <c r="C7" s="141"/>
      <c r="D7" s="141"/>
      <c r="E7" s="141"/>
      <c r="F7" s="141"/>
      <c r="G7" s="142"/>
      <c r="H7" s="143" t="s">
        <v>407</v>
      </c>
      <c r="I7" s="144"/>
      <c r="J7" s="144"/>
      <c r="K7" s="144"/>
      <c r="L7" s="144"/>
      <c r="M7" s="144"/>
      <c r="N7" s="144"/>
      <c r="O7" s="144"/>
      <c r="P7" s="144"/>
      <c r="Q7" s="144"/>
      <c r="R7" s="144"/>
      <c r="S7" s="144"/>
      <c r="T7" s="144"/>
      <c r="U7" s="144"/>
      <c r="V7" s="144"/>
      <c r="W7" s="144"/>
      <c r="X7" s="144"/>
      <c r="Y7" s="144"/>
      <c r="Z7" s="144"/>
      <c r="AA7" s="145"/>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row>
    <row r="8" spans="1:57" s="36" customFormat="1" ht="42" thickBot="1">
      <c r="A8" s="35"/>
      <c r="B8" s="73" t="s">
        <v>7</v>
      </c>
      <c r="C8" s="88" t="s">
        <v>315</v>
      </c>
      <c r="D8" s="89" t="s">
        <v>316</v>
      </c>
      <c r="E8" s="89" t="s">
        <v>408</v>
      </c>
      <c r="F8" s="89" t="s">
        <v>409</v>
      </c>
      <c r="G8" s="90" t="s">
        <v>410</v>
      </c>
      <c r="H8" s="91" t="s">
        <v>411</v>
      </c>
      <c r="I8" s="91" t="s">
        <v>412</v>
      </c>
      <c r="J8" s="91" t="s">
        <v>413</v>
      </c>
      <c r="K8" s="91" t="s">
        <v>414</v>
      </c>
      <c r="L8" s="91" t="s">
        <v>415</v>
      </c>
      <c r="M8" s="91" t="s">
        <v>416</v>
      </c>
      <c r="N8" s="91" t="s">
        <v>417</v>
      </c>
      <c r="O8" s="91" t="s">
        <v>418</v>
      </c>
      <c r="P8" s="91" t="s">
        <v>419</v>
      </c>
      <c r="Q8" s="91" t="s">
        <v>420</v>
      </c>
      <c r="R8" s="91"/>
      <c r="S8" s="91"/>
      <c r="T8" s="92" t="s">
        <v>421</v>
      </c>
      <c r="U8" s="93" t="s">
        <v>422</v>
      </c>
      <c r="V8" s="93" t="s">
        <v>423</v>
      </c>
      <c r="W8" s="94" t="s">
        <v>424</v>
      </c>
      <c r="X8" s="94" t="s">
        <v>425</v>
      </c>
      <c r="Y8" s="92" t="s">
        <v>426</v>
      </c>
      <c r="Z8" s="92" t="s">
        <v>427</v>
      </c>
      <c r="AA8" s="95" t="s">
        <v>428</v>
      </c>
    </row>
    <row r="9" spans="1:57">
      <c r="B9" s="74" t="s">
        <v>16</v>
      </c>
      <c r="C9" s="96"/>
      <c r="D9" s="76" t="s">
        <v>343</v>
      </c>
      <c r="E9" s="77" t="s">
        <v>14</v>
      </c>
      <c r="F9" s="78">
        <v>43282</v>
      </c>
      <c r="G9" s="79" t="s">
        <v>346</v>
      </c>
      <c r="H9" s="80">
        <v>71190</v>
      </c>
      <c r="I9" s="80">
        <v>134431</v>
      </c>
      <c r="J9" s="81">
        <f>K9-I9</f>
        <v>102099</v>
      </c>
      <c r="K9" s="81">
        <v>236530</v>
      </c>
      <c r="L9" s="82">
        <v>1677773</v>
      </c>
      <c r="M9" s="82">
        <f>N9-L9</f>
        <v>1974932</v>
      </c>
      <c r="N9" s="82">
        <v>3652705</v>
      </c>
      <c r="O9" s="82">
        <f>K9-N9</f>
        <v>-3416175</v>
      </c>
      <c r="P9" s="82">
        <f>2623876+567855+21463</f>
        <v>3213194</v>
      </c>
      <c r="Q9" s="82">
        <f>2740247+108980</f>
        <v>2849227</v>
      </c>
      <c r="R9" s="82"/>
      <c r="S9" s="82"/>
      <c r="T9" s="80">
        <f>P9-Q9</f>
        <v>363967</v>
      </c>
      <c r="U9" s="83">
        <f>I9/L9</f>
        <v>8.0124665255669275E-2</v>
      </c>
      <c r="V9" s="83">
        <f>H9/(Q9/365)</f>
        <v>9.1197893323346992</v>
      </c>
      <c r="W9" s="84">
        <f>(54656+471369)/K9</f>
        <v>2.2239250834989219</v>
      </c>
      <c r="X9" s="84">
        <f>T9/P9</f>
        <v>0.11327265020412711</v>
      </c>
      <c r="Y9" s="80">
        <f>71190-70858</f>
        <v>332</v>
      </c>
      <c r="Z9" s="80">
        <v>-4472838</v>
      </c>
      <c r="AA9" s="97">
        <v>-4108871</v>
      </c>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row>
    <row r="10" spans="1:57">
      <c r="B10" s="75" t="s">
        <v>16</v>
      </c>
      <c r="C10" s="96"/>
      <c r="D10" s="76" t="s">
        <v>343</v>
      </c>
      <c r="E10" s="77" t="s">
        <v>14</v>
      </c>
      <c r="F10" s="78">
        <v>43282</v>
      </c>
      <c r="G10" s="79" t="s">
        <v>349</v>
      </c>
      <c r="H10" s="109">
        <v>70858</v>
      </c>
      <c r="I10" s="109">
        <v>184839</v>
      </c>
      <c r="J10" s="110">
        <f t="shared" ref="J10:J70" si="0">K10-I10</f>
        <v>94532</v>
      </c>
      <c r="K10" s="110">
        <v>279371</v>
      </c>
      <c r="L10" s="111">
        <v>1904341</v>
      </c>
      <c r="M10" s="111">
        <f>N10-L10</f>
        <v>2084767</v>
      </c>
      <c r="N10" s="111">
        <v>3989108</v>
      </c>
      <c r="O10" s="111">
        <f t="shared" ref="O10:O70" si="1">K10-N10</f>
        <v>-3709737</v>
      </c>
      <c r="P10" s="111">
        <f>1882642+381623+0</f>
        <v>2264265</v>
      </c>
      <c r="Q10" s="111">
        <f>2491931+146663</f>
        <v>2638594</v>
      </c>
      <c r="R10" s="82"/>
      <c r="S10" s="82"/>
      <c r="T10" s="109">
        <f t="shared" ref="T10:T70" si="2">P10-Q10</f>
        <v>-374329</v>
      </c>
      <c r="U10" s="83">
        <f t="shared" ref="U10:U70" si="3">I10/L10</f>
        <v>9.7061923258492042E-2</v>
      </c>
      <c r="V10" s="83">
        <f t="shared" ref="V10:V70" si="4">H10/(Q10/365)</f>
        <v>9.8018755443239858</v>
      </c>
      <c r="W10" s="84">
        <f>(82746+547225)/K10</f>
        <v>2.2549620397249535</v>
      </c>
      <c r="X10" s="84">
        <f t="shared" ref="X10:X70" si="5">T10/P10</f>
        <v>-0.16532031365586625</v>
      </c>
      <c r="Y10" s="80">
        <f>70858-23415</f>
        <v>47443</v>
      </c>
      <c r="Z10" s="109">
        <v>-4098509</v>
      </c>
      <c r="AA10" s="112">
        <v>-4472838</v>
      </c>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row>
    <row r="11" spans="1:57" s="8" customFormat="1">
      <c r="B11" s="75" t="s">
        <v>16</v>
      </c>
      <c r="C11" s="96"/>
      <c r="D11" s="76" t="s">
        <v>343</v>
      </c>
      <c r="E11" s="77" t="s">
        <v>14</v>
      </c>
      <c r="F11" s="78">
        <v>43282</v>
      </c>
      <c r="G11" s="79" t="s">
        <v>351</v>
      </c>
      <c r="H11" s="109">
        <v>23415</v>
      </c>
      <c r="I11" s="109">
        <v>66622</v>
      </c>
      <c r="J11" s="110">
        <f t="shared" si="0"/>
        <v>0</v>
      </c>
      <c r="K11" s="110">
        <v>66622</v>
      </c>
      <c r="L11" s="111">
        <v>1409325</v>
      </c>
      <c r="M11" s="111">
        <f>N11-L11</f>
        <v>3077999</v>
      </c>
      <c r="N11" s="111">
        <v>4487324</v>
      </c>
      <c r="O11" s="111">
        <f t="shared" si="1"/>
        <v>-4420702</v>
      </c>
      <c r="P11" s="111">
        <f>1642901+331470+0</f>
        <v>1974371</v>
      </c>
      <c r="Q11" s="111">
        <f>1793941+44610</f>
        <v>1838551</v>
      </c>
      <c r="R11" s="82"/>
      <c r="S11" s="82"/>
      <c r="T11" s="109">
        <f t="shared" si="2"/>
        <v>135820</v>
      </c>
      <c r="U11" s="83">
        <f t="shared" si="3"/>
        <v>4.7272275734837603E-2</v>
      </c>
      <c r="V11" s="83">
        <f t="shared" si="4"/>
        <v>4.6484840507551874</v>
      </c>
      <c r="W11" s="84">
        <f>(74136+747512)/K11</f>
        <v>12.332983098676113</v>
      </c>
      <c r="X11" s="84">
        <f t="shared" si="5"/>
        <v>6.8791529048998393E-2</v>
      </c>
      <c r="Y11" s="109">
        <f>H11-H12</f>
        <v>-64395</v>
      </c>
      <c r="Z11" s="109">
        <v>-4234329</v>
      </c>
      <c r="AA11" s="112">
        <v>-4098509</v>
      </c>
    </row>
    <row r="12" spans="1:57" s="8" customFormat="1">
      <c r="B12" s="75" t="s">
        <v>16</v>
      </c>
      <c r="C12" s="96"/>
      <c r="D12" s="76" t="s">
        <v>356</v>
      </c>
      <c r="E12" s="77" t="s">
        <v>14</v>
      </c>
      <c r="F12" s="78">
        <v>43283</v>
      </c>
      <c r="G12" s="79" t="s">
        <v>429</v>
      </c>
      <c r="H12" s="109">
        <v>87810</v>
      </c>
      <c r="I12" s="109">
        <v>95690</v>
      </c>
      <c r="J12" s="110">
        <f t="shared" si="0"/>
        <v>73189</v>
      </c>
      <c r="K12" s="110">
        <v>168879</v>
      </c>
      <c r="L12" s="111">
        <v>1118035</v>
      </c>
      <c r="M12" s="111">
        <f>N12-L12</f>
        <v>4470815</v>
      </c>
      <c r="N12" s="111">
        <v>5588850</v>
      </c>
      <c r="O12" s="111">
        <f t="shared" si="1"/>
        <v>-5419971</v>
      </c>
      <c r="P12" s="111">
        <f>1864818+443963+693553</f>
        <v>3002334</v>
      </c>
      <c r="Q12" s="111">
        <f>3808768+150507</f>
        <v>3959275</v>
      </c>
      <c r="R12" s="82"/>
      <c r="S12" s="82"/>
      <c r="T12" s="109">
        <f t="shared" si="2"/>
        <v>-956941</v>
      </c>
      <c r="U12" s="83">
        <f t="shared" si="3"/>
        <v>8.5587660493633921E-2</v>
      </c>
      <c r="V12" s="83">
        <f t="shared" si="4"/>
        <v>8.0950805387349956</v>
      </c>
      <c r="W12" s="84">
        <f>(74136+782893)/K12</f>
        <v>5.0748109593259079</v>
      </c>
      <c r="X12" s="84">
        <f t="shared" si="5"/>
        <v>-0.31873235955759754</v>
      </c>
      <c r="Y12" s="109" t="s">
        <v>352</v>
      </c>
      <c r="Z12" s="109">
        <v>-3277388</v>
      </c>
      <c r="AA12" s="112">
        <v>-4234329</v>
      </c>
    </row>
    <row r="13" spans="1:57" s="8" customFormat="1">
      <c r="B13" s="75" t="s">
        <v>29</v>
      </c>
      <c r="C13" s="96"/>
      <c r="D13" s="76"/>
      <c r="E13" s="76" t="s">
        <v>26</v>
      </c>
      <c r="F13" s="78">
        <v>38899</v>
      </c>
      <c r="G13" s="85" t="s">
        <v>346</v>
      </c>
      <c r="H13" s="111">
        <v>4384859</v>
      </c>
      <c r="I13" s="111">
        <f>4384859+107613</f>
        <v>4492472</v>
      </c>
      <c r="J13" s="111">
        <f t="shared" si="0"/>
        <v>21813477</v>
      </c>
      <c r="K13" s="111">
        <v>26305949</v>
      </c>
      <c r="L13" s="111">
        <v>542151</v>
      </c>
      <c r="M13" s="111">
        <f t="shared" ref="M13:M75" si="6">N13-L13</f>
        <v>27145000</v>
      </c>
      <c r="N13" s="111">
        <v>27687151</v>
      </c>
      <c r="O13" s="111">
        <f t="shared" si="1"/>
        <v>-1381202</v>
      </c>
      <c r="P13" s="111">
        <v>13145031</v>
      </c>
      <c r="Q13" s="111">
        <v>11814769</v>
      </c>
      <c r="R13" s="82"/>
      <c r="S13" s="82"/>
      <c r="T13" s="111">
        <f t="shared" si="2"/>
        <v>1330262</v>
      </c>
      <c r="U13" s="86">
        <f t="shared" si="3"/>
        <v>8.2863851583783852</v>
      </c>
      <c r="V13" s="86">
        <f t="shared" si="4"/>
        <v>135.46380255085816</v>
      </c>
      <c r="W13" s="87">
        <f>(475000+27145000)/K13</f>
        <v>1.0499526171817637</v>
      </c>
      <c r="X13" s="87">
        <f t="shared" si="5"/>
        <v>0.1011988484469911</v>
      </c>
      <c r="Y13" s="111">
        <f t="shared" ref="Y13:Y74" si="7">H13-H14</f>
        <v>278894</v>
      </c>
      <c r="Z13" s="111">
        <v>2307719</v>
      </c>
      <c r="AA13" s="113">
        <v>3637981</v>
      </c>
    </row>
    <row r="14" spans="1:57" s="8" customFormat="1">
      <c r="B14" s="75" t="s">
        <v>29</v>
      </c>
      <c r="C14" s="96"/>
      <c r="D14" s="76"/>
      <c r="E14" s="76" t="s">
        <v>26</v>
      </c>
      <c r="F14" s="78">
        <v>38899</v>
      </c>
      <c r="G14" s="85" t="s">
        <v>349</v>
      </c>
      <c r="H14" s="111">
        <v>4105965</v>
      </c>
      <c r="I14" s="111">
        <v>4221078</v>
      </c>
      <c r="J14" s="111">
        <f t="shared" si="0"/>
        <v>22339554</v>
      </c>
      <c r="K14" s="111">
        <v>26560632</v>
      </c>
      <c r="L14" s="111">
        <v>212482</v>
      </c>
      <c r="M14" s="111">
        <f t="shared" si="6"/>
        <v>27620000</v>
      </c>
      <c r="N14" s="111">
        <v>27832482</v>
      </c>
      <c r="O14" s="111">
        <f t="shared" si="1"/>
        <v>-1271850</v>
      </c>
      <c r="P14" s="111">
        <v>11779627</v>
      </c>
      <c r="Q14" s="111">
        <v>11574750</v>
      </c>
      <c r="R14" s="82"/>
      <c r="S14" s="82"/>
      <c r="T14" s="111">
        <f t="shared" si="2"/>
        <v>204877</v>
      </c>
      <c r="U14" s="86">
        <f t="shared" si="3"/>
        <v>19.865579202002994</v>
      </c>
      <c r="V14" s="86">
        <f t="shared" si="4"/>
        <v>129.47815071599817</v>
      </c>
      <c r="W14" s="87">
        <f>(145000+27620000)/K14</f>
        <v>1.0453441017517957</v>
      </c>
      <c r="X14" s="87">
        <f t="shared" si="5"/>
        <v>1.7392486196719133E-2</v>
      </c>
      <c r="Y14" s="111">
        <f t="shared" si="7"/>
        <v>1782450</v>
      </c>
      <c r="Z14" s="111">
        <v>1990417</v>
      </c>
      <c r="AA14" s="113">
        <v>2195294</v>
      </c>
    </row>
    <row r="15" spans="1:57" s="8" customFormat="1">
      <c r="B15" s="75" t="s">
        <v>29</v>
      </c>
      <c r="C15" s="96"/>
      <c r="D15" s="76"/>
      <c r="E15" s="76" t="s">
        <v>26</v>
      </c>
      <c r="F15" s="78">
        <v>38899</v>
      </c>
      <c r="G15" s="85" t="s">
        <v>351</v>
      </c>
      <c r="H15" s="111">
        <v>2323515</v>
      </c>
      <c r="I15" s="111">
        <v>2851911</v>
      </c>
      <c r="J15" s="111">
        <f t="shared" si="0"/>
        <v>24654592</v>
      </c>
      <c r="K15" s="111">
        <v>27506503</v>
      </c>
      <c r="L15" s="111">
        <v>861494</v>
      </c>
      <c r="M15" s="111">
        <f t="shared" si="6"/>
        <v>28062529</v>
      </c>
      <c r="N15" s="111">
        <v>28924023</v>
      </c>
      <c r="O15" s="111">
        <f t="shared" si="1"/>
        <v>-1417520</v>
      </c>
      <c r="P15" s="111">
        <f>1677350+67120+20320</f>
        <v>1764790</v>
      </c>
      <c r="Q15" s="111">
        <f>1764291+541545</f>
        <v>2305836</v>
      </c>
      <c r="R15" s="82"/>
      <c r="S15" s="82"/>
      <c r="T15" s="111">
        <f t="shared" si="2"/>
        <v>-541046</v>
      </c>
      <c r="U15" s="86">
        <f t="shared" si="3"/>
        <v>3.3104246808451365</v>
      </c>
      <c r="V15" s="86">
        <f t="shared" si="4"/>
        <v>367.79847959698782</v>
      </c>
      <c r="W15" s="87">
        <f>(145000+27620000)/K15</f>
        <v>1.0093976686167632</v>
      </c>
      <c r="X15" s="87">
        <f t="shared" si="5"/>
        <v>-0.30657811977629068</v>
      </c>
      <c r="Y15" s="111">
        <f t="shared" si="7"/>
        <v>955186</v>
      </c>
      <c r="Z15" s="111">
        <v>1835050</v>
      </c>
      <c r="AA15" s="113">
        <v>1990417</v>
      </c>
    </row>
    <row r="16" spans="1:57" s="8" customFormat="1">
      <c r="B16" s="75" t="s">
        <v>29</v>
      </c>
      <c r="C16" s="96"/>
      <c r="D16" s="76"/>
      <c r="E16" s="76" t="s">
        <v>26</v>
      </c>
      <c r="F16" s="78">
        <v>38899</v>
      </c>
      <c r="G16" s="85" t="s">
        <v>429</v>
      </c>
      <c r="H16" s="109">
        <v>1368329</v>
      </c>
      <c r="I16" s="111">
        <v>2258096</v>
      </c>
      <c r="J16" s="111">
        <f t="shared" si="0"/>
        <v>28927583</v>
      </c>
      <c r="K16" s="111">
        <v>31185679</v>
      </c>
      <c r="L16" s="111">
        <v>343537</v>
      </c>
      <c r="M16" s="111">
        <f t="shared" si="6"/>
        <v>29320817</v>
      </c>
      <c r="N16" s="111">
        <v>29664354</v>
      </c>
      <c r="O16" s="111">
        <f t="shared" si="1"/>
        <v>1521325</v>
      </c>
      <c r="P16" s="111">
        <v>6150670</v>
      </c>
      <c r="Q16" s="111">
        <v>6296445</v>
      </c>
      <c r="R16" s="82"/>
      <c r="S16" s="82"/>
      <c r="T16" s="111">
        <f t="shared" si="2"/>
        <v>-145775</v>
      </c>
      <c r="U16" s="86">
        <f t="shared" si="3"/>
        <v>6.573079464511828</v>
      </c>
      <c r="V16" s="86">
        <f t="shared" si="4"/>
        <v>79.320963654887805</v>
      </c>
      <c r="W16" s="87">
        <f>28355000/K16</f>
        <v>0.90923144562605163</v>
      </c>
      <c r="X16" s="87">
        <f t="shared" si="5"/>
        <v>-2.3700670008308038E-2</v>
      </c>
      <c r="Y16" s="111" t="s">
        <v>352</v>
      </c>
      <c r="Z16" s="111">
        <v>1980825</v>
      </c>
      <c r="AA16" s="113">
        <v>1835050</v>
      </c>
    </row>
    <row r="17" spans="2:27" s="8" customFormat="1">
      <c r="B17" s="75" t="s">
        <v>16</v>
      </c>
      <c r="C17" s="96"/>
      <c r="D17" s="76" t="s">
        <v>355</v>
      </c>
      <c r="E17" s="77" t="s">
        <v>38</v>
      </c>
      <c r="F17" s="78">
        <v>40604</v>
      </c>
      <c r="G17" s="79" t="s">
        <v>346</v>
      </c>
      <c r="H17" s="109">
        <v>13194</v>
      </c>
      <c r="I17" s="109">
        <v>36771</v>
      </c>
      <c r="J17" s="110">
        <f t="shared" si="0"/>
        <v>72245</v>
      </c>
      <c r="K17" s="110">
        <v>109016</v>
      </c>
      <c r="L17" s="111">
        <v>33308</v>
      </c>
      <c r="M17" s="111">
        <f t="shared" si="6"/>
        <v>1341334</v>
      </c>
      <c r="N17" s="111">
        <v>1374642</v>
      </c>
      <c r="O17" s="111">
        <f t="shared" si="1"/>
        <v>-1265626</v>
      </c>
      <c r="P17" s="111">
        <f>1521321+488433+20440</f>
        <v>2030194</v>
      </c>
      <c r="Q17" s="111">
        <f>1782224</f>
        <v>1782224</v>
      </c>
      <c r="R17" s="82"/>
      <c r="S17" s="82"/>
      <c r="T17" s="109">
        <f t="shared" si="2"/>
        <v>247970</v>
      </c>
      <c r="U17" s="83">
        <f t="shared" si="3"/>
        <v>1.103969016452504</v>
      </c>
      <c r="V17" s="83">
        <f t="shared" si="4"/>
        <v>2.7021350851520345</v>
      </c>
      <c r="W17" s="84"/>
      <c r="X17" s="84">
        <f t="shared" si="5"/>
        <v>0.1221410367679148</v>
      </c>
      <c r="Y17" s="109">
        <f t="shared" si="7"/>
        <v>-1983</v>
      </c>
      <c r="Z17" s="109">
        <v>-2195847</v>
      </c>
      <c r="AA17" s="112">
        <v>-1947877</v>
      </c>
    </row>
    <row r="18" spans="2:27" s="8" customFormat="1">
      <c r="B18" s="75" t="s">
        <v>16</v>
      </c>
      <c r="C18" s="96"/>
      <c r="D18" s="76" t="s">
        <v>355</v>
      </c>
      <c r="E18" s="77" t="s">
        <v>38</v>
      </c>
      <c r="F18" s="78">
        <v>40604</v>
      </c>
      <c r="G18" s="79" t="s">
        <v>349</v>
      </c>
      <c r="H18" s="109">
        <v>15177</v>
      </c>
      <c r="I18" s="109">
        <v>88079</v>
      </c>
      <c r="J18" s="110">
        <f t="shared" si="0"/>
        <v>56722</v>
      </c>
      <c r="K18" s="110">
        <v>144801</v>
      </c>
      <c r="L18" s="111">
        <v>67658</v>
      </c>
      <c r="M18" s="111">
        <f t="shared" si="6"/>
        <v>1699066</v>
      </c>
      <c r="N18" s="111">
        <v>1766724</v>
      </c>
      <c r="O18" s="111">
        <f t="shared" si="1"/>
        <v>-1621923</v>
      </c>
      <c r="P18" s="111">
        <f>1342807+710800+18190</f>
        <v>2071797</v>
      </c>
      <c r="Q18" s="111">
        <v>1824790</v>
      </c>
      <c r="R18" s="82"/>
      <c r="S18" s="82"/>
      <c r="T18" s="109">
        <f t="shared" si="2"/>
        <v>247007</v>
      </c>
      <c r="U18" s="83">
        <f t="shared" si="3"/>
        <v>1.301826834964084</v>
      </c>
      <c r="V18" s="83">
        <f t="shared" si="4"/>
        <v>3.035749319099732</v>
      </c>
      <c r="W18" s="84"/>
      <c r="X18" s="84">
        <f t="shared" si="5"/>
        <v>0.11922355327283513</v>
      </c>
      <c r="Y18" s="109">
        <f t="shared" si="7"/>
        <v>-16402</v>
      </c>
      <c r="Z18" s="109">
        <v>-2442854</v>
      </c>
      <c r="AA18" s="112">
        <v>-2195847</v>
      </c>
    </row>
    <row r="19" spans="2:27" s="8" customFormat="1">
      <c r="B19" s="75" t="s">
        <v>16</v>
      </c>
      <c r="C19" s="96"/>
      <c r="D19" s="76" t="s">
        <v>355</v>
      </c>
      <c r="E19" s="77" t="s">
        <v>38</v>
      </c>
      <c r="F19" s="78">
        <v>40604</v>
      </c>
      <c r="G19" s="79" t="s">
        <v>351</v>
      </c>
      <c r="H19" s="109">
        <v>31579</v>
      </c>
      <c r="I19" s="109">
        <v>67732</v>
      </c>
      <c r="J19" s="110">
        <f t="shared" si="0"/>
        <v>0</v>
      </c>
      <c r="K19" s="110">
        <v>67732</v>
      </c>
      <c r="L19" s="111">
        <v>28816</v>
      </c>
      <c r="M19" s="111">
        <f t="shared" si="6"/>
        <v>2665576</v>
      </c>
      <c r="N19" s="111">
        <v>2694392</v>
      </c>
      <c r="O19" s="111">
        <f t="shared" si="1"/>
        <v>-2626660</v>
      </c>
      <c r="P19" s="111">
        <f>943689+476423+17940</f>
        <v>1438052</v>
      </c>
      <c r="Q19" s="111">
        <v>519086</v>
      </c>
      <c r="R19" s="82"/>
      <c r="S19" s="82"/>
      <c r="T19" s="109">
        <f t="shared" si="2"/>
        <v>918966</v>
      </c>
      <c r="U19" s="83">
        <f t="shared" si="3"/>
        <v>2.3504997223764574</v>
      </c>
      <c r="V19" s="83">
        <f t="shared" si="4"/>
        <v>22.205058506682899</v>
      </c>
      <c r="W19" s="84"/>
      <c r="X19" s="84">
        <f t="shared" si="5"/>
        <v>0.63903530609463355</v>
      </c>
      <c r="Y19" s="109">
        <f t="shared" si="7"/>
        <v>-39315</v>
      </c>
      <c r="Z19" s="109">
        <v>-3361820</v>
      </c>
      <c r="AA19" s="112">
        <v>-2442854</v>
      </c>
    </row>
    <row r="20" spans="2:27" s="8" customFormat="1">
      <c r="B20" s="75" t="s">
        <v>16</v>
      </c>
      <c r="C20" s="96"/>
      <c r="D20" s="76" t="s">
        <v>355</v>
      </c>
      <c r="E20" s="77" t="s">
        <v>38</v>
      </c>
      <c r="F20" s="78">
        <v>40604</v>
      </c>
      <c r="G20" s="79" t="s">
        <v>429</v>
      </c>
      <c r="H20" s="109">
        <v>70894</v>
      </c>
      <c r="I20" s="109">
        <v>133028</v>
      </c>
      <c r="J20" s="110">
        <f t="shared" si="0"/>
        <v>0</v>
      </c>
      <c r="K20" s="110">
        <v>133028</v>
      </c>
      <c r="L20" s="111">
        <v>79727</v>
      </c>
      <c r="M20" s="111">
        <f t="shared" si="6"/>
        <v>2693790</v>
      </c>
      <c r="N20" s="111">
        <v>2773517</v>
      </c>
      <c r="O20" s="111">
        <f t="shared" si="1"/>
        <v>-2640489</v>
      </c>
      <c r="P20" s="111">
        <f>2622679+661955+21147</f>
        <v>3305781</v>
      </c>
      <c r="Q20" s="111">
        <v>3253415</v>
      </c>
      <c r="R20" s="82"/>
      <c r="S20" s="82"/>
      <c r="T20" s="109">
        <f t="shared" si="2"/>
        <v>52366</v>
      </c>
      <c r="U20" s="83">
        <f t="shared" si="3"/>
        <v>1.6685439060794962</v>
      </c>
      <c r="V20" s="83">
        <f t="shared" si="4"/>
        <v>7.9535841569550758</v>
      </c>
      <c r="W20" s="84"/>
      <c r="X20" s="84">
        <f t="shared" si="5"/>
        <v>1.5840734761316616E-2</v>
      </c>
      <c r="Y20" s="109" t="s">
        <v>352</v>
      </c>
      <c r="Z20" s="109">
        <v>-2900134</v>
      </c>
      <c r="AA20" s="112">
        <v>-2847768</v>
      </c>
    </row>
    <row r="21" spans="2:27" s="8" customFormat="1">
      <c r="B21" s="75" t="s">
        <v>16</v>
      </c>
      <c r="C21" s="96"/>
      <c r="D21" s="76" t="s">
        <v>356</v>
      </c>
      <c r="E21" s="77" t="s">
        <v>48</v>
      </c>
      <c r="F21" s="78">
        <v>41456</v>
      </c>
      <c r="G21" s="79" t="s">
        <v>346</v>
      </c>
      <c r="H21" s="109">
        <v>87334</v>
      </c>
      <c r="I21" s="109">
        <v>116417</v>
      </c>
      <c r="J21" s="110">
        <f t="shared" si="0"/>
        <v>128520</v>
      </c>
      <c r="K21" s="110">
        <v>244937</v>
      </c>
      <c r="L21" s="111">
        <v>966653</v>
      </c>
      <c r="M21" s="111">
        <f t="shared" si="6"/>
        <v>2075094</v>
      </c>
      <c r="N21" s="111">
        <v>3041747</v>
      </c>
      <c r="O21" s="111">
        <f t="shared" si="1"/>
        <v>-2796810</v>
      </c>
      <c r="P21" s="111">
        <f>2935819+533914+15905</f>
        <v>3485638</v>
      </c>
      <c r="Q21" s="111">
        <f>3197325+82359</f>
        <v>3279684</v>
      </c>
      <c r="R21" s="82"/>
      <c r="S21" s="82"/>
      <c r="T21" s="109">
        <f t="shared" si="2"/>
        <v>205954</v>
      </c>
      <c r="U21" s="83">
        <f t="shared" si="3"/>
        <v>0.1204330819849522</v>
      </c>
      <c r="V21" s="83">
        <f t="shared" si="4"/>
        <v>9.7195065134323926</v>
      </c>
      <c r="W21" s="84">
        <f>(225127+395451)/K21</f>
        <v>2.5336229316109855</v>
      </c>
      <c r="X21" s="84">
        <f t="shared" si="5"/>
        <v>5.908645705606836E-2</v>
      </c>
      <c r="Y21" s="109">
        <f t="shared" si="7"/>
        <v>23614</v>
      </c>
      <c r="Z21" s="109">
        <v>-2988745</v>
      </c>
      <c r="AA21" s="112">
        <v>-2782791</v>
      </c>
    </row>
    <row r="22" spans="2:27" s="8" customFormat="1">
      <c r="B22" s="75" t="s">
        <v>16</v>
      </c>
      <c r="C22" s="96"/>
      <c r="D22" s="76" t="s">
        <v>356</v>
      </c>
      <c r="E22" s="77" t="s">
        <v>48</v>
      </c>
      <c r="F22" s="78">
        <v>41456</v>
      </c>
      <c r="G22" s="79" t="s">
        <v>349</v>
      </c>
      <c r="H22" s="109">
        <v>63720</v>
      </c>
      <c r="I22" s="109">
        <v>205389</v>
      </c>
      <c r="J22" s="110">
        <f t="shared" si="0"/>
        <v>113385</v>
      </c>
      <c r="K22" s="110">
        <v>318774</v>
      </c>
      <c r="L22" s="111">
        <v>1198062</v>
      </c>
      <c r="M22" s="111">
        <f t="shared" si="6"/>
        <v>1673858</v>
      </c>
      <c r="N22" s="111">
        <v>2871920</v>
      </c>
      <c r="O22" s="111">
        <f t="shared" si="1"/>
        <v>-2553146</v>
      </c>
      <c r="P22" s="111">
        <f>2389389+431973</f>
        <v>2821362</v>
      </c>
      <c r="Q22" s="111">
        <f>2859714+77436</f>
        <v>2937150</v>
      </c>
      <c r="R22" s="82"/>
      <c r="S22" s="82"/>
      <c r="T22" s="109">
        <f t="shared" si="2"/>
        <v>-115788</v>
      </c>
      <c r="U22" s="83">
        <f t="shared" si="3"/>
        <v>0.17143436650190058</v>
      </c>
      <c r="V22" s="83">
        <f t="shared" si="4"/>
        <v>7.9184924161176653</v>
      </c>
      <c r="W22" s="84">
        <f>(24190+152189)/K22</f>
        <v>0.55330422179977035</v>
      </c>
      <c r="X22" s="84">
        <f t="shared" si="5"/>
        <v>-4.1039753140504481E-2</v>
      </c>
      <c r="Y22" s="109">
        <f t="shared" si="7"/>
        <v>28559</v>
      </c>
      <c r="Z22" s="109">
        <v>-2397957</v>
      </c>
      <c r="AA22" s="112">
        <v>-2513745</v>
      </c>
    </row>
    <row r="23" spans="2:27" s="8" customFormat="1">
      <c r="B23" s="75" t="s">
        <v>16</v>
      </c>
      <c r="C23" s="96"/>
      <c r="D23" s="76" t="s">
        <v>356</v>
      </c>
      <c r="E23" s="77" t="s">
        <v>48</v>
      </c>
      <c r="F23" s="78">
        <v>41456</v>
      </c>
      <c r="G23" s="79" t="s">
        <v>351</v>
      </c>
      <c r="H23" s="109">
        <v>35161</v>
      </c>
      <c r="I23" s="109">
        <v>124380</v>
      </c>
      <c r="J23" s="110">
        <f t="shared" si="0"/>
        <v>16303</v>
      </c>
      <c r="K23" s="110">
        <v>140683</v>
      </c>
      <c r="L23" s="111">
        <v>1126639</v>
      </c>
      <c r="M23" s="111">
        <f t="shared" si="6"/>
        <v>2270634</v>
      </c>
      <c r="N23" s="111">
        <v>3397273</v>
      </c>
      <c r="O23" s="111">
        <f t="shared" si="1"/>
        <v>-3256590</v>
      </c>
      <c r="P23" s="111">
        <f>1697595+361403</f>
        <v>2058998</v>
      </c>
      <c r="Q23" s="111">
        <f>1805714+68279</f>
        <v>1873993</v>
      </c>
      <c r="R23" s="82"/>
      <c r="S23" s="82"/>
      <c r="T23" s="109">
        <f t="shared" si="2"/>
        <v>185005</v>
      </c>
      <c r="U23" s="83">
        <f t="shared" si="3"/>
        <v>0.11039916068944888</v>
      </c>
      <c r="V23" s="83">
        <f t="shared" si="4"/>
        <v>6.8483526886172994</v>
      </c>
      <c r="W23" s="84">
        <f>(183783+24969)/K23</f>
        <v>1.4838466623543711</v>
      </c>
      <c r="X23" s="84">
        <f t="shared" si="5"/>
        <v>8.9851957117005457E-2</v>
      </c>
      <c r="Y23" s="109">
        <f t="shared" si="7"/>
        <v>-42778</v>
      </c>
      <c r="Z23" s="109">
        <v>-2582962</v>
      </c>
      <c r="AA23" s="112">
        <v>-2397957</v>
      </c>
    </row>
    <row r="24" spans="2:27" s="8" customFormat="1">
      <c r="B24" s="75" t="s">
        <v>16</v>
      </c>
      <c r="C24" s="96"/>
      <c r="D24" s="76" t="s">
        <v>356</v>
      </c>
      <c r="E24" s="77" t="s">
        <v>48</v>
      </c>
      <c r="F24" s="78">
        <v>41456</v>
      </c>
      <c r="G24" s="79" t="s">
        <v>429</v>
      </c>
      <c r="H24" s="109">
        <v>77939</v>
      </c>
      <c r="I24" s="109">
        <v>175473</v>
      </c>
      <c r="J24" s="110">
        <f t="shared" si="0"/>
        <v>27433</v>
      </c>
      <c r="K24" s="110">
        <v>202906</v>
      </c>
      <c r="L24" s="111">
        <v>923440</v>
      </c>
      <c r="M24" s="111">
        <f t="shared" si="6"/>
        <v>2885022</v>
      </c>
      <c r="N24" s="111">
        <v>3808462</v>
      </c>
      <c r="O24" s="111">
        <f t="shared" si="1"/>
        <v>-3605556</v>
      </c>
      <c r="P24" s="111">
        <f>1954808+390427+36000+280287</f>
        <v>2661522</v>
      </c>
      <c r="Q24" s="111">
        <f>2968770+128875</f>
        <v>3097645</v>
      </c>
      <c r="R24" s="82"/>
      <c r="S24" s="82"/>
      <c r="T24" s="109">
        <f t="shared" si="2"/>
        <v>-436123</v>
      </c>
      <c r="U24" s="83">
        <f t="shared" si="3"/>
        <v>0.19002100840336134</v>
      </c>
      <c r="V24" s="83">
        <f t="shared" si="4"/>
        <v>9.1836653328577018</v>
      </c>
      <c r="W24" s="84">
        <f>(21467+222179)/K24</f>
        <v>1.200782628409214</v>
      </c>
      <c r="X24" s="84">
        <f t="shared" si="5"/>
        <v>-0.16386225625788553</v>
      </c>
      <c r="Y24" s="109" t="s">
        <v>352</v>
      </c>
      <c r="Z24" s="109">
        <v>-1579664</v>
      </c>
      <c r="AA24" s="112">
        <v>-2015787</v>
      </c>
    </row>
    <row r="25" spans="2:27" s="8" customFormat="1">
      <c r="B25" s="75" t="s">
        <v>16</v>
      </c>
      <c r="C25" s="96"/>
      <c r="D25" s="76" t="s">
        <v>357</v>
      </c>
      <c r="E25" s="77" t="s">
        <v>53</v>
      </c>
      <c r="F25" s="78">
        <v>43647</v>
      </c>
      <c r="G25" s="79" t="s">
        <v>346</v>
      </c>
      <c r="H25" s="109">
        <v>34522</v>
      </c>
      <c r="I25" s="109">
        <v>116657</v>
      </c>
      <c r="J25" s="110">
        <f t="shared" si="0"/>
        <v>0</v>
      </c>
      <c r="K25" s="110">
        <v>116657</v>
      </c>
      <c r="L25" s="111">
        <v>368463</v>
      </c>
      <c r="M25" s="111">
        <f t="shared" si="6"/>
        <v>0</v>
      </c>
      <c r="N25" s="111">
        <v>368463</v>
      </c>
      <c r="O25" s="111">
        <f t="shared" si="1"/>
        <v>-251806</v>
      </c>
      <c r="P25" s="111">
        <f>1070399+337872+49020</f>
        <v>1457291</v>
      </c>
      <c r="Q25" s="111">
        <v>1644532</v>
      </c>
      <c r="R25" s="82"/>
      <c r="S25" s="82"/>
      <c r="T25" s="109">
        <f t="shared" si="2"/>
        <v>-187241</v>
      </c>
      <c r="U25" s="83">
        <f t="shared" si="3"/>
        <v>0.31660438090120313</v>
      </c>
      <c r="V25" s="83">
        <f t="shared" si="4"/>
        <v>7.6620765056563203</v>
      </c>
      <c r="W25" s="84"/>
      <c r="X25" s="84">
        <f t="shared" si="5"/>
        <v>-0.12848566278114668</v>
      </c>
      <c r="Y25" s="109" t="s">
        <v>352</v>
      </c>
      <c r="Z25" s="109">
        <v>0</v>
      </c>
      <c r="AA25" s="112">
        <v>-187241</v>
      </c>
    </row>
    <row r="26" spans="2:27" s="8" customFormat="1">
      <c r="B26" s="75" t="s">
        <v>16</v>
      </c>
      <c r="C26" s="96"/>
      <c r="D26" s="76" t="s">
        <v>358</v>
      </c>
      <c r="E26" s="77" t="s">
        <v>58</v>
      </c>
      <c r="F26" s="78">
        <v>38534</v>
      </c>
      <c r="G26" s="79" t="s">
        <v>346</v>
      </c>
      <c r="H26" s="109">
        <v>245601</v>
      </c>
      <c r="I26" s="109">
        <v>400786</v>
      </c>
      <c r="J26" s="110">
        <f t="shared" si="0"/>
        <v>230099</v>
      </c>
      <c r="K26" s="110">
        <v>630885</v>
      </c>
      <c r="L26" s="111">
        <v>179283</v>
      </c>
      <c r="M26" s="111">
        <f t="shared" si="6"/>
        <v>3029970</v>
      </c>
      <c r="N26" s="111">
        <v>3209253</v>
      </c>
      <c r="O26" s="111">
        <f t="shared" si="1"/>
        <v>-2578368</v>
      </c>
      <c r="P26" s="111">
        <f>2477772+637709</f>
        <v>3115481</v>
      </c>
      <c r="Q26" s="111">
        <f>2952375+24830</f>
        <v>2977205</v>
      </c>
      <c r="R26" s="82"/>
      <c r="S26" s="82"/>
      <c r="T26" s="109">
        <f t="shared" si="2"/>
        <v>138276</v>
      </c>
      <c r="U26" s="83">
        <f t="shared" si="3"/>
        <v>2.2354936050824672</v>
      </c>
      <c r="V26" s="83">
        <f t="shared" si="4"/>
        <v>30.110242660481894</v>
      </c>
      <c r="W26" s="84">
        <f>993181/K26</f>
        <v>1.5742663084397315</v>
      </c>
      <c r="X26" s="84">
        <f t="shared" si="5"/>
        <v>4.4383515739624152E-2</v>
      </c>
      <c r="Y26" s="109">
        <f t="shared" si="7"/>
        <v>51989</v>
      </c>
      <c r="Z26" s="109">
        <v>-2822152</v>
      </c>
      <c r="AA26" s="112">
        <v>-2683876</v>
      </c>
    </row>
    <row r="27" spans="2:27" s="8" customFormat="1">
      <c r="B27" s="75" t="s">
        <v>16</v>
      </c>
      <c r="C27" s="96"/>
      <c r="D27" s="76" t="s">
        <v>358</v>
      </c>
      <c r="E27" s="77" t="s">
        <v>58</v>
      </c>
      <c r="F27" s="78">
        <v>38534</v>
      </c>
      <c r="G27" s="79" t="s">
        <v>349</v>
      </c>
      <c r="H27" s="109">
        <v>193612</v>
      </c>
      <c r="I27" s="109">
        <v>400110</v>
      </c>
      <c r="J27" s="110">
        <f t="shared" si="0"/>
        <v>157309</v>
      </c>
      <c r="K27" s="110">
        <v>557419</v>
      </c>
      <c r="L27" s="111">
        <v>188529</v>
      </c>
      <c r="M27" s="111">
        <f t="shared" si="6"/>
        <v>2961035</v>
      </c>
      <c r="N27" s="111">
        <v>3149564</v>
      </c>
      <c r="O27" s="111">
        <f t="shared" si="1"/>
        <v>-2592145</v>
      </c>
      <c r="P27" s="111">
        <f>2375501+550864</f>
        <v>2926365</v>
      </c>
      <c r="Q27" s="111">
        <f>2376955+24830</f>
        <v>2401785</v>
      </c>
      <c r="R27" s="82"/>
      <c r="S27" s="82"/>
      <c r="T27" s="109">
        <f t="shared" si="2"/>
        <v>524580</v>
      </c>
      <c r="U27" s="83">
        <f t="shared" si="3"/>
        <v>2.1222729659627961</v>
      </c>
      <c r="V27" s="83">
        <f t="shared" si="4"/>
        <v>29.423274772721122</v>
      </c>
      <c r="W27" s="84">
        <f>993181/K27</f>
        <v>1.7817494559747695</v>
      </c>
      <c r="X27" s="84">
        <f t="shared" si="5"/>
        <v>0.17925993510720639</v>
      </c>
      <c r="Y27" s="109">
        <f>H27-H28</f>
        <v>58210</v>
      </c>
      <c r="Z27" s="109">
        <v>-3346732</v>
      </c>
      <c r="AA27" s="112">
        <v>-2822152</v>
      </c>
    </row>
    <row r="28" spans="2:27" s="8" customFormat="1">
      <c r="B28" s="75" t="s">
        <v>16</v>
      </c>
      <c r="C28" s="96"/>
      <c r="D28" s="76" t="s">
        <v>358</v>
      </c>
      <c r="E28" s="77" t="s">
        <v>58</v>
      </c>
      <c r="F28" s="78">
        <v>38534</v>
      </c>
      <c r="G28" s="79" t="s">
        <v>351</v>
      </c>
      <c r="H28" s="109">
        <v>135402</v>
      </c>
      <c r="I28" s="109">
        <v>249922</v>
      </c>
      <c r="J28" s="110">
        <f t="shared" si="0"/>
        <v>43697</v>
      </c>
      <c r="K28" s="110">
        <v>293619</v>
      </c>
      <c r="L28" s="111">
        <v>184332</v>
      </c>
      <c r="M28" s="111">
        <f t="shared" si="6"/>
        <v>3966793</v>
      </c>
      <c r="N28" s="111">
        <v>4151125</v>
      </c>
      <c r="O28" s="111">
        <f t="shared" si="1"/>
        <v>-3857506</v>
      </c>
      <c r="P28" s="111">
        <f>2067671+585845+39000+250000</f>
        <v>2942516</v>
      </c>
      <c r="Q28" s="111">
        <f>1799041+12850</f>
        <v>1811891</v>
      </c>
      <c r="R28" s="82"/>
      <c r="S28" s="82"/>
      <c r="T28" s="109">
        <f t="shared" si="2"/>
        <v>1130625</v>
      </c>
      <c r="U28" s="83">
        <f t="shared" si="3"/>
        <v>1.3558253585921056</v>
      </c>
      <c r="V28" s="83">
        <f t="shared" si="4"/>
        <v>27.27632622492192</v>
      </c>
      <c r="W28" s="84">
        <f>993181/K28</f>
        <v>3.3825501755676575</v>
      </c>
      <c r="X28" s="84">
        <f t="shared" si="5"/>
        <v>0.38423750287169212</v>
      </c>
      <c r="Y28" s="109">
        <f t="shared" si="7"/>
        <v>-129240</v>
      </c>
      <c r="Z28" s="109">
        <v>-4477357</v>
      </c>
      <c r="AA28" s="112">
        <v>-3346732</v>
      </c>
    </row>
    <row r="29" spans="2:27" s="8" customFormat="1">
      <c r="B29" s="75" t="s">
        <v>16</v>
      </c>
      <c r="C29" s="96"/>
      <c r="D29" s="76" t="s">
        <v>358</v>
      </c>
      <c r="E29" s="77" t="s">
        <v>58</v>
      </c>
      <c r="F29" s="78">
        <v>38534</v>
      </c>
      <c r="G29" s="79" t="s">
        <v>429</v>
      </c>
      <c r="H29" s="109">
        <v>264642</v>
      </c>
      <c r="I29" s="109">
        <v>444766</v>
      </c>
      <c r="J29" s="110">
        <f t="shared" si="0"/>
        <v>60480</v>
      </c>
      <c r="K29" s="110">
        <v>505246</v>
      </c>
      <c r="L29" s="111">
        <v>186090</v>
      </c>
      <c r="M29" s="111">
        <f t="shared" si="6"/>
        <v>4520172</v>
      </c>
      <c r="N29" s="111">
        <v>4706262</v>
      </c>
      <c r="O29" s="111">
        <f t="shared" si="1"/>
        <v>-4201016</v>
      </c>
      <c r="P29" s="111">
        <f>2619332+694122</f>
        <v>3313454</v>
      </c>
      <c r="Q29" s="111">
        <f>3217772+31080</f>
        <v>3248852</v>
      </c>
      <c r="R29" s="82"/>
      <c r="S29" s="82"/>
      <c r="T29" s="109">
        <f t="shared" si="2"/>
        <v>64602</v>
      </c>
      <c r="U29" s="83">
        <f t="shared" si="3"/>
        <v>2.3900585738083722</v>
      </c>
      <c r="V29" s="83">
        <f t="shared" si="4"/>
        <v>29.731834506465667</v>
      </c>
      <c r="W29" s="84">
        <f>1243181/K29</f>
        <v>2.4605459518729491</v>
      </c>
      <c r="X29" s="84">
        <f t="shared" si="5"/>
        <v>1.9496875465903556E-2</v>
      </c>
      <c r="Y29" s="109" t="s">
        <v>352</v>
      </c>
      <c r="Z29" s="109">
        <v>-3880519</v>
      </c>
      <c r="AA29" s="112">
        <v>-3815917</v>
      </c>
    </row>
    <row r="30" spans="2:27" s="8" customFormat="1">
      <c r="B30" s="75" t="s">
        <v>16</v>
      </c>
      <c r="C30" s="96"/>
      <c r="D30" s="76" t="s">
        <v>359</v>
      </c>
      <c r="E30" s="77" t="s">
        <v>62</v>
      </c>
      <c r="F30" s="78">
        <v>40360</v>
      </c>
      <c r="G30" s="79" t="s">
        <v>346</v>
      </c>
      <c r="H30" s="109">
        <v>106608</v>
      </c>
      <c r="I30" s="109">
        <v>418675</v>
      </c>
      <c r="J30" s="110">
        <f t="shared" si="0"/>
        <v>752027</v>
      </c>
      <c r="K30" s="110">
        <v>1170702</v>
      </c>
      <c r="L30" s="111">
        <v>432226</v>
      </c>
      <c r="M30" s="111">
        <f t="shared" si="6"/>
        <v>2761526</v>
      </c>
      <c r="N30" s="111">
        <v>3193752</v>
      </c>
      <c r="O30" s="111">
        <f t="shared" si="1"/>
        <v>-2023050</v>
      </c>
      <c r="P30" s="111">
        <f>2339984+624228+222291+30018</f>
        <v>3216521</v>
      </c>
      <c r="Q30" s="111">
        <f>3166338+84891</f>
        <v>3251229</v>
      </c>
      <c r="R30" s="82"/>
      <c r="S30" s="82"/>
      <c r="T30" s="109">
        <f t="shared" si="2"/>
        <v>-34708</v>
      </c>
      <c r="U30" s="83">
        <f t="shared" si="3"/>
        <v>0.96864834600417371</v>
      </c>
      <c r="V30" s="83">
        <f t="shared" si="4"/>
        <v>11.968372575416865</v>
      </c>
      <c r="W30" s="84"/>
      <c r="X30" s="84">
        <f t="shared" si="5"/>
        <v>-1.0790540462816814E-2</v>
      </c>
      <c r="Y30" s="109">
        <f t="shared" si="7"/>
        <v>-4870</v>
      </c>
      <c r="Z30" s="109">
        <v>-2032794</v>
      </c>
      <c r="AA30" s="112">
        <v>-2067502</v>
      </c>
    </row>
    <row r="31" spans="2:27" s="8" customFormat="1">
      <c r="B31" s="75" t="s">
        <v>16</v>
      </c>
      <c r="C31" s="96"/>
      <c r="D31" s="76" t="s">
        <v>359</v>
      </c>
      <c r="E31" s="77" t="s">
        <v>62</v>
      </c>
      <c r="F31" s="78">
        <v>40360</v>
      </c>
      <c r="G31" s="79" t="s">
        <v>349</v>
      </c>
      <c r="H31" s="109">
        <v>111478</v>
      </c>
      <c r="I31" s="109">
        <v>484000</v>
      </c>
      <c r="J31" s="110">
        <f t="shared" si="0"/>
        <v>852331</v>
      </c>
      <c r="K31" s="110">
        <v>1336331</v>
      </c>
      <c r="L31" s="111">
        <v>797999</v>
      </c>
      <c r="M31" s="111">
        <f t="shared" si="6"/>
        <v>3046719</v>
      </c>
      <c r="N31" s="111">
        <v>3844718</v>
      </c>
      <c r="O31" s="111">
        <f t="shared" si="1"/>
        <v>-2508387</v>
      </c>
      <c r="P31" s="111">
        <f>2395546+493987+87205+217844</f>
        <v>3194582</v>
      </c>
      <c r="Q31" s="111">
        <f>2861828+122585</f>
        <v>2984413</v>
      </c>
      <c r="R31" s="82"/>
      <c r="S31" s="82"/>
      <c r="T31" s="109">
        <f t="shared" si="2"/>
        <v>210169</v>
      </c>
      <c r="U31" s="83">
        <f t="shared" si="3"/>
        <v>0.60651705077324658</v>
      </c>
      <c r="V31" s="83">
        <f t="shared" si="4"/>
        <v>13.633994356679185</v>
      </c>
      <c r="W31" s="84"/>
      <c r="X31" s="84">
        <f t="shared" si="5"/>
        <v>6.578920184236936E-2</v>
      </c>
      <c r="Y31" s="109">
        <f t="shared" si="7"/>
        <v>42864</v>
      </c>
      <c r="Z31" s="109">
        <v>-2242963</v>
      </c>
      <c r="AA31" s="112">
        <v>-2032794</v>
      </c>
    </row>
    <row r="32" spans="2:27" s="8" customFormat="1">
      <c r="B32" s="75" t="s">
        <v>16</v>
      </c>
      <c r="C32" s="96"/>
      <c r="D32" s="76" t="s">
        <v>359</v>
      </c>
      <c r="E32" s="77" t="s">
        <v>62</v>
      </c>
      <c r="F32" s="78">
        <v>40360</v>
      </c>
      <c r="G32" s="79" t="s">
        <v>351</v>
      </c>
      <c r="H32" s="109">
        <v>68614</v>
      </c>
      <c r="I32" s="109">
        <v>525361</v>
      </c>
      <c r="J32" s="110">
        <f t="shared" si="0"/>
        <v>765708</v>
      </c>
      <c r="K32" s="110">
        <v>1291069</v>
      </c>
      <c r="L32" s="111">
        <v>1113324</v>
      </c>
      <c r="M32" s="111">
        <f t="shared" si="6"/>
        <v>3267477</v>
      </c>
      <c r="N32" s="111">
        <v>4380801</v>
      </c>
      <c r="O32" s="111">
        <f t="shared" si="1"/>
        <v>-3089732</v>
      </c>
      <c r="P32" s="111">
        <f>2479769+499404+219385</f>
        <v>3198558</v>
      </c>
      <c r="Q32" s="111">
        <f>2085209+90122</f>
        <v>2175331</v>
      </c>
      <c r="R32" s="82"/>
      <c r="S32" s="82"/>
      <c r="T32" s="109">
        <f t="shared" si="2"/>
        <v>1023227</v>
      </c>
      <c r="U32" s="83">
        <f t="shared" si="3"/>
        <v>0.47188509364749165</v>
      </c>
      <c r="V32" s="83">
        <f t="shared" si="4"/>
        <v>11.512781273286686</v>
      </c>
      <c r="W32" s="84"/>
      <c r="X32" s="84">
        <f t="shared" si="5"/>
        <v>0.31990259360624379</v>
      </c>
      <c r="Y32" s="109">
        <f t="shared" si="7"/>
        <v>41738</v>
      </c>
      <c r="Z32" s="109">
        <v>-3266190</v>
      </c>
      <c r="AA32" s="112">
        <v>-2242963</v>
      </c>
    </row>
    <row r="33" spans="2:27" s="8" customFormat="1">
      <c r="B33" s="75" t="s">
        <v>16</v>
      </c>
      <c r="C33" s="96"/>
      <c r="D33" s="76" t="s">
        <v>359</v>
      </c>
      <c r="E33" s="77" t="s">
        <v>62</v>
      </c>
      <c r="F33" s="78">
        <v>40360</v>
      </c>
      <c r="G33" s="79" t="s">
        <v>429</v>
      </c>
      <c r="H33" s="109">
        <v>26876</v>
      </c>
      <c r="I33" s="109">
        <v>234429</v>
      </c>
      <c r="J33" s="110">
        <f t="shared" si="0"/>
        <v>917501</v>
      </c>
      <c r="K33" s="110">
        <v>1151930</v>
      </c>
      <c r="L33" s="111">
        <v>1065659</v>
      </c>
      <c r="M33" s="111">
        <f t="shared" si="6"/>
        <v>5484775</v>
      </c>
      <c r="N33" s="111">
        <v>6550434</v>
      </c>
      <c r="O33" s="111">
        <f t="shared" si="1"/>
        <v>-5398504</v>
      </c>
      <c r="P33" s="111">
        <f>2361403+532438+85315+240421</f>
        <v>3219577</v>
      </c>
      <c r="Q33" s="111">
        <f>4202382+121418</f>
        <v>4323800</v>
      </c>
      <c r="R33" s="82"/>
      <c r="S33" s="82"/>
      <c r="T33" s="109">
        <f t="shared" si="2"/>
        <v>-1104223</v>
      </c>
      <c r="U33" s="83">
        <f t="shared" si="3"/>
        <v>0.21998500458401796</v>
      </c>
      <c r="V33" s="83">
        <f t="shared" si="4"/>
        <v>2.2687774642675427</v>
      </c>
      <c r="W33" s="84"/>
      <c r="X33" s="84">
        <f t="shared" si="5"/>
        <v>-0.34297145246099098</v>
      </c>
      <c r="Y33" s="109" t="s">
        <v>352</v>
      </c>
      <c r="Z33" s="109">
        <v>-1826362</v>
      </c>
      <c r="AA33" s="112">
        <v>-2930585</v>
      </c>
    </row>
    <row r="34" spans="2:27" s="8" customFormat="1">
      <c r="B34" s="75" t="s">
        <v>16</v>
      </c>
      <c r="C34" s="96"/>
      <c r="D34" s="76" t="s">
        <v>360</v>
      </c>
      <c r="E34" s="77" t="s">
        <v>66</v>
      </c>
      <c r="F34" s="78">
        <v>41091</v>
      </c>
      <c r="G34" s="79" t="s">
        <v>346</v>
      </c>
      <c r="H34" s="109">
        <v>32498</v>
      </c>
      <c r="I34" s="109">
        <v>83148</v>
      </c>
      <c r="J34" s="110">
        <f t="shared" si="0"/>
        <v>83149</v>
      </c>
      <c r="K34" s="110">
        <v>166297</v>
      </c>
      <c r="L34" s="111">
        <v>1491984</v>
      </c>
      <c r="M34" s="111">
        <f t="shared" si="6"/>
        <v>1361738</v>
      </c>
      <c r="N34" s="111">
        <v>2853722</v>
      </c>
      <c r="O34" s="111">
        <f t="shared" si="1"/>
        <v>-2687425</v>
      </c>
      <c r="P34" s="111">
        <f>841254+263346+138823+2940</f>
        <v>1246363</v>
      </c>
      <c r="Q34" s="111">
        <f>1662833</f>
        <v>1662833</v>
      </c>
      <c r="R34" s="82"/>
      <c r="S34" s="82"/>
      <c r="T34" s="109">
        <f t="shared" si="2"/>
        <v>-416470</v>
      </c>
      <c r="U34" s="83">
        <f t="shared" si="3"/>
        <v>5.572982015892932E-2</v>
      </c>
      <c r="V34" s="83">
        <f t="shared" si="4"/>
        <v>7.13347040863394</v>
      </c>
      <c r="W34" s="84"/>
      <c r="X34" s="84">
        <f t="shared" si="5"/>
        <v>-0.33414823771244812</v>
      </c>
      <c r="Y34" s="109">
        <f t="shared" si="7"/>
        <v>-16600</v>
      </c>
      <c r="Z34" s="109">
        <v>-2164341</v>
      </c>
      <c r="AA34" s="112">
        <v>-2580811</v>
      </c>
    </row>
    <row r="35" spans="2:27" s="8" customFormat="1">
      <c r="B35" s="75" t="s">
        <v>16</v>
      </c>
      <c r="C35" s="96"/>
      <c r="D35" s="76" t="s">
        <v>360</v>
      </c>
      <c r="E35" s="77" t="s">
        <v>66</v>
      </c>
      <c r="F35" s="78">
        <v>41091</v>
      </c>
      <c r="G35" s="79" t="s">
        <v>349</v>
      </c>
      <c r="H35" s="109">
        <v>49098</v>
      </c>
      <c r="I35" s="109">
        <v>92073</v>
      </c>
      <c r="J35" s="110">
        <f t="shared" si="0"/>
        <v>62629</v>
      </c>
      <c r="K35" s="110">
        <v>154702</v>
      </c>
      <c r="L35" s="111">
        <v>1275679</v>
      </c>
      <c r="M35" s="111">
        <f t="shared" si="6"/>
        <v>1127555</v>
      </c>
      <c r="N35" s="111">
        <v>2403234</v>
      </c>
      <c r="O35" s="111">
        <f t="shared" si="1"/>
        <v>-2248532</v>
      </c>
      <c r="P35" s="111">
        <f>1281452+260532</f>
        <v>1541984</v>
      </c>
      <c r="Q35" s="111">
        <f>1984536</f>
        <v>1984536</v>
      </c>
      <c r="R35" s="82"/>
      <c r="S35" s="82"/>
      <c r="T35" s="109">
        <f t="shared" si="2"/>
        <v>-442552</v>
      </c>
      <c r="U35" s="83">
        <f t="shared" si="3"/>
        <v>7.217568055913752E-2</v>
      </c>
      <c r="V35" s="83">
        <f t="shared" si="4"/>
        <v>9.0302065570994934</v>
      </c>
      <c r="W35" s="84"/>
      <c r="X35" s="84">
        <f t="shared" si="5"/>
        <v>-0.28700168095129391</v>
      </c>
      <c r="Y35" s="109">
        <f t="shared" si="7"/>
        <v>38211</v>
      </c>
      <c r="Z35" s="109">
        <v>-1721789</v>
      </c>
      <c r="AA35" s="112">
        <v>-2164341</v>
      </c>
    </row>
    <row r="36" spans="2:27" s="8" customFormat="1">
      <c r="B36" s="75" t="s">
        <v>16</v>
      </c>
      <c r="C36" s="96"/>
      <c r="D36" s="76" t="s">
        <v>360</v>
      </c>
      <c r="E36" s="77" t="s">
        <v>66</v>
      </c>
      <c r="F36" s="78">
        <v>41091</v>
      </c>
      <c r="G36" s="79" t="s">
        <v>351</v>
      </c>
      <c r="H36" s="109">
        <v>10887</v>
      </c>
      <c r="I36" s="109">
        <v>100723</v>
      </c>
      <c r="J36" s="110">
        <f t="shared" si="0"/>
        <v>0</v>
      </c>
      <c r="K36" s="110">
        <v>100723</v>
      </c>
      <c r="L36" s="111">
        <v>827265</v>
      </c>
      <c r="M36" s="111">
        <f t="shared" si="6"/>
        <v>1342381</v>
      </c>
      <c r="N36" s="111">
        <v>2169646</v>
      </c>
      <c r="O36" s="111">
        <f t="shared" si="1"/>
        <v>-2068923</v>
      </c>
      <c r="P36" s="111">
        <f>916036+174731</f>
        <v>1090767</v>
      </c>
      <c r="Q36" s="111">
        <f>1406010</f>
        <v>1406010</v>
      </c>
      <c r="R36" s="82"/>
      <c r="S36" s="82"/>
      <c r="T36" s="109">
        <f t="shared" si="2"/>
        <v>-315243</v>
      </c>
      <c r="U36" s="83">
        <f t="shared" si="3"/>
        <v>0.12175421418771494</v>
      </c>
      <c r="V36" s="83">
        <f t="shared" si="4"/>
        <v>2.8262636823351186</v>
      </c>
      <c r="W36" s="84"/>
      <c r="X36" s="84">
        <f t="shared" si="5"/>
        <v>-0.2890103936037669</v>
      </c>
      <c r="Y36" s="109">
        <f t="shared" si="7"/>
        <v>-219634</v>
      </c>
      <c r="Z36" s="109">
        <v>-1406546</v>
      </c>
      <c r="AA36" s="112">
        <v>-1721789</v>
      </c>
    </row>
    <row r="37" spans="2:27" s="8" customFormat="1">
      <c r="B37" s="75" t="s">
        <v>16</v>
      </c>
      <c r="C37" s="96"/>
      <c r="D37" s="76" t="s">
        <v>360</v>
      </c>
      <c r="E37" s="77" t="s">
        <v>66</v>
      </c>
      <c r="F37" s="78">
        <v>41091</v>
      </c>
      <c r="G37" s="79" t="s">
        <v>429</v>
      </c>
      <c r="H37" s="109">
        <v>230521</v>
      </c>
      <c r="I37" s="109">
        <v>292264</v>
      </c>
      <c r="J37" s="110">
        <f t="shared" si="0"/>
        <v>2746</v>
      </c>
      <c r="K37" s="110">
        <v>295010</v>
      </c>
      <c r="L37" s="111">
        <v>285010</v>
      </c>
      <c r="M37" s="111">
        <f t="shared" si="6"/>
        <v>1845701</v>
      </c>
      <c r="N37" s="111">
        <v>2130711</v>
      </c>
      <c r="O37" s="111">
        <f t="shared" si="1"/>
        <v>-1835701</v>
      </c>
      <c r="P37" s="111">
        <f>1251149+170369+1001705+8571</f>
        <v>2431794</v>
      </c>
      <c r="Q37" s="111">
        <f>2696349</f>
        <v>2696349</v>
      </c>
      <c r="R37" s="82"/>
      <c r="S37" s="82"/>
      <c r="T37" s="109">
        <f t="shared" si="2"/>
        <v>-264555</v>
      </c>
      <c r="U37" s="83">
        <f t="shared" si="3"/>
        <v>1.02545173853549</v>
      </c>
      <c r="V37" s="83">
        <f t="shared" si="4"/>
        <v>31.205220466638405</v>
      </c>
      <c r="W37" s="84"/>
      <c r="X37" s="84">
        <f t="shared" si="5"/>
        <v>-0.1087900537627776</v>
      </c>
      <c r="Y37" s="109" t="s">
        <v>352</v>
      </c>
      <c r="Z37" s="109">
        <v>-823486</v>
      </c>
      <c r="AA37" s="112">
        <v>-1088041</v>
      </c>
    </row>
    <row r="38" spans="2:27" s="8" customFormat="1">
      <c r="B38" s="75" t="s">
        <v>16</v>
      </c>
      <c r="C38" s="96"/>
      <c r="D38" s="76" t="s">
        <v>361</v>
      </c>
      <c r="E38" s="77" t="s">
        <v>70</v>
      </c>
      <c r="F38" s="78">
        <v>38534</v>
      </c>
      <c r="G38" s="79" t="s">
        <v>346</v>
      </c>
      <c r="H38" s="109">
        <v>97795</v>
      </c>
      <c r="I38" s="109">
        <v>198323</v>
      </c>
      <c r="J38" s="110">
        <f t="shared" si="0"/>
        <v>224651</v>
      </c>
      <c r="K38" s="110">
        <v>422974</v>
      </c>
      <c r="L38" s="111">
        <v>2009562</v>
      </c>
      <c r="M38" s="111">
        <f t="shared" si="6"/>
        <v>7926607</v>
      </c>
      <c r="N38" s="111">
        <v>9936169</v>
      </c>
      <c r="O38" s="111">
        <f t="shared" si="1"/>
        <v>-9513195</v>
      </c>
      <c r="P38" s="111">
        <f>4362257+1041018+250000</f>
        <v>5653275</v>
      </c>
      <c r="Q38" s="111">
        <f>4922581+388457</f>
        <v>5311038</v>
      </c>
      <c r="R38" s="82"/>
      <c r="S38" s="82"/>
      <c r="T38" s="109">
        <f t="shared" si="2"/>
        <v>342237</v>
      </c>
      <c r="U38" s="83">
        <f t="shared" si="3"/>
        <v>9.8689664713007108E-2</v>
      </c>
      <c r="V38" s="83">
        <f t="shared" si="4"/>
        <v>6.7209413677702932</v>
      </c>
      <c r="W38" s="84">
        <f>(276956+3715997)/K38</f>
        <v>9.4401854487509862</v>
      </c>
      <c r="X38" s="84">
        <f t="shared" si="5"/>
        <v>6.053782984199424E-2</v>
      </c>
      <c r="Y38" s="109">
        <f t="shared" si="7"/>
        <v>-3491</v>
      </c>
      <c r="Z38" s="109">
        <v>-9611709</v>
      </c>
      <c r="AA38" s="112">
        <v>-9269472</v>
      </c>
    </row>
    <row r="39" spans="2:27" s="8" customFormat="1">
      <c r="B39" s="75" t="s">
        <v>16</v>
      </c>
      <c r="C39" s="96"/>
      <c r="D39" s="76" t="s">
        <v>361</v>
      </c>
      <c r="E39" s="77" t="s">
        <v>70</v>
      </c>
      <c r="F39" s="78">
        <v>38534</v>
      </c>
      <c r="G39" s="79" t="s">
        <v>349</v>
      </c>
      <c r="H39" s="109">
        <v>101286</v>
      </c>
      <c r="I39" s="109">
        <v>247447</v>
      </c>
      <c r="J39" s="110">
        <f t="shared" si="0"/>
        <v>238152</v>
      </c>
      <c r="K39" s="110">
        <v>485599</v>
      </c>
      <c r="L39" s="111">
        <v>1917429</v>
      </c>
      <c r="M39" s="111">
        <f t="shared" si="6"/>
        <v>6599813</v>
      </c>
      <c r="N39" s="111">
        <v>8517242</v>
      </c>
      <c r="O39" s="111">
        <f t="shared" si="1"/>
        <v>-8031643</v>
      </c>
      <c r="P39" s="111">
        <f>4444492+825880+250000</f>
        <v>5520372</v>
      </c>
      <c r="Q39" s="111">
        <f>4032602+415159</f>
        <v>4447761</v>
      </c>
      <c r="R39" s="82"/>
      <c r="S39" s="82"/>
      <c r="T39" s="109">
        <f t="shared" si="2"/>
        <v>1072611</v>
      </c>
      <c r="U39" s="83">
        <f t="shared" si="3"/>
        <v>0.12905145379568161</v>
      </c>
      <c r="V39" s="83">
        <f t="shared" si="4"/>
        <v>8.3119101948148746</v>
      </c>
      <c r="W39" s="84">
        <f>(263971+4248852)/K39</f>
        <v>9.2933119714002714</v>
      </c>
      <c r="X39" s="84">
        <f t="shared" si="5"/>
        <v>0.19430049279287701</v>
      </c>
      <c r="Y39" s="109">
        <f t="shared" si="7"/>
        <v>-24486</v>
      </c>
      <c r="Z39" s="109">
        <v>-10684320</v>
      </c>
      <c r="AA39" s="112">
        <v>-9611709</v>
      </c>
    </row>
    <row r="40" spans="2:27" s="8" customFormat="1">
      <c r="B40" s="75" t="s">
        <v>16</v>
      </c>
      <c r="C40" s="96"/>
      <c r="D40" s="76" t="s">
        <v>361</v>
      </c>
      <c r="E40" s="77" t="s">
        <v>70</v>
      </c>
      <c r="F40" s="78">
        <v>38534</v>
      </c>
      <c r="G40" s="79" t="s">
        <v>351</v>
      </c>
      <c r="H40" s="109">
        <v>125772</v>
      </c>
      <c r="I40" s="109">
        <v>193405</v>
      </c>
      <c r="J40" s="110">
        <f t="shared" si="0"/>
        <v>13122</v>
      </c>
      <c r="K40" s="110">
        <v>206527</v>
      </c>
      <c r="L40" s="111">
        <v>2997711</v>
      </c>
      <c r="M40" s="111">
        <f t="shared" si="6"/>
        <v>8753931</v>
      </c>
      <c r="N40" s="111">
        <v>11751642</v>
      </c>
      <c r="O40" s="111">
        <f t="shared" si="1"/>
        <v>-11545115</v>
      </c>
      <c r="P40" s="111">
        <f>4380183+907611+125000</f>
        <v>5412794</v>
      </c>
      <c r="Q40" s="111">
        <f>2913322+394254</f>
        <v>3307576</v>
      </c>
      <c r="R40" s="82"/>
      <c r="S40" s="82"/>
      <c r="T40" s="109">
        <f t="shared" si="2"/>
        <v>2105218</v>
      </c>
      <c r="U40" s="83">
        <f t="shared" si="3"/>
        <v>6.4517560231790186E-2</v>
      </c>
      <c r="V40" s="83">
        <f t="shared" si="4"/>
        <v>13.879281987775942</v>
      </c>
      <c r="W40" s="84">
        <f>(164237+3404246)/K40</f>
        <v>17.278530167968352</v>
      </c>
      <c r="X40" s="84">
        <f t="shared" si="5"/>
        <v>0.3889337004142408</v>
      </c>
      <c r="Y40" s="109">
        <f t="shared" si="7"/>
        <v>-72337</v>
      </c>
      <c r="Z40" s="109">
        <v>-12789538</v>
      </c>
      <c r="AA40" s="112">
        <v>-10684320</v>
      </c>
    </row>
    <row r="41" spans="2:27" s="8" customFormat="1">
      <c r="B41" s="75" t="s">
        <v>16</v>
      </c>
      <c r="C41" s="96"/>
      <c r="D41" s="76" t="s">
        <v>361</v>
      </c>
      <c r="E41" s="77" t="s">
        <v>70</v>
      </c>
      <c r="F41" s="78">
        <v>38534</v>
      </c>
      <c r="G41" s="79" t="s">
        <v>429</v>
      </c>
      <c r="H41" s="109">
        <v>198109</v>
      </c>
      <c r="I41" s="109">
        <v>323420</v>
      </c>
      <c r="J41" s="110">
        <f t="shared" si="0"/>
        <v>45962</v>
      </c>
      <c r="K41" s="110">
        <v>369382</v>
      </c>
      <c r="L41" s="111">
        <v>2893550</v>
      </c>
      <c r="M41" s="111">
        <f t="shared" si="6"/>
        <v>9309095</v>
      </c>
      <c r="N41" s="111">
        <v>12202645</v>
      </c>
      <c r="O41" s="111">
        <f t="shared" si="1"/>
        <v>-11833263</v>
      </c>
      <c r="P41" s="111">
        <f>4419155+1030058+250000</f>
        <v>5699213</v>
      </c>
      <c r="Q41" s="111">
        <f>4935039+436207</f>
        <v>5371246</v>
      </c>
      <c r="R41" s="82"/>
      <c r="S41" s="82"/>
      <c r="T41" s="109">
        <f t="shared" si="2"/>
        <v>327967</v>
      </c>
      <c r="U41" s="83">
        <f t="shared" si="3"/>
        <v>0.11177273591263327</v>
      </c>
      <c r="V41" s="83">
        <f t="shared" si="4"/>
        <v>13.462385636405408</v>
      </c>
      <c r="W41" s="84">
        <f>(286877+3669712)/K41</f>
        <v>10.711374674456254</v>
      </c>
      <c r="X41" s="84">
        <f t="shared" si="5"/>
        <v>5.7546015563903298E-2</v>
      </c>
      <c r="Y41" s="109" t="s">
        <v>352</v>
      </c>
      <c r="Z41" s="109">
        <v>-11912279</v>
      </c>
      <c r="AA41" s="112">
        <v>-11584312</v>
      </c>
    </row>
    <row r="42" spans="2:27" s="8" customFormat="1">
      <c r="B42" s="75" t="s">
        <v>16</v>
      </c>
      <c r="C42" s="96"/>
      <c r="D42" s="76" t="s">
        <v>362</v>
      </c>
      <c r="E42" s="77" t="s">
        <v>74</v>
      </c>
      <c r="F42" s="78">
        <v>40360</v>
      </c>
      <c r="G42" s="79" t="s">
        <v>346</v>
      </c>
      <c r="H42" s="109">
        <v>396777</v>
      </c>
      <c r="I42" s="109">
        <v>549307</v>
      </c>
      <c r="J42" s="110">
        <f t="shared" si="0"/>
        <v>1824953</v>
      </c>
      <c r="K42" s="110">
        <v>2374260</v>
      </c>
      <c r="L42" s="111">
        <v>764845</v>
      </c>
      <c r="M42" s="111">
        <f t="shared" si="6"/>
        <v>2598360</v>
      </c>
      <c r="N42" s="111">
        <v>3363205</v>
      </c>
      <c r="O42" s="111">
        <f t="shared" si="1"/>
        <v>-988945</v>
      </c>
      <c r="P42" s="111">
        <f>2888055+880589+1212+2500</f>
        <v>3772356</v>
      </c>
      <c r="Q42" s="111">
        <f>3942663+117085</f>
        <v>4059748</v>
      </c>
      <c r="R42" s="82"/>
      <c r="S42" s="82"/>
      <c r="T42" s="109">
        <f t="shared" si="2"/>
        <v>-287392</v>
      </c>
      <c r="U42" s="83">
        <f t="shared" si="3"/>
        <v>0.71819388242062121</v>
      </c>
      <c r="V42" s="83">
        <f t="shared" si="4"/>
        <v>35.673052859438563</v>
      </c>
      <c r="W42" s="84"/>
      <c r="X42" s="84">
        <f t="shared" si="5"/>
        <v>-7.6183689980479044E-2</v>
      </c>
      <c r="Y42" s="109">
        <f t="shared" si="7"/>
        <v>-235134</v>
      </c>
      <c r="Z42" s="109">
        <v>-750630</v>
      </c>
      <c r="AA42" s="112">
        <v>-1038022</v>
      </c>
    </row>
    <row r="43" spans="2:27" s="8" customFormat="1">
      <c r="B43" s="75" t="s">
        <v>16</v>
      </c>
      <c r="C43" s="96"/>
      <c r="D43" s="76" t="s">
        <v>362</v>
      </c>
      <c r="E43" s="77" t="s">
        <v>74</v>
      </c>
      <c r="F43" s="78">
        <v>40360</v>
      </c>
      <c r="G43" s="79" t="s">
        <v>349</v>
      </c>
      <c r="H43" s="109">
        <v>631911</v>
      </c>
      <c r="I43" s="109">
        <v>761701</v>
      </c>
      <c r="J43" s="110">
        <f t="shared" si="0"/>
        <v>1910929</v>
      </c>
      <c r="K43" s="110">
        <v>2672630</v>
      </c>
      <c r="L43" s="111">
        <v>1054207</v>
      </c>
      <c r="M43" s="111">
        <f t="shared" si="6"/>
        <v>2659995</v>
      </c>
      <c r="N43" s="111">
        <v>3714202</v>
      </c>
      <c r="O43" s="111">
        <f t="shared" si="1"/>
        <v>-1041572</v>
      </c>
      <c r="P43" s="111">
        <f>2578546+613431+72250</f>
        <v>3264227</v>
      </c>
      <c r="Q43" s="111">
        <f>3366485+194557</f>
        <v>3561042</v>
      </c>
      <c r="R43" s="82"/>
      <c r="S43" s="82"/>
      <c r="T43" s="109">
        <f t="shared" si="2"/>
        <v>-296815</v>
      </c>
      <c r="U43" s="83">
        <f t="shared" si="3"/>
        <v>0.72253456863784815</v>
      </c>
      <c r="V43" s="83">
        <f t="shared" si="4"/>
        <v>64.769669944920622</v>
      </c>
      <c r="W43" s="84"/>
      <c r="X43" s="84">
        <f t="shared" si="5"/>
        <v>-9.0929644292507841E-2</v>
      </c>
      <c r="Y43" s="109">
        <f t="shared" si="7"/>
        <v>-350357</v>
      </c>
      <c r="Z43" s="109">
        <v>-453815</v>
      </c>
      <c r="AA43" s="112">
        <v>-750630</v>
      </c>
    </row>
    <row r="44" spans="2:27" s="8" customFormat="1">
      <c r="B44" s="75" t="s">
        <v>16</v>
      </c>
      <c r="C44" s="96"/>
      <c r="D44" s="76" t="s">
        <v>362</v>
      </c>
      <c r="E44" s="77" t="s">
        <v>74</v>
      </c>
      <c r="F44" s="78">
        <v>40360</v>
      </c>
      <c r="G44" s="79" t="s">
        <v>351</v>
      </c>
      <c r="H44" s="109">
        <v>982268</v>
      </c>
      <c r="I44" s="109">
        <v>1780782</v>
      </c>
      <c r="J44" s="110">
        <f t="shared" si="0"/>
        <v>1891790</v>
      </c>
      <c r="K44" s="110">
        <v>3672572</v>
      </c>
      <c r="L44" s="111">
        <v>245645</v>
      </c>
      <c r="M44" s="111">
        <f t="shared" si="6"/>
        <v>5016363</v>
      </c>
      <c r="N44" s="111">
        <v>5262008</v>
      </c>
      <c r="O44" s="111">
        <f t="shared" si="1"/>
        <v>-1589436</v>
      </c>
      <c r="P44" s="111">
        <f>2346299+708782</f>
        <v>3055081</v>
      </c>
      <c r="Q44" s="111">
        <f>2114563+338067+171619</f>
        <v>2624249</v>
      </c>
      <c r="R44" s="82"/>
      <c r="S44" s="82"/>
      <c r="T44" s="109">
        <f t="shared" si="2"/>
        <v>430832</v>
      </c>
      <c r="U44" s="83">
        <f t="shared" si="3"/>
        <v>7.2494127704614382</v>
      </c>
      <c r="V44" s="83">
        <f t="shared" si="4"/>
        <v>136.62111331660981</v>
      </c>
      <c r="W44" s="84"/>
      <c r="X44" s="84">
        <f t="shared" si="5"/>
        <v>0.14102146555197717</v>
      </c>
      <c r="Y44" s="109">
        <f t="shared" si="7"/>
        <v>-842474</v>
      </c>
      <c r="Z44" s="109">
        <v>-884647</v>
      </c>
      <c r="AA44" s="112">
        <v>-453815</v>
      </c>
    </row>
    <row r="45" spans="2:27" s="8" customFormat="1">
      <c r="B45" s="75" t="s">
        <v>16</v>
      </c>
      <c r="C45" s="96"/>
      <c r="D45" s="76" t="s">
        <v>362</v>
      </c>
      <c r="E45" s="77" t="s">
        <v>74</v>
      </c>
      <c r="F45" s="78">
        <v>40360</v>
      </c>
      <c r="G45" s="79" t="s">
        <v>429</v>
      </c>
      <c r="H45" s="109">
        <v>1824742</v>
      </c>
      <c r="I45" s="109">
        <v>1897437</v>
      </c>
      <c r="J45" s="110">
        <f t="shared" si="0"/>
        <v>517631</v>
      </c>
      <c r="K45" s="110">
        <v>2415068</v>
      </c>
      <c r="L45" s="111">
        <v>632094</v>
      </c>
      <c r="M45" s="111">
        <f t="shared" si="6"/>
        <v>4195771</v>
      </c>
      <c r="N45" s="111">
        <v>4827865</v>
      </c>
      <c r="O45" s="111">
        <f t="shared" si="1"/>
        <v>-2412797</v>
      </c>
      <c r="P45" s="111">
        <f>2919355+482068</f>
        <v>3401423</v>
      </c>
      <c r="Q45" s="111">
        <f>3976256</f>
        <v>3976256</v>
      </c>
      <c r="R45" s="82"/>
      <c r="S45" s="82"/>
      <c r="T45" s="109">
        <f t="shared" si="2"/>
        <v>-574833</v>
      </c>
      <c r="U45" s="83">
        <f t="shared" si="3"/>
        <v>3.0018272598695765</v>
      </c>
      <c r="V45" s="83">
        <f t="shared" si="4"/>
        <v>167.50199936824993</v>
      </c>
      <c r="W45" s="84"/>
      <c r="X45" s="84">
        <f t="shared" si="5"/>
        <v>-0.16899779886241728</v>
      </c>
      <c r="Y45" s="109" t="s">
        <v>352</v>
      </c>
      <c r="Z45" s="109">
        <v>410939</v>
      </c>
      <c r="AA45" s="112">
        <v>-163894</v>
      </c>
    </row>
    <row r="46" spans="2:27" s="8" customFormat="1">
      <c r="B46" s="75" t="s">
        <v>16</v>
      </c>
      <c r="C46" s="96"/>
      <c r="D46" s="76" t="s">
        <v>363</v>
      </c>
      <c r="E46" s="77" t="s">
        <v>82</v>
      </c>
      <c r="F46" s="78">
        <v>38169</v>
      </c>
      <c r="G46" s="79" t="s">
        <v>346</v>
      </c>
      <c r="H46" s="109">
        <v>1370315</v>
      </c>
      <c r="I46" s="109">
        <v>1477125</v>
      </c>
      <c r="J46" s="109">
        <f t="shared" si="0"/>
        <v>293744</v>
      </c>
      <c r="K46" s="109">
        <v>1770869</v>
      </c>
      <c r="L46" s="109">
        <v>753282</v>
      </c>
      <c r="M46" s="109">
        <f t="shared" si="6"/>
        <v>5162799</v>
      </c>
      <c r="N46" s="109">
        <v>5916081</v>
      </c>
      <c r="O46" s="109">
        <f t="shared" si="1"/>
        <v>-4145212</v>
      </c>
      <c r="P46" s="109">
        <f>4775284+2100761+17220</f>
        <v>6893265</v>
      </c>
      <c r="Q46" s="109">
        <f>5676990+57229</f>
        <v>5734219</v>
      </c>
      <c r="R46" s="109"/>
      <c r="S46" s="109"/>
      <c r="T46" s="109">
        <f t="shared" si="2"/>
        <v>1159046</v>
      </c>
      <c r="U46" s="83">
        <f t="shared" si="3"/>
        <v>1.9609190183755885</v>
      </c>
      <c r="V46" s="83">
        <f t="shared" si="4"/>
        <v>87.224602862220635</v>
      </c>
      <c r="W46" s="84">
        <f>(2177731+12467)/K46</f>
        <v>1.2367927836559338</v>
      </c>
      <c r="X46" s="84">
        <f t="shared" si="5"/>
        <v>0.16814180217937363</v>
      </c>
      <c r="Y46" s="109">
        <f t="shared" si="7"/>
        <v>537122</v>
      </c>
      <c r="Z46" s="109">
        <v>-4352207</v>
      </c>
      <c r="AA46" s="109">
        <v>-3193161</v>
      </c>
    </row>
    <row r="47" spans="2:27" s="8" customFormat="1">
      <c r="B47" s="75" t="s">
        <v>16</v>
      </c>
      <c r="C47" s="96"/>
      <c r="D47" s="76" t="s">
        <v>363</v>
      </c>
      <c r="E47" s="77" t="s">
        <v>82</v>
      </c>
      <c r="F47" s="78">
        <v>38169</v>
      </c>
      <c r="G47" s="79" t="s">
        <v>349</v>
      </c>
      <c r="H47" s="109">
        <v>833193</v>
      </c>
      <c r="I47" s="109">
        <v>939919</v>
      </c>
      <c r="J47" s="110">
        <f t="shared" si="0"/>
        <v>264824</v>
      </c>
      <c r="K47" s="110">
        <v>1204743</v>
      </c>
      <c r="L47" s="111">
        <v>833281</v>
      </c>
      <c r="M47" s="111">
        <f t="shared" si="6"/>
        <v>5880339</v>
      </c>
      <c r="N47" s="111">
        <v>6713620</v>
      </c>
      <c r="O47" s="111">
        <f t="shared" si="1"/>
        <v>-5508877</v>
      </c>
      <c r="P47" s="111">
        <f>4607746+975308+5105</f>
        <v>5588159</v>
      </c>
      <c r="Q47" s="111">
        <f>4676087+82305</f>
        <v>4758392</v>
      </c>
      <c r="R47" s="82"/>
      <c r="S47" s="82"/>
      <c r="T47" s="109">
        <f t="shared" si="2"/>
        <v>829767</v>
      </c>
      <c r="U47" s="83">
        <f t="shared" si="3"/>
        <v>1.1279736367443876</v>
      </c>
      <c r="V47" s="83">
        <f t="shared" si="4"/>
        <v>63.911389603882988</v>
      </c>
      <c r="W47" s="84">
        <f>(2177731+12467)/K47</f>
        <v>1.8179794362781108</v>
      </c>
      <c r="X47" s="84">
        <f t="shared" si="5"/>
        <v>0.14848664828613503</v>
      </c>
      <c r="Y47" s="109">
        <f t="shared" si="7"/>
        <v>-277559</v>
      </c>
      <c r="Z47" s="109">
        <v>-5181974</v>
      </c>
      <c r="AA47" s="112">
        <v>-4352207</v>
      </c>
    </row>
    <row r="48" spans="2:27" s="8" customFormat="1">
      <c r="B48" s="75" t="s">
        <v>16</v>
      </c>
      <c r="C48" s="96"/>
      <c r="D48" s="76" t="s">
        <v>363</v>
      </c>
      <c r="E48" s="77" t="s">
        <v>82</v>
      </c>
      <c r="F48" s="78">
        <v>38169</v>
      </c>
      <c r="G48" s="79" t="s">
        <v>351</v>
      </c>
      <c r="H48" s="109">
        <v>1110752</v>
      </c>
      <c r="I48" s="109">
        <v>1163345</v>
      </c>
      <c r="J48" s="110">
        <f t="shared" si="0"/>
        <v>62825</v>
      </c>
      <c r="K48" s="110">
        <v>1226170</v>
      </c>
      <c r="L48" s="111">
        <v>754496</v>
      </c>
      <c r="M48" s="111">
        <f t="shared" si="6"/>
        <v>7358427</v>
      </c>
      <c r="N48" s="111">
        <v>8112923</v>
      </c>
      <c r="O48" s="111">
        <f t="shared" si="1"/>
        <v>-6886753</v>
      </c>
      <c r="P48" s="111">
        <f>4501152+881392</f>
        <v>5382544</v>
      </c>
      <c r="Q48" s="111">
        <f>3225246+97686</f>
        <v>3322932</v>
      </c>
      <c r="R48" s="82"/>
      <c r="S48" s="82"/>
      <c r="T48" s="109">
        <f t="shared" si="2"/>
        <v>2059612</v>
      </c>
      <c r="U48" s="83">
        <f t="shared" si="3"/>
        <v>1.5418835885147171</v>
      </c>
      <c r="V48" s="83">
        <f t="shared" si="4"/>
        <v>122.0080579440085</v>
      </c>
      <c r="W48" s="84">
        <f>(487392+3194377)/K48</f>
        <v>3.0026578696265607</v>
      </c>
      <c r="X48" s="84">
        <f t="shared" si="5"/>
        <v>0.38264657009770847</v>
      </c>
      <c r="Y48" s="109">
        <f t="shared" si="7"/>
        <v>446916</v>
      </c>
      <c r="Z48" s="109">
        <v>-7241586</v>
      </c>
      <c r="AA48" s="112">
        <v>-5181974</v>
      </c>
    </row>
    <row r="49" spans="2:27" s="8" customFormat="1">
      <c r="B49" s="75" t="s">
        <v>16</v>
      </c>
      <c r="C49" s="96"/>
      <c r="D49" s="76" t="s">
        <v>363</v>
      </c>
      <c r="E49" s="77" t="s">
        <v>82</v>
      </c>
      <c r="F49" s="78">
        <v>38169</v>
      </c>
      <c r="G49" s="79" t="s">
        <v>429</v>
      </c>
      <c r="H49" s="109">
        <v>663836</v>
      </c>
      <c r="I49" s="109">
        <v>694679</v>
      </c>
      <c r="J49" s="110">
        <f t="shared" si="0"/>
        <v>53227</v>
      </c>
      <c r="K49" s="110">
        <v>747906</v>
      </c>
      <c r="L49" s="111">
        <v>238604</v>
      </c>
      <c r="M49" s="111">
        <f t="shared" si="6"/>
        <v>7949562</v>
      </c>
      <c r="N49" s="111">
        <v>8188166</v>
      </c>
      <c r="O49" s="111">
        <f t="shared" si="1"/>
        <v>-7440260</v>
      </c>
      <c r="P49" s="111">
        <f>4103351+839427</f>
        <v>4942778</v>
      </c>
      <c r="Q49" s="111">
        <f>4255057+129863</f>
        <v>4384920</v>
      </c>
      <c r="R49" s="82"/>
      <c r="S49" s="82"/>
      <c r="T49" s="109">
        <f t="shared" si="2"/>
        <v>557858</v>
      </c>
      <c r="U49" s="83">
        <f t="shared" si="3"/>
        <v>2.9114306549764462</v>
      </c>
      <c r="V49" s="83">
        <f t="shared" si="4"/>
        <v>55.257596489787723</v>
      </c>
      <c r="W49" s="84">
        <f>(4000000)/K49</f>
        <v>5.3482656911430047</v>
      </c>
      <c r="X49" s="84">
        <f t="shared" si="5"/>
        <v>0.11286325220351794</v>
      </c>
      <c r="Y49" s="109" t="s">
        <v>352</v>
      </c>
      <c r="Z49" s="109">
        <v>-7058506</v>
      </c>
      <c r="AA49" s="112">
        <v>-6500648</v>
      </c>
    </row>
    <row r="50" spans="2:27" s="8" customFormat="1">
      <c r="B50" s="75" t="s">
        <v>16</v>
      </c>
      <c r="C50" s="96"/>
      <c r="D50" s="76" t="s">
        <v>364</v>
      </c>
      <c r="E50" s="77" t="s">
        <v>86</v>
      </c>
      <c r="F50" s="78">
        <v>38169</v>
      </c>
      <c r="G50" s="79" t="s">
        <v>346</v>
      </c>
      <c r="H50" s="109">
        <v>4049710</v>
      </c>
      <c r="I50" s="109">
        <v>5076711</v>
      </c>
      <c r="J50" s="110">
        <f t="shared" si="0"/>
        <v>7697789</v>
      </c>
      <c r="K50" s="110">
        <v>12774500</v>
      </c>
      <c r="L50" s="111">
        <v>890411</v>
      </c>
      <c r="M50" s="111">
        <f t="shared" si="6"/>
        <v>15284755</v>
      </c>
      <c r="N50" s="111">
        <v>16175166</v>
      </c>
      <c r="O50" s="111">
        <f t="shared" si="1"/>
        <v>-3400666</v>
      </c>
      <c r="P50" s="111">
        <f>6602826+1964519+15791</f>
        <v>8583136</v>
      </c>
      <c r="Q50" s="111">
        <f>6854220+601799</f>
        <v>7456019</v>
      </c>
      <c r="R50" s="82"/>
      <c r="S50" s="82"/>
      <c r="T50" s="109">
        <f t="shared" si="2"/>
        <v>1127117</v>
      </c>
      <c r="U50" s="83">
        <f t="shared" si="3"/>
        <v>5.701536706082921</v>
      </c>
      <c r="V50" s="83">
        <f t="shared" si="4"/>
        <v>198.24844196346601</v>
      </c>
      <c r="W50" s="84">
        <f>(225000+10108174)/K50</f>
        <v>0.80889068065286318</v>
      </c>
      <c r="X50" s="84">
        <f t="shared" si="5"/>
        <v>0.13131762097210156</v>
      </c>
      <c r="Y50" s="109">
        <f t="shared" si="7"/>
        <v>1571040</v>
      </c>
      <c r="Z50" s="109">
        <v>-3007430</v>
      </c>
      <c r="AA50" s="112">
        <v>-1880313</v>
      </c>
    </row>
    <row r="51" spans="2:27" s="8" customFormat="1">
      <c r="B51" s="75" t="s">
        <v>16</v>
      </c>
      <c r="C51" s="96"/>
      <c r="D51" s="76" t="s">
        <v>364</v>
      </c>
      <c r="E51" s="77" t="s">
        <v>86</v>
      </c>
      <c r="F51" s="78">
        <v>38169</v>
      </c>
      <c r="G51" s="79" t="s">
        <v>349</v>
      </c>
      <c r="H51" s="109">
        <v>2478670</v>
      </c>
      <c r="I51" s="109">
        <v>3386553</v>
      </c>
      <c r="J51" s="110">
        <f t="shared" si="0"/>
        <v>7876900</v>
      </c>
      <c r="K51" s="110">
        <v>11263453</v>
      </c>
      <c r="L51" s="111">
        <v>919076</v>
      </c>
      <c r="M51" s="111">
        <f t="shared" si="6"/>
        <v>14709373</v>
      </c>
      <c r="N51" s="111">
        <v>15628449</v>
      </c>
      <c r="O51" s="111">
        <f t="shared" si="1"/>
        <v>-4364996</v>
      </c>
      <c r="P51" s="111">
        <f>6233222+728439+21707</f>
        <v>6983368</v>
      </c>
      <c r="Q51" s="111">
        <f>5228881+636419</f>
        <v>5865300</v>
      </c>
      <c r="R51" s="82"/>
      <c r="S51" s="82"/>
      <c r="T51" s="109">
        <f t="shared" si="2"/>
        <v>1118068</v>
      </c>
      <c r="U51" s="83">
        <f t="shared" si="3"/>
        <v>3.6847366267860329</v>
      </c>
      <c r="V51" s="83">
        <f t="shared" si="4"/>
        <v>154.24864030825361</v>
      </c>
      <c r="W51" s="84">
        <f>(210000+10337637)/K51</f>
        <v>0.93644790811485612</v>
      </c>
      <c r="X51" s="84">
        <f t="shared" si="5"/>
        <v>0.16010440807358284</v>
      </c>
      <c r="Y51" s="109">
        <f t="shared" si="7"/>
        <v>320189</v>
      </c>
      <c r="Z51" s="109">
        <v>-4125498</v>
      </c>
      <c r="AA51" s="112">
        <v>-3007430</v>
      </c>
    </row>
    <row r="52" spans="2:27" s="8" customFormat="1">
      <c r="B52" s="75" t="s">
        <v>16</v>
      </c>
      <c r="C52" s="96"/>
      <c r="D52" s="76" t="s">
        <v>364</v>
      </c>
      <c r="E52" s="77" t="s">
        <v>86</v>
      </c>
      <c r="F52" s="78">
        <v>38169</v>
      </c>
      <c r="G52" s="79" t="s">
        <v>351</v>
      </c>
      <c r="H52" s="109">
        <v>2158481</v>
      </c>
      <c r="I52" s="109">
        <v>2856902</v>
      </c>
      <c r="J52" s="110">
        <f t="shared" si="0"/>
        <v>7779760</v>
      </c>
      <c r="K52" s="110">
        <v>10636662</v>
      </c>
      <c r="L52" s="111">
        <v>1179183</v>
      </c>
      <c r="M52" s="111">
        <f t="shared" si="6"/>
        <v>15527603</v>
      </c>
      <c r="N52" s="111">
        <v>16706786</v>
      </c>
      <c r="O52" s="111">
        <f t="shared" si="1"/>
        <v>-6070124</v>
      </c>
      <c r="P52" s="111">
        <f>5502905+662956+10033+1055</f>
        <v>6176949</v>
      </c>
      <c r="Q52" s="111">
        <f>3032821+657283</f>
        <v>3690104</v>
      </c>
      <c r="R52" s="82"/>
      <c r="S52" s="82"/>
      <c r="T52" s="109">
        <f t="shared" si="2"/>
        <v>2486845</v>
      </c>
      <c r="U52" s="83">
        <f t="shared" si="3"/>
        <v>2.4227808575937746</v>
      </c>
      <c r="V52" s="83">
        <f t="shared" si="4"/>
        <v>213.50226578979888</v>
      </c>
      <c r="W52" s="84">
        <f>(495674+10552100)/K52</f>
        <v>1.038650471360282</v>
      </c>
      <c r="X52" s="84">
        <f t="shared" si="5"/>
        <v>0.40260086330646411</v>
      </c>
      <c r="Y52" s="109">
        <f t="shared" si="7"/>
        <v>579293</v>
      </c>
      <c r="Z52" s="109">
        <v>-6612343</v>
      </c>
      <c r="AA52" s="112">
        <v>-4125498</v>
      </c>
    </row>
    <row r="53" spans="2:27" s="8" customFormat="1">
      <c r="B53" s="75" t="s">
        <v>16</v>
      </c>
      <c r="C53" s="96"/>
      <c r="D53" s="76" t="s">
        <v>364</v>
      </c>
      <c r="E53" s="77" t="s">
        <v>86</v>
      </c>
      <c r="F53" s="78">
        <v>38169</v>
      </c>
      <c r="G53" s="79" t="s">
        <v>429</v>
      </c>
      <c r="H53" s="109">
        <v>1579188</v>
      </c>
      <c r="I53" s="109">
        <v>2065769</v>
      </c>
      <c r="J53" s="110">
        <f t="shared" si="0"/>
        <v>7868506</v>
      </c>
      <c r="K53" s="110">
        <v>9934275</v>
      </c>
      <c r="L53" s="111">
        <v>624858</v>
      </c>
      <c r="M53" s="111">
        <f t="shared" si="6"/>
        <v>16645518</v>
      </c>
      <c r="N53" s="111">
        <v>17270376</v>
      </c>
      <c r="O53" s="111">
        <f t="shared" si="1"/>
        <v>-7336101</v>
      </c>
      <c r="P53" s="111">
        <f>5283379+633961</f>
        <v>5917340</v>
      </c>
      <c r="Q53" s="111">
        <f>4764023+444469+602698</f>
        <v>5811190</v>
      </c>
      <c r="R53" s="82"/>
      <c r="S53" s="82"/>
      <c r="T53" s="109">
        <f t="shared" si="2"/>
        <v>106150</v>
      </c>
      <c r="U53" s="83">
        <f t="shared" si="3"/>
        <v>3.3059815190011173</v>
      </c>
      <c r="V53" s="83">
        <f t="shared" si="4"/>
        <v>99.188568950593591</v>
      </c>
      <c r="W53" s="84">
        <f>11246122/K53</f>
        <v>1.1320526158174602</v>
      </c>
      <c r="X53" s="84">
        <f t="shared" si="5"/>
        <v>1.7938803584042831E-2</v>
      </c>
      <c r="Y53" s="109" t="s">
        <v>352</v>
      </c>
      <c r="Z53" s="109">
        <v>-5713886</v>
      </c>
      <c r="AA53" s="112">
        <v>-5607736</v>
      </c>
    </row>
    <row r="54" spans="2:27" s="8" customFormat="1">
      <c r="B54" s="75" t="s">
        <v>16</v>
      </c>
      <c r="C54" s="96"/>
      <c r="D54" s="76" t="s">
        <v>366</v>
      </c>
      <c r="E54" s="77" t="s">
        <v>91</v>
      </c>
      <c r="F54" s="78">
        <v>41456</v>
      </c>
      <c r="G54" s="79" t="s">
        <v>346</v>
      </c>
      <c r="H54" s="109">
        <v>97604</v>
      </c>
      <c r="I54" s="109">
        <v>111416</v>
      </c>
      <c r="J54" s="110">
        <f t="shared" si="0"/>
        <v>117046</v>
      </c>
      <c r="K54" s="110">
        <v>228462</v>
      </c>
      <c r="L54" s="111">
        <v>20988</v>
      </c>
      <c r="M54" s="111">
        <f t="shared" si="6"/>
        <v>1899626</v>
      </c>
      <c r="N54" s="111">
        <v>1920614</v>
      </c>
      <c r="O54" s="111">
        <f t="shared" si="1"/>
        <v>-1692152</v>
      </c>
      <c r="P54" s="111">
        <f>2352538+566753+50</f>
        <v>2919341</v>
      </c>
      <c r="Q54" s="111">
        <v>2832102</v>
      </c>
      <c r="R54" s="82"/>
      <c r="S54" s="82"/>
      <c r="T54" s="109">
        <f t="shared" si="2"/>
        <v>87239</v>
      </c>
      <c r="U54" s="83">
        <f t="shared" si="3"/>
        <v>5.3085572708214217</v>
      </c>
      <c r="V54" s="83">
        <f t="shared" si="4"/>
        <v>12.579158519008143</v>
      </c>
      <c r="W54" s="84"/>
      <c r="X54" s="84">
        <f t="shared" si="5"/>
        <v>2.988311403155712E-2</v>
      </c>
      <c r="Y54" s="109">
        <f t="shared" si="7"/>
        <v>-7577</v>
      </c>
      <c r="Z54" s="109">
        <v>-1894410</v>
      </c>
      <c r="AA54" s="112">
        <v>-1807171</v>
      </c>
    </row>
    <row r="55" spans="2:27" s="8" customFormat="1">
      <c r="B55" s="75" t="s">
        <v>16</v>
      </c>
      <c r="C55" s="96"/>
      <c r="D55" s="76" t="s">
        <v>366</v>
      </c>
      <c r="E55" s="77" t="s">
        <v>91</v>
      </c>
      <c r="F55" s="78">
        <v>41456</v>
      </c>
      <c r="G55" s="79" t="s">
        <v>349</v>
      </c>
      <c r="H55" s="109">
        <v>105181</v>
      </c>
      <c r="I55" s="109">
        <v>146761</v>
      </c>
      <c r="J55" s="110">
        <f t="shared" si="0"/>
        <v>89481</v>
      </c>
      <c r="K55" s="110">
        <v>236242</v>
      </c>
      <c r="L55" s="111">
        <v>42810</v>
      </c>
      <c r="M55" s="111">
        <f t="shared" si="6"/>
        <v>1949476</v>
      </c>
      <c r="N55" s="111">
        <v>1992286</v>
      </c>
      <c r="O55" s="111">
        <f t="shared" si="1"/>
        <v>-1756044</v>
      </c>
      <c r="P55" s="111">
        <f>2583719+662440+13455</f>
        <v>3259614</v>
      </c>
      <c r="Q55" s="111">
        <f>3542477</f>
        <v>3542477</v>
      </c>
      <c r="R55" s="82"/>
      <c r="S55" s="82"/>
      <c r="T55" s="109">
        <f t="shared" si="2"/>
        <v>-282863</v>
      </c>
      <c r="U55" s="83">
        <f t="shared" si="3"/>
        <v>3.4281943471151601</v>
      </c>
      <c r="V55" s="83">
        <f t="shared" si="4"/>
        <v>10.837350531845374</v>
      </c>
      <c r="W55" s="84"/>
      <c r="X55" s="84">
        <f t="shared" si="5"/>
        <v>-8.6778066360004583E-2</v>
      </c>
      <c r="Y55" s="109">
        <f t="shared" si="7"/>
        <v>5744</v>
      </c>
      <c r="Z55" s="109">
        <v>-1611547</v>
      </c>
      <c r="AA55" s="112">
        <v>-1894410</v>
      </c>
    </row>
    <row r="56" spans="2:27" s="8" customFormat="1">
      <c r="B56" s="75" t="s">
        <v>16</v>
      </c>
      <c r="C56" s="96"/>
      <c r="D56" s="76" t="s">
        <v>366</v>
      </c>
      <c r="E56" s="77" t="s">
        <v>91</v>
      </c>
      <c r="F56" s="78">
        <v>41456</v>
      </c>
      <c r="G56" s="79" t="s">
        <v>351</v>
      </c>
      <c r="H56" s="109">
        <v>99437</v>
      </c>
      <c r="I56" s="109">
        <v>107900</v>
      </c>
      <c r="J56" s="110">
        <f t="shared" si="0"/>
        <v>0</v>
      </c>
      <c r="K56" s="110">
        <v>107900</v>
      </c>
      <c r="L56" s="111">
        <v>16641</v>
      </c>
      <c r="M56" s="111">
        <f t="shared" si="6"/>
        <v>2036205</v>
      </c>
      <c r="N56" s="111">
        <v>2052846</v>
      </c>
      <c r="O56" s="111">
        <f t="shared" si="1"/>
        <v>-1944946</v>
      </c>
      <c r="P56" s="111">
        <f>2393295+489676+17940</f>
        <v>2900911</v>
      </c>
      <c r="Q56" s="111">
        <f>2619005</f>
        <v>2619005</v>
      </c>
      <c r="R56" s="82"/>
      <c r="S56" s="82"/>
      <c r="T56" s="109">
        <f t="shared" si="2"/>
        <v>281906</v>
      </c>
      <c r="U56" s="83">
        <f t="shared" si="3"/>
        <v>6.4839853374196261</v>
      </c>
      <c r="V56" s="83">
        <f t="shared" si="4"/>
        <v>13.858127418618903</v>
      </c>
      <c r="W56" s="84"/>
      <c r="X56" s="84">
        <f t="shared" si="5"/>
        <v>9.7178438083760588E-2</v>
      </c>
      <c r="Y56" s="109">
        <f t="shared" si="7"/>
        <v>8883</v>
      </c>
      <c r="Z56" s="109">
        <v>-1893453</v>
      </c>
      <c r="AA56" s="112">
        <v>-1611547</v>
      </c>
    </row>
    <row r="57" spans="2:27" s="8" customFormat="1">
      <c r="B57" s="75" t="s">
        <v>16</v>
      </c>
      <c r="C57" s="96"/>
      <c r="D57" s="76" t="s">
        <v>366</v>
      </c>
      <c r="E57" s="77" t="s">
        <v>91</v>
      </c>
      <c r="F57" s="78">
        <v>41456</v>
      </c>
      <c r="G57" s="79" t="s">
        <v>429</v>
      </c>
      <c r="H57" s="109">
        <v>90554</v>
      </c>
      <c r="I57" s="109">
        <v>143278</v>
      </c>
      <c r="J57" s="110">
        <f t="shared" si="0"/>
        <v>0</v>
      </c>
      <c r="K57" s="110">
        <v>143278</v>
      </c>
      <c r="L57" s="111">
        <v>60368</v>
      </c>
      <c r="M57" s="111">
        <f t="shared" si="6"/>
        <v>2361232</v>
      </c>
      <c r="N57" s="111">
        <v>2421600</v>
      </c>
      <c r="O57" s="111">
        <f t="shared" si="1"/>
        <v>-2278322</v>
      </c>
      <c r="P57" s="111">
        <f>2386319+542250+3457+18640</f>
        <v>2950666</v>
      </c>
      <c r="Q57" s="111">
        <v>3430837</v>
      </c>
      <c r="R57" s="82"/>
      <c r="S57" s="82"/>
      <c r="T57" s="109">
        <f t="shared" si="2"/>
        <v>-480171</v>
      </c>
      <c r="U57" s="83">
        <f t="shared" si="3"/>
        <v>2.3734097535117944</v>
      </c>
      <c r="V57" s="83">
        <f t="shared" si="4"/>
        <v>9.6338619409782513</v>
      </c>
      <c r="W57" s="84"/>
      <c r="X57" s="84">
        <f t="shared" si="5"/>
        <v>-0.16273309144444001</v>
      </c>
      <c r="Y57" s="109" t="s">
        <v>352</v>
      </c>
      <c r="Z57" s="109">
        <v>-971005</v>
      </c>
      <c r="AA57" s="112">
        <v>-1451176</v>
      </c>
    </row>
    <row r="58" spans="2:27" s="8" customFormat="1">
      <c r="B58" s="75" t="s">
        <v>16</v>
      </c>
      <c r="C58" s="96"/>
      <c r="D58" s="76" t="s">
        <v>367</v>
      </c>
      <c r="E58" s="77" t="s">
        <v>95</v>
      </c>
      <c r="F58" s="78">
        <v>41374</v>
      </c>
      <c r="G58" s="79" t="s">
        <v>346</v>
      </c>
      <c r="H58" s="109">
        <v>89119</v>
      </c>
      <c r="I58" s="109">
        <v>202530</v>
      </c>
      <c r="J58" s="109">
        <f t="shared" si="0"/>
        <v>107479</v>
      </c>
      <c r="K58" s="109">
        <v>310009</v>
      </c>
      <c r="L58" s="109">
        <v>373796</v>
      </c>
      <c r="M58" s="109">
        <f t="shared" si="6"/>
        <v>1573565</v>
      </c>
      <c r="N58" s="109">
        <v>1947361</v>
      </c>
      <c r="O58" s="109">
        <f t="shared" si="1"/>
        <v>-1637352</v>
      </c>
      <c r="P58" s="109">
        <f>2478788+462044</f>
        <v>2940832</v>
      </c>
      <c r="Q58" s="109">
        <f>3120441+2967</f>
        <v>3123408</v>
      </c>
      <c r="R58" s="109"/>
      <c r="S58" s="109"/>
      <c r="T58" s="109">
        <f t="shared" si="2"/>
        <v>-182576</v>
      </c>
      <c r="U58" s="83">
        <f t="shared" si="3"/>
        <v>0.54181960213592439</v>
      </c>
      <c r="V58" s="83">
        <f t="shared" si="4"/>
        <v>10.414404714337673</v>
      </c>
      <c r="W58" s="84"/>
      <c r="X58" s="84">
        <f t="shared" si="5"/>
        <v>-6.2083111173980694E-2</v>
      </c>
      <c r="Y58" s="109">
        <f t="shared" si="7"/>
        <v>-17960</v>
      </c>
      <c r="Z58" s="109">
        <v>-1169719</v>
      </c>
      <c r="AA58" s="109">
        <v>-1352295</v>
      </c>
    </row>
    <row r="59" spans="2:27" s="8" customFormat="1">
      <c r="B59" s="75" t="s">
        <v>16</v>
      </c>
      <c r="C59" s="96"/>
      <c r="D59" s="76" t="s">
        <v>367</v>
      </c>
      <c r="E59" s="77" t="s">
        <v>95</v>
      </c>
      <c r="F59" s="78">
        <v>41374</v>
      </c>
      <c r="G59" s="79" t="s">
        <v>349</v>
      </c>
      <c r="H59" s="109">
        <v>107079</v>
      </c>
      <c r="I59" s="109">
        <v>215141</v>
      </c>
      <c r="J59" s="110">
        <f t="shared" si="0"/>
        <v>90360</v>
      </c>
      <c r="K59" s="110">
        <v>305501</v>
      </c>
      <c r="L59" s="111">
        <v>407587</v>
      </c>
      <c r="M59" s="111">
        <f t="shared" si="6"/>
        <v>1284959</v>
      </c>
      <c r="N59" s="111">
        <v>1692546</v>
      </c>
      <c r="O59" s="111">
        <f t="shared" si="1"/>
        <v>-1387045</v>
      </c>
      <c r="P59" s="111">
        <f>1969496+249053+50</f>
        <v>2218599</v>
      </c>
      <c r="Q59" s="111">
        <f>2434969+2972</f>
        <v>2437941</v>
      </c>
      <c r="R59" s="82"/>
      <c r="S59" s="82"/>
      <c r="T59" s="109">
        <f t="shared" si="2"/>
        <v>-219342</v>
      </c>
      <c r="U59" s="83">
        <f t="shared" si="3"/>
        <v>0.52784068186669353</v>
      </c>
      <c r="V59" s="83">
        <f t="shared" si="4"/>
        <v>16.031493379044036</v>
      </c>
      <c r="W59" s="84"/>
      <c r="X59" s="84">
        <f t="shared" si="5"/>
        <v>-9.8865094593479932E-2</v>
      </c>
      <c r="Y59" s="109">
        <f t="shared" si="7"/>
        <v>14134</v>
      </c>
      <c r="Z59" s="109">
        <v>-950377</v>
      </c>
      <c r="AA59" s="112">
        <v>-1169719</v>
      </c>
    </row>
    <row r="60" spans="2:27" s="8" customFormat="1">
      <c r="B60" s="75" t="s">
        <v>16</v>
      </c>
      <c r="C60" s="96"/>
      <c r="D60" s="76" t="s">
        <v>367</v>
      </c>
      <c r="E60" s="77" t="s">
        <v>95</v>
      </c>
      <c r="F60" s="78">
        <v>41374</v>
      </c>
      <c r="G60" s="79" t="s">
        <v>351</v>
      </c>
      <c r="H60" s="109">
        <v>92945</v>
      </c>
      <c r="I60" s="109">
        <v>165111</v>
      </c>
      <c r="J60" s="110">
        <f t="shared" si="0"/>
        <v>861</v>
      </c>
      <c r="K60" s="110">
        <v>165972</v>
      </c>
      <c r="L60" s="111">
        <v>232074</v>
      </c>
      <c r="M60" s="111">
        <f t="shared" si="6"/>
        <v>1823008</v>
      </c>
      <c r="N60" s="111">
        <v>2055082</v>
      </c>
      <c r="O60" s="111">
        <f t="shared" si="1"/>
        <v>-1889110</v>
      </c>
      <c r="P60" s="111">
        <f>1295590+221401+500</f>
        <v>1517491</v>
      </c>
      <c r="Q60" s="111">
        <f>1503491+127</f>
        <v>1503618</v>
      </c>
      <c r="R60" s="82"/>
      <c r="S60" s="82"/>
      <c r="T60" s="109">
        <f t="shared" si="2"/>
        <v>13873</v>
      </c>
      <c r="U60" s="83">
        <f t="shared" si="3"/>
        <v>0.71145841412652866</v>
      </c>
      <c r="V60" s="83">
        <f t="shared" si="4"/>
        <v>22.562196648350845</v>
      </c>
      <c r="W60" s="84"/>
      <c r="X60" s="84">
        <f t="shared" si="5"/>
        <v>9.1420641044988073E-3</v>
      </c>
      <c r="Y60" s="109" t="e">
        <f>H60-#REF!</f>
        <v>#REF!</v>
      </c>
      <c r="Z60" s="109">
        <v>-964250</v>
      </c>
      <c r="AA60" s="112">
        <v>-950377</v>
      </c>
    </row>
    <row r="61" spans="2:27" s="8" customFormat="1">
      <c r="B61" s="75" t="s">
        <v>16</v>
      </c>
      <c r="C61" s="96"/>
      <c r="D61" s="76" t="s">
        <v>368</v>
      </c>
      <c r="E61" s="77" t="s">
        <v>103</v>
      </c>
      <c r="F61" s="78">
        <v>42917</v>
      </c>
      <c r="G61" s="79" t="s">
        <v>346</v>
      </c>
      <c r="H61" s="109">
        <v>76206</v>
      </c>
      <c r="I61" s="109">
        <v>161929</v>
      </c>
      <c r="J61" s="110">
        <f t="shared" si="0"/>
        <v>118584</v>
      </c>
      <c r="K61" s="110">
        <v>280513</v>
      </c>
      <c r="L61" s="111">
        <v>610977</v>
      </c>
      <c r="M61" s="111">
        <f t="shared" si="6"/>
        <v>1559010</v>
      </c>
      <c r="N61" s="111">
        <v>2169987</v>
      </c>
      <c r="O61" s="111">
        <f t="shared" si="1"/>
        <v>-1889474</v>
      </c>
      <c r="P61" s="111">
        <f>2645818+462735+9588</f>
        <v>3118141</v>
      </c>
      <c r="Q61" s="111">
        <f>3249441</f>
        <v>3249441</v>
      </c>
      <c r="R61" s="82"/>
      <c r="S61" s="82"/>
      <c r="T61" s="109">
        <f t="shared" si="2"/>
        <v>-131300</v>
      </c>
      <c r="U61" s="83">
        <f t="shared" si="3"/>
        <v>0.2650328899451207</v>
      </c>
      <c r="V61" s="83">
        <f t="shared" si="4"/>
        <v>8.5599923186788125</v>
      </c>
      <c r="W61" s="84"/>
      <c r="X61" s="84">
        <f t="shared" si="5"/>
        <v>-4.2108422935332304E-2</v>
      </c>
      <c r="Y61" s="109">
        <f t="shared" si="7"/>
        <v>-725</v>
      </c>
      <c r="Z61" s="109">
        <v>-707225</v>
      </c>
      <c r="AA61" s="112">
        <v>-838525</v>
      </c>
    </row>
    <row r="62" spans="2:27" s="8" customFormat="1">
      <c r="B62" s="75" t="s">
        <v>16</v>
      </c>
      <c r="C62" s="96"/>
      <c r="D62" s="76" t="s">
        <v>368</v>
      </c>
      <c r="E62" s="77" t="s">
        <v>103</v>
      </c>
      <c r="F62" s="78">
        <v>42917</v>
      </c>
      <c r="G62" s="79" t="s">
        <v>349</v>
      </c>
      <c r="H62" s="109">
        <v>76931</v>
      </c>
      <c r="I62" s="109">
        <v>152337</v>
      </c>
      <c r="J62" s="110">
        <f t="shared" si="0"/>
        <v>92981</v>
      </c>
      <c r="K62" s="110">
        <v>245318</v>
      </c>
      <c r="L62" s="111">
        <v>831893</v>
      </c>
      <c r="M62" s="111">
        <f t="shared" si="6"/>
        <v>1369838</v>
      </c>
      <c r="N62" s="111">
        <v>2201731</v>
      </c>
      <c r="O62" s="111">
        <f t="shared" si="1"/>
        <v>-1956413</v>
      </c>
      <c r="P62" s="111">
        <f>2043751+289968</f>
        <v>2333719</v>
      </c>
      <c r="Q62" s="111">
        <f>2437064</f>
        <v>2437064</v>
      </c>
      <c r="R62" s="82"/>
      <c r="S62" s="82"/>
      <c r="T62" s="109">
        <f t="shared" si="2"/>
        <v>-103345</v>
      </c>
      <c r="U62" s="83">
        <f t="shared" si="3"/>
        <v>0.18312090617423155</v>
      </c>
      <c r="V62" s="83">
        <f t="shared" si="4"/>
        <v>11.521985060712398</v>
      </c>
      <c r="W62" s="84"/>
      <c r="X62" s="84">
        <f t="shared" si="5"/>
        <v>-4.4283394873161679E-2</v>
      </c>
      <c r="Y62" s="109">
        <f t="shared" si="7"/>
        <v>69769</v>
      </c>
      <c r="Z62" s="109">
        <v>-603880</v>
      </c>
      <c r="AA62" s="112">
        <v>-707225</v>
      </c>
    </row>
    <row r="63" spans="2:27" s="8" customFormat="1">
      <c r="B63" s="75" t="s">
        <v>16</v>
      </c>
      <c r="C63" s="96"/>
      <c r="D63" s="76" t="s">
        <v>368</v>
      </c>
      <c r="E63" s="77" t="s">
        <v>103</v>
      </c>
      <c r="F63" s="78">
        <v>42917</v>
      </c>
      <c r="G63" s="79" t="s">
        <v>351</v>
      </c>
      <c r="H63" s="109">
        <v>7162</v>
      </c>
      <c r="I63" s="109">
        <v>61897</v>
      </c>
      <c r="J63" s="110">
        <f t="shared" si="0"/>
        <v>19704</v>
      </c>
      <c r="K63" s="110">
        <v>81601</v>
      </c>
      <c r="L63" s="111">
        <v>780267</v>
      </c>
      <c r="M63" s="111">
        <f t="shared" si="6"/>
        <v>0</v>
      </c>
      <c r="N63" s="111">
        <v>780267</v>
      </c>
      <c r="O63" s="111">
        <f t="shared" ref="O63" si="8">K63-N63</f>
        <v>-698666</v>
      </c>
      <c r="P63" s="111">
        <f>1184220+116351</f>
        <v>1300571</v>
      </c>
      <c r="Q63" s="111">
        <f>1904451</f>
        <v>1904451</v>
      </c>
      <c r="R63" s="82"/>
      <c r="S63" s="82"/>
      <c r="T63" s="109">
        <f t="shared" ref="T63" si="9">P63-Q63</f>
        <v>-603880</v>
      </c>
      <c r="U63" s="83">
        <f t="shared" ref="U63" si="10">I63/L63</f>
        <v>7.9327973629539639E-2</v>
      </c>
      <c r="V63" s="83">
        <f t="shared" ref="V63" si="11">H63/(Q63/365)</f>
        <v>1.3726422995393424</v>
      </c>
      <c r="W63" s="84"/>
      <c r="X63" s="84">
        <f t="shared" ref="X63" si="12">T63/P63</f>
        <v>-0.46431913367282523</v>
      </c>
      <c r="Y63" s="109" t="s">
        <v>352</v>
      </c>
      <c r="Z63" s="109">
        <v>0</v>
      </c>
      <c r="AA63" s="112">
        <v>-603880</v>
      </c>
    </row>
    <row r="64" spans="2:27" s="8" customFormat="1">
      <c r="B64" s="75" t="s">
        <v>16</v>
      </c>
      <c r="C64" s="96"/>
      <c r="D64" s="76" t="s">
        <v>369</v>
      </c>
      <c r="E64" s="77" t="s">
        <v>108</v>
      </c>
      <c r="F64" s="78">
        <v>39264</v>
      </c>
      <c r="G64" s="79" t="s">
        <v>346</v>
      </c>
      <c r="H64" s="109">
        <v>2564960</v>
      </c>
      <c r="I64" s="109">
        <v>2724967</v>
      </c>
      <c r="J64" s="110">
        <f t="shared" si="0"/>
        <v>2002411</v>
      </c>
      <c r="K64" s="110">
        <v>4727378</v>
      </c>
      <c r="L64" s="111">
        <v>197260</v>
      </c>
      <c r="M64" s="111">
        <f t="shared" si="6"/>
        <v>3167829</v>
      </c>
      <c r="N64" s="111">
        <v>3365089</v>
      </c>
      <c r="O64" s="111">
        <f t="shared" si="1"/>
        <v>1362289</v>
      </c>
      <c r="P64" s="111">
        <f>3805002+1424083</f>
        <v>5229085</v>
      </c>
      <c r="Q64" s="111">
        <f>4071664+6290</f>
        <v>4077954</v>
      </c>
      <c r="R64" s="82"/>
      <c r="S64" s="82"/>
      <c r="T64" s="109">
        <f t="shared" si="2"/>
        <v>1151131</v>
      </c>
      <c r="U64" s="83">
        <f t="shared" si="3"/>
        <v>13.814088005677785</v>
      </c>
      <c r="V64" s="83">
        <f t="shared" si="4"/>
        <v>229.57846017880536</v>
      </c>
      <c r="W64" s="84"/>
      <c r="X64" s="84">
        <f t="shared" si="5"/>
        <v>0.22014004362139838</v>
      </c>
      <c r="Y64" s="109">
        <f t="shared" si="7"/>
        <v>1078575</v>
      </c>
      <c r="Z64" s="109">
        <v>278832</v>
      </c>
      <c r="AA64" s="112">
        <v>1429963</v>
      </c>
    </row>
    <row r="65" spans="2:27" s="8" customFormat="1">
      <c r="B65" s="75" t="s">
        <v>16</v>
      </c>
      <c r="C65" s="96"/>
      <c r="D65" s="76" t="s">
        <v>369</v>
      </c>
      <c r="E65" s="77" t="s">
        <v>108</v>
      </c>
      <c r="F65" s="78">
        <v>39264</v>
      </c>
      <c r="G65" s="79" t="s">
        <v>349</v>
      </c>
      <c r="H65" s="109">
        <v>1486385</v>
      </c>
      <c r="I65" s="109">
        <v>1658336</v>
      </c>
      <c r="J65" s="110">
        <f t="shared" si="0"/>
        <v>1962977</v>
      </c>
      <c r="K65" s="110">
        <v>3621313</v>
      </c>
      <c r="L65" s="111">
        <v>262074</v>
      </c>
      <c r="M65" s="111">
        <f t="shared" si="6"/>
        <v>3728753</v>
      </c>
      <c r="N65" s="111">
        <v>3990827</v>
      </c>
      <c r="O65" s="111">
        <f t="shared" si="1"/>
        <v>-369514</v>
      </c>
      <c r="P65" s="111">
        <f>3218228+680819</f>
        <v>3899047</v>
      </c>
      <c r="Q65" s="111">
        <f>3264767+9952</f>
        <v>3274719</v>
      </c>
      <c r="R65" s="82"/>
      <c r="S65" s="82"/>
      <c r="T65" s="109">
        <f t="shared" si="2"/>
        <v>624328</v>
      </c>
      <c r="U65" s="83">
        <f t="shared" si="3"/>
        <v>6.3277394934255211</v>
      </c>
      <c r="V65" s="83">
        <f t="shared" si="4"/>
        <v>165.67239051656034</v>
      </c>
      <c r="W65" s="84">
        <f>(15646+141576)/K65</f>
        <v>4.3415744510347493E-2</v>
      </c>
      <c r="X65" s="84">
        <f t="shared" si="5"/>
        <v>0.16012323011238389</v>
      </c>
      <c r="Y65" s="109">
        <f t="shared" si="7"/>
        <v>476059</v>
      </c>
      <c r="Z65" s="109">
        <v>-345496</v>
      </c>
      <c r="AA65" s="112">
        <v>278832</v>
      </c>
    </row>
    <row r="66" spans="2:27" s="8" customFormat="1">
      <c r="B66" s="75" t="s">
        <v>16</v>
      </c>
      <c r="C66" s="96"/>
      <c r="D66" s="76" t="s">
        <v>369</v>
      </c>
      <c r="E66" s="77" t="s">
        <v>108</v>
      </c>
      <c r="F66" s="78">
        <v>39264</v>
      </c>
      <c r="G66" s="79" t="s">
        <v>351</v>
      </c>
      <c r="H66" s="109">
        <v>1010326</v>
      </c>
      <c r="I66" s="109">
        <v>1146325</v>
      </c>
      <c r="J66" s="110">
        <f t="shared" si="0"/>
        <v>1836861</v>
      </c>
      <c r="K66" s="110">
        <v>2983186</v>
      </c>
      <c r="L66" s="111">
        <v>161469</v>
      </c>
      <c r="M66" s="111">
        <f t="shared" si="6"/>
        <v>4324993</v>
      </c>
      <c r="N66" s="111">
        <v>4486462</v>
      </c>
      <c r="O66" s="111">
        <f t="shared" si="1"/>
        <v>-1503276</v>
      </c>
      <c r="P66" s="111">
        <f>3050413+676966+150033+10380</f>
        <v>3887792</v>
      </c>
      <c r="Q66" s="111">
        <f>2135020</f>
        <v>2135020</v>
      </c>
      <c r="R66" s="82"/>
      <c r="S66" s="82"/>
      <c r="T66" s="109">
        <f t="shared" si="2"/>
        <v>1752772</v>
      </c>
      <c r="U66" s="83">
        <f t="shared" si="3"/>
        <v>7.0993503396936877</v>
      </c>
      <c r="V66" s="83">
        <f t="shared" si="4"/>
        <v>172.72390422572153</v>
      </c>
      <c r="W66" s="84">
        <f>(14824+177156)/K66</f>
        <v>6.4354016142473186E-2</v>
      </c>
      <c r="X66" s="84">
        <f t="shared" si="5"/>
        <v>0.45083996263174575</v>
      </c>
      <c r="Y66" s="109">
        <f t="shared" si="7"/>
        <v>116409</v>
      </c>
      <c r="Z66" s="109">
        <v>-2098268</v>
      </c>
      <c r="AA66" s="112">
        <v>-345496</v>
      </c>
    </row>
    <row r="67" spans="2:27" s="8" customFormat="1">
      <c r="B67" s="75" t="s">
        <v>16</v>
      </c>
      <c r="C67" s="96"/>
      <c r="D67" s="76" t="s">
        <v>369</v>
      </c>
      <c r="E67" s="77" t="s">
        <v>108</v>
      </c>
      <c r="F67" s="78">
        <v>39264</v>
      </c>
      <c r="G67" s="79" t="s">
        <v>429</v>
      </c>
      <c r="H67" s="109">
        <v>893917</v>
      </c>
      <c r="I67" s="109">
        <v>1132434</v>
      </c>
      <c r="J67" s="110">
        <f t="shared" si="0"/>
        <v>1426901</v>
      </c>
      <c r="K67" s="110">
        <v>2559335</v>
      </c>
      <c r="L67" s="111">
        <v>354938</v>
      </c>
      <c r="M67" s="111">
        <f t="shared" si="6"/>
        <v>4255131</v>
      </c>
      <c r="N67" s="111">
        <v>4610069</v>
      </c>
      <c r="O67" s="111">
        <f t="shared" si="1"/>
        <v>-2050734</v>
      </c>
      <c r="P67" s="111">
        <f>3023223+782315+160650+15863</f>
        <v>3982051</v>
      </c>
      <c r="Q67" s="111">
        <f>3712900+6149</f>
        <v>3719049</v>
      </c>
      <c r="R67" s="82"/>
      <c r="S67" s="82"/>
      <c r="T67" s="109">
        <f t="shared" si="2"/>
        <v>263002</v>
      </c>
      <c r="U67" s="83">
        <f t="shared" si="3"/>
        <v>3.1905121457832073</v>
      </c>
      <c r="V67" s="83">
        <f t="shared" si="4"/>
        <v>87.732026386315439</v>
      </c>
      <c r="W67" s="84"/>
      <c r="X67" s="84">
        <f t="shared" si="5"/>
        <v>6.6046868812076998E-2</v>
      </c>
      <c r="Y67" s="109" t="s">
        <v>352</v>
      </c>
      <c r="Z67" s="109">
        <v>-1479839</v>
      </c>
      <c r="AA67" s="112">
        <v>-1216837</v>
      </c>
    </row>
    <row r="68" spans="2:27" s="8" customFormat="1">
      <c r="B68" s="75" t="s">
        <v>16</v>
      </c>
      <c r="C68" s="96"/>
      <c r="D68" s="76">
        <v>142968</v>
      </c>
      <c r="E68" s="77" t="s">
        <v>113</v>
      </c>
      <c r="F68" s="78">
        <v>37438</v>
      </c>
      <c r="G68" s="79" t="s">
        <v>346</v>
      </c>
      <c r="H68" s="109">
        <v>230080</v>
      </c>
      <c r="I68" s="109">
        <v>259328</v>
      </c>
      <c r="J68" s="110">
        <f t="shared" si="0"/>
        <v>121903</v>
      </c>
      <c r="K68" s="110">
        <v>381231</v>
      </c>
      <c r="L68" s="111">
        <v>14732</v>
      </c>
      <c r="M68" s="111">
        <f t="shared" si="6"/>
        <v>2107097</v>
      </c>
      <c r="N68" s="111">
        <v>2121829</v>
      </c>
      <c r="O68" s="111">
        <f t="shared" si="1"/>
        <v>-1740598</v>
      </c>
      <c r="P68" s="111">
        <f>2310739+687169+374</f>
        <v>2998282</v>
      </c>
      <c r="Q68" s="111">
        <f>2936096</f>
        <v>2936096</v>
      </c>
      <c r="R68" s="82"/>
      <c r="S68" s="82"/>
      <c r="T68" s="109">
        <f t="shared" si="2"/>
        <v>62186</v>
      </c>
      <c r="U68" s="83">
        <f t="shared" si="3"/>
        <v>17.603040999185446</v>
      </c>
      <c r="V68" s="83">
        <f t="shared" si="4"/>
        <v>28.602334528571273</v>
      </c>
      <c r="W68" s="84"/>
      <c r="X68" s="84">
        <f t="shared" si="5"/>
        <v>2.0740544084912625E-2</v>
      </c>
      <c r="Y68" s="109">
        <f t="shared" si="7"/>
        <v>1940</v>
      </c>
      <c r="Z68" s="109">
        <v>-1725103</v>
      </c>
      <c r="AA68" s="112">
        <v>-1662917</v>
      </c>
    </row>
    <row r="69" spans="2:27" s="8" customFormat="1">
      <c r="B69" s="75" t="s">
        <v>16</v>
      </c>
      <c r="C69" s="96"/>
      <c r="D69" s="76">
        <v>142968</v>
      </c>
      <c r="E69" s="77" t="s">
        <v>113</v>
      </c>
      <c r="F69" s="78">
        <v>37438</v>
      </c>
      <c r="G69" s="79" t="s">
        <v>349</v>
      </c>
      <c r="H69" s="109">
        <v>228140</v>
      </c>
      <c r="I69" s="109">
        <v>270919</v>
      </c>
      <c r="J69" s="110">
        <f t="shared" si="0"/>
        <v>90562</v>
      </c>
      <c r="K69" s="110">
        <v>361481</v>
      </c>
      <c r="L69" s="111">
        <v>46065</v>
      </c>
      <c r="M69" s="111">
        <f t="shared" si="6"/>
        <v>1754299</v>
      </c>
      <c r="N69" s="111">
        <v>1800364</v>
      </c>
      <c r="O69" s="111">
        <f t="shared" si="1"/>
        <v>-1438883</v>
      </c>
      <c r="P69" s="111">
        <f>2577043+688514+986+800</f>
        <v>3267343</v>
      </c>
      <c r="Q69" s="111">
        <f>2852656</f>
        <v>2852656</v>
      </c>
      <c r="R69" s="82"/>
      <c r="S69" s="82"/>
      <c r="T69" s="109">
        <f t="shared" si="2"/>
        <v>414687</v>
      </c>
      <c r="U69" s="83">
        <f t="shared" si="3"/>
        <v>5.8812330402691853</v>
      </c>
      <c r="V69" s="83">
        <f t="shared" si="4"/>
        <v>29.190726116293025</v>
      </c>
      <c r="W69" s="84"/>
      <c r="X69" s="84">
        <f t="shared" si="5"/>
        <v>0.12691872264405665</v>
      </c>
      <c r="Y69" s="109">
        <f t="shared" si="7"/>
        <v>2335</v>
      </c>
      <c r="Z69" s="109">
        <v>-2139790</v>
      </c>
      <c r="AA69" s="112">
        <v>-1725103</v>
      </c>
    </row>
    <row r="70" spans="2:27" s="8" customFormat="1">
      <c r="B70" s="75" t="s">
        <v>16</v>
      </c>
      <c r="C70" s="96"/>
      <c r="D70" s="76">
        <v>142968</v>
      </c>
      <c r="E70" s="77" t="s">
        <v>113</v>
      </c>
      <c r="F70" s="78">
        <v>37438</v>
      </c>
      <c r="G70" s="79" t="s">
        <v>351</v>
      </c>
      <c r="H70" s="109">
        <v>225805</v>
      </c>
      <c r="I70" s="109">
        <v>278279</v>
      </c>
      <c r="J70" s="110">
        <f t="shared" si="0"/>
        <v>0</v>
      </c>
      <c r="K70" s="110">
        <v>278279</v>
      </c>
      <c r="L70" s="111">
        <v>54061</v>
      </c>
      <c r="M70" s="111">
        <f t="shared" si="6"/>
        <v>2071809</v>
      </c>
      <c r="N70" s="111">
        <v>2125870</v>
      </c>
      <c r="O70" s="111">
        <f t="shared" si="1"/>
        <v>-1847591</v>
      </c>
      <c r="P70" s="111">
        <f>2383399+581921+297</f>
        <v>2965617</v>
      </c>
      <c r="Q70" s="111">
        <f>2110768</f>
        <v>2110768</v>
      </c>
      <c r="R70" s="82"/>
      <c r="S70" s="82"/>
      <c r="T70" s="109">
        <f t="shared" si="2"/>
        <v>854849</v>
      </c>
      <c r="U70" s="83">
        <f t="shared" si="3"/>
        <v>5.1475000462440574</v>
      </c>
      <c r="V70" s="83">
        <f t="shared" si="4"/>
        <v>39.046842192036266</v>
      </c>
      <c r="W70" s="84"/>
      <c r="X70" s="84">
        <f t="shared" si="5"/>
        <v>0.28825333817549603</v>
      </c>
      <c r="Y70" s="109">
        <f t="shared" si="7"/>
        <v>6319</v>
      </c>
      <c r="Z70" s="109">
        <v>-2994639</v>
      </c>
      <c r="AA70" s="112">
        <v>-2139790</v>
      </c>
    </row>
    <row r="71" spans="2:27" s="8" customFormat="1">
      <c r="B71" s="75" t="s">
        <v>16</v>
      </c>
      <c r="C71" s="96"/>
      <c r="D71" s="76">
        <v>142968</v>
      </c>
      <c r="E71" s="77" t="s">
        <v>113</v>
      </c>
      <c r="F71" s="78">
        <v>37438</v>
      </c>
      <c r="G71" s="79" t="s">
        <v>429</v>
      </c>
      <c r="H71" s="109">
        <v>219486</v>
      </c>
      <c r="I71" s="109">
        <v>302589</v>
      </c>
      <c r="J71" s="110">
        <f t="shared" ref="J71:J125" si="13">K71-I71</f>
        <v>0</v>
      </c>
      <c r="K71" s="110">
        <v>302589</v>
      </c>
      <c r="L71" s="111">
        <v>86279</v>
      </c>
      <c r="M71" s="111">
        <f t="shared" si="6"/>
        <v>2775632</v>
      </c>
      <c r="N71" s="111">
        <v>2861911</v>
      </c>
      <c r="O71" s="111">
        <f t="shared" ref="O71:O125" si="14">K71-N71</f>
        <v>-2559322</v>
      </c>
      <c r="P71" s="111">
        <f>2493799+629115+246+3612</f>
        <v>3126772</v>
      </c>
      <c r="Q71" s="111">
        <f>3104823</f>
        <v>3104823</v>
      </c>
      <c r="R71" s="82"/>
      <c r="S71" s="82"/>
      <c r="T71" s="109">
        <f t="shared" ref="T71:T125" si="15">P71-Q71</f>
        <v>21949</v>
      </c>
      <c r="U71" s="83">
        <f t="shared" ref="U71:U125" si="16">I71/L71</f>
        <v>3.5070990623442553</v>
      </c>
      <c r="V71" s="83">
        <f t="shared" ref="V71:V125" si="17">H71/(Q71/365)</f>
        <v>25.80256265816119</v>
      </c>
      <c r="W71" s="84"/>
      <c r="X71" s="84">
        <f t="shared" ref="X71:X125" si="18">T71/P71</f>
        <v>7.0196995495674132E-3</v>
      </c>
      <c r="Y71" s="109" t="s">
        <v>352</v>
      </c>
      <c r="Z71" s="109">
        <v>-2458392</v>
      </c>
      <c r="AA71" s="112">
        <v>-2436443</v>
      </c>
    </row>
    <row r="72" spans="2:27" s="8" customFormat="1">
      <c r="B72" s="75" t="s">
        <v>16</v>
      </c>
      <c r="C72" s="96"/>
      <c r="D72" s="76" t="s">
        <v>371</v>
      </c>
      <c r="E72" s="77" t="s">
        <v>117</v>
      </c>
      <c r="F72" s="78">
        <v>38169</v>
      </c>
      <c r="G72" s="79" t="s">
        <v>346</v>
      </c>
      <c r="H72" s="109">
        <v>368016</v>
      </c>
      <c r="I72" s="109">
        <v>381313</v>
      </c>
      <c r="J72" s="110">
        <f t="shared" si="13"/>
        <v>110471</v>
      </c>
      <c r="K72" s="110">
        <v>491784</v>
      </c>
      <c r="L72" s="111">
        <v>15325</v>
      </c>
      <c r="M72" s="111">
        <f t="shared" si="6"/>
        <v>1806777</v>
      </c>
      <c r="N72" s="111">
        <v>1822102</v>
      </c>
      <c r="O72" s="111">
        <f t="shared" si="14"/>
        <v>-1330318</v>
      </c>
      <c r="P72" s="111">
        <f>1763807+792187+17961+3944</f>
        <v>2577899</v>
      </c>
      <c r="Q72" s="111">
        <f>2348557</f>
        <v>2348557</v>
      </c>
      <c r="R72" s="82"/>
      <c r="S72" s="82"/>
      <c r="T72" s="109">
        <f t="shared" si="15"/>
        <v>229342</v>
      </c>
      <c r="U72" s="83">
        <f t="shared" si="16"/>
        <v>24.881761827079934</v>
      </c>
      <c r="V72" s="83">
        <f t="shared" si="17"/>
        <v>57.195052110721612</v>
      </c>
      <c r="W72" s="84"/>
      <c r="X72" s="84">
        <f t="shared" si="18"/>
        <v>8.8964695668837301E-2</v>
      </c>
      <c r="Y72" s="109">
        <f t="shared" si="7"/>
        <v>41560</v>
      </c>
      <c r="Z72" s="109">
        <v>-1552251</v>
      </c>
      <c r="AA72" s="112">
        <v>-1322909</v>
      </c>
    </row>
    <row r="73" spans="2:27" s="8" customFormat="1">
      <c r="B73" s="75" t="s">
        <v>16</v>
      </c>
      <c r="C73" s="96"/>
      <c r="D73" s="76" t="s">
        <v>371</v>
      </c>
      <c r="E73" s="77" t="s">
        <v>117</v>
      </c>
      <c r="F73" s="78">
        <v>38169</v>
      </c>
      <c r="G73" s="79" t="s">
        <v>349</v>
      </c>
      <c r="H73" s="109">
        <v>326456</v>
      </c>
      <c r="I73" s="109">
        <v>407027</v>
      </c>
      <c r="J73" s="110">
        <f t="shared" si="13"/>
        <v>103501</v>
      </c>
      <c r="K73" s="110">
        <v>510528</v>
      </c>
      <c r="L73" s="111">
        <v>77496</v>
      </c>
      <c r="M73" s="111">
        <f t="shared" si="6"/>
        <v>1597087</v>
      </c>
      <c r="N73" s="111">
        <v>1674583</v>
      </c>
      <c r="O73" s="111">
        <f t="shared" si="14"/>
        <v>-1164055</v>
      </c>
      <c r="P73" s="111">
        <f>1898212+529765+17940+6038</f>
        <v>2451955</v>
      </c>
      <c r="Q73" s="111">
        <f>1887714</f>
        <v>1887714</v>
      </c>
      <c r="R73" s="82"/>
      <c r="S73" s="82"/>
      <c r="T73" s="109">
        <f t="shared" si="15"/>
        <v>564241</v>
      </c>
      <c r="U73" s="83">
        <f t="shared" si="16"/>
        <v>5.2522323732837828</v>
      </c>
      <c r="V73" s="83">
        <f t="shared" si="17"/>
        <v>63.122083112166358</v>
      </c>
      <c r="W73" s="84"/>
      <c r="X73" s="84">
        <f t="shared" si="18"/>
        <v>0.23011882355100319</v>
      </c>
      <c r="Y73" s="109">
        <f t="shared" si="7"/>
        <v>-13356</v>
      </c>
      <c r="Z73" s="109">
        <v>-2116492</v>
      </c>
      <c r="AA73" s="112">
        <v>-1552251</v>
      </c>
    </row>
    <row r="74" spans="2:27" s="11" customFormat="1">
      <c r="B74" s="75" t="s">
        <v>16</v>
      </c>
      <c r="C74" s="96"/>
      <c r="D74" s="76" t="s">
        <v>371</v>
      </c>
      <c r="E74" s="77" t="s">
        <v>117</v>
      </c>
      <c r="F74" s="78">
        <v>38169</v>
      </c>
      <c r="G74" s="79" t="s">
        <v>351</v>
      </c>
      <c r="H74" s="109">
        <v>339812</v>
      </c>
      <c r="I74" s="109">
        <v>388098</v>
      </c>
      <c r="J74" s="110">
        <f t="shared" si="13"/>
        <v>0</v>
      </c>
      <c r="K74" s="110">
        <v>388098</v>
      </c>
      <c r="L74" s="111">
        <v>58389</v>
      </c>
      <c r="M74" s="111">
        <f t="shared" si="6"/>
        <v>2066538</v>
      </c>
      <c r="N74" s="111">
        <v>2124927</v>
      </c>
      <c r="O74" s="111">
        <f t="shared" si="14"/>
        <v>-1736829</v>
      </c>
      <c r="P74" s="111">
        <f>1998988+523551+17940+4191</f>
        <v>2544670</v>
      </c>
      <c r="Q74" s="111">
        <f>1441846</f>
        <v>1441846</v>
      </c>
      <c r="R74" s="82"/>
      <c r="S74" s="82"/>
      <c r="T74" s="109">
        <f t="shared" si="15"/>
        <v>1102824</v>
      </c>
      <c r="U74" s="83">
        <f t="shared" si="16"/>
        <v>6.6467656579150178</v>
      </c>
      <c r="V74" s="83">
        <f t="shared" si="17"/>
        <v>86.022626549576032</v>
      </c>
      <c r="W74" s="84"/>
      <c r="X74" s="84">
        <f t="shared" si="18"/>
        <v>0.43338586142800439</v>
      </c>
      <c r="Y74" s="109">
        <f t="shared" si="7"/>
        <v>2365</v>
      </c>
      <c r="Z74" s="109">
        <v>-3219316</v>
      </c>
      <c r="AA74" s="112">
        <v>-2116492</v>
      </c>
    </row>
    <row r="75" spans="2:27" s="11" customFormat="1">
      <c r="B75" s="75" t="s">
        <v>16</v>
      </c>
      <c r="C75" s="96"/>
      <c r="D75" s="76" t="s">
        <v>371</v>
      </c>
      <c r="E75" s="77" t="s">
        <v>117</v>
      </c>
      <c r="F75" s="78">
        <v>38169</v>
      </c>
      <c r="G75" s="79" t="s">
        <v>429</v>
      </c>
      <c r="H75" s="109">
        <v>337447</v>
      </c>
      <c r="I75" s="109">
        <v>432877</v>
      </c>
      <c r="J75" s="110">
        <f t="shared" si="13"/>
        <v>2674</v>
      </c>
      <c r="K75" s="110">
        <v>435551</v>
      </c>
      <c r="L75" s="111">
        <v>98528</v>
      </c>
      <c r="M75" s="111">
        <f t="shared" si="6"/>
        <v>2781834</v>
      </c>
      <c r="N75" s="111">
        <v>2880362</v>
      </c>
      <c r="O75" s="111">
        <f t="shared" si="14"/>
        <v>-2444811</v>
      </c>
      <c r="P75" s="111">
        <f>2112434+559191+3064+19954+2007</f>
        <v>2696650</v>
      </c>
      <c r="Q75" s="111">
        <f>2487202</f>
        <v>2487202</v>
      </c>
      <c r="R75" s="82"/>
      <c r="S75" s="82"/>
      <c r="T75" s="109">
        <f t="shared" si="15"/>
        <v>209448</v>
      </c>
      <c r="U75" s="83">
        <f t="shared" si="16"/>
        <v>4.3934414582656709</v>
      </c>
      <c r="V75" s="83">
        <f t="shared" si="17"/>
        <v>49.520768719227469</v>
      </c>
      <c r="W75" s="84"/>
      <c r="X75" s="84">
        <f t="shared" si="18"/>
        <v>7.766970129605251E-2</v>
      </c>
      <c r="Y75" s="109" t="s">
        <v>352</v>
      </c>
      <c r="Z75" s="109">
        <v>-2917209</v>
      </c>
      <c r="AA75" s="112">
        <v>-2707761</v>
      </c>
    </row>
    <row r="76" spans="2:27" s="11" customFormat="1">
      <c r="B76" s="75" t="s">
        <v>123</v>
      </c>
      <c r="C76" s="96"/>
      <c r="D76" s="76" t="s">
        <v>372</v>
      </c>
      <c r="E76" s="77" t="s">
        <v>121</v>
      </c>
      <c r="F76" s="78">
        <v>42515</v>
      </c>
      <c r="G76" s="79" t="s">
        <v>346</v>
      </c>
      <c r="H76" s="109">
        <v>794123</v>
      </c>
      <c r="I76" s="109">
        <v>1108011</v>
      </c>
      <c r="J76" s="109">
        <f t="shared" si="13"/>
        <v>1273</v>
      </c>
      <c r="K76" s="109">
        <v>1109284</v>
      </c>
      <c r="L76" s="109">
        <v>1069085</v>
      </c>
      <c r="M76" s="109">
        <f t="shared" ref="M76:M130" si="19">N76-L76</f>
        <v>40199</v>
      </c>
      <c r="N76" s="109">
        <v>1109284</v>
      </c>
      <c r="O76" s="109">
        <f t="shared" si="14"/>
        <v>0</v>
      </c>
      <c r="P76" s="109">
        <v>1816254</v>
      </c>
      <c r="Q76" s="109">
        <v>1808524</v>
      </c>
      <c r="R76" s="80"/>
      <c r="S76" s="80"/>
      <c r="T76" s="109">
        <f t="shared" si="15"/>
        <v>7730</v>
      </c>
      <c r="U76" s="83">
        <f t="shared" si="16"/>
        <v>1.0364105753985886</v>
      </c>
      <c r="V76" s="83">
        <f t="shared" si="17"/>
        <v>160.27152252333946</v>
      </c>
      <c r="W76" s="84"/>
      <c r="X76" s="84">
        <f t="shared" si="18"/>
        <v>4.2560126502130206E-3</v>
      </c>
      <c r="Y76" s="109">
        <f t="shared" ref="Y76:Y129" si="20">H76-H77</f>
        <v>-92263</v>
      </c>
      <c r="Z76" s="109">
        <v>32469</v>
      </c>
      <c r="AA76" s="112">
        <v>40199</v>
      </c>
    </row>
    <row r="77" spans="2:27" s="11" customFormat="1">
      <c r="B77" s="75" t="s">
        <v>123</v>
      </c>
      <c r="C77" s="96"/>
      <c r="D77" s="76" t="s">
        <v>372</v>
      </c>
      <c r="E77" s="77" t="s">
        <v>121</v>
      </c>
      <c r="F77" s="78">
        <v>42515</v>
      </c>
      <c r="G77" s="79" t="s">
        <v>349</v>
      </c>
      <c r="H77" s="109">
        <v>886386</v>
      </c>
      <c r="I77" s="109">
        <v>1272412</v>
      </c>
      <c r="J77" s="109">
        <f t="shared" si="13"/>
        <v>4868</v>
      </c>
      <c r="K77" s="109">
        <v>1277280</v>
      </c>
      <c r="L77" s="109">
        <v>1244811</v>
      </c>
      <c r="M77" s="109">
        <f t="shared" si="19"/>
        <v>0</v>
      </c>
      <c r="N77" s="109">
        <v>1244811</v>
      </c>
      <c r="O77" s="109">
        <f t="shared" si="14"/>
        <v>32469</v>
      </c>
      <c r="P77" s="109">
        <v>1730308</v>
      </c>
      <c r="Q77" s="109">
        <v>1738271</v>
      </c>
      <c r="R77" s="80"/>
      <c r="S77" s="80"/>
      <c r="T77" s="109">
        <f t="shared" si="15"/>
        <v>-7963</v>
      </c>
      <c r="U77" s="83">
        <f t="shared" si="16"/>
        <v>1.0221728439096376</v>
      </c>
      <c r="V77" s="83">
        <f t="shared" si="17"/>
        <v>186.12223870731319</v>
      </c>
      <c r="W77" s="84"/>
      <c r="X77" s="84">
        <f t="shared" si="18"/>
        <v>-4.6020708451905675E-3</v>
      </c>
      <c r="Y77" s="109">
        <f t="shared" si="20"/>
        <v>515230</v>
      </c>
      <c r="Z77" s="109">
        <v>40432</v>
      </c>
      <c r="AA77" s="112">
        <v>32469</v>
      </c>
    </row>
    <row r="78" spans="2:27" s="11" customFormat="1">
      <c r="B78" s="75" t="s">
        <v>123</v>
      </c>
      <c r="C78" s="96"/>
      <c r="D78" s="76" t="s">
        <v>372</v>
      </c>
      <c r="E78" s="77" t="s">
        <v>121</v>
      </c>
      <c r="F78" s="78">
        <v>42515</v>
      </c>
      <c r="G78" s="79" t="s">
        <v>351</v>
      </c>
      <c r="H78" s="109">
        <v>371156</v>
      </c>
      <c r="I78" s="109">
        <v>651976</v>
      </c>
      <c r="J78" s="109">
        <f>K78-I78</f>
        <v>17431</v>
      </c>
      <c r="K78" s="109">
        <v>669407</v>
      </c>
      <c r="L78" s="109">
        <v>628975</v>
      </c>
      <c r="M78" s="109">
        <f t="shared" si="19"/>
        <v>0</v>
      </c>
      <c r="N78" s="109">
        <v>628975</v>
      </c>
      <c r="O78" s="109">
        <f>K78-N78</f>
        <v>40432</v>
      </c>
      <c r="P78" s="109">
        <v>1616442</v>
      </c>
      <c r="Q78" s="109">
        <v>1613413</v>
      </c>
      <c r="R78" s="80"/>
      <c r="S78" s="80"/>
      <c r="T78" s="109">
        <f t="shared" si="15"/>
        <v>3029</v>
      </c>
      <c r="U78" s="83">
        <f t="shared" si="16"/>
        <v>1.0365690210262728</v>
      </c>
      <c r="V78" s="83">
        <f t="shared" si="17"/>
        <v>83.966064485658663</v>
      </c>
      <c r="W78" s="84"/>
      <c r="X78" s="84">
        <f t="shared" si="18"/>
        <v>1.8738686572113321E-3</v>
      </c>
      <c r="Y78" s="109">
        <f t="shared" si="20"/>
        <v>209123</v>
      </c>
      <c r="Z78" s="109">
        <v>37403</v>
      </c>
      <c r="AA78" s="112">
        <v>40432</v>
      </c>
    </row>
    <row r="79" spans="2:27" s="11" customFormat="1">
      <c r="B79" s="75" t="s">
        <v>123</v>
      </c>
      <c r="C79" s="96"/>
      <c r="D79" s="76" t="s">
        <v>372</v>
      </c>
      <c r="E79" s="77" t="s">
        <v>121</v>
      </c>
      <c r="F79" s="78">
        <v>42515</v>
      </c>
      <c r="G79" s="79" t="s">
        <v>429</v>
      </c>
      <c r="H79" s="109">
        <v>162033</v>
      </c>
      <c r="I79" s="109">
        <v>386352</v>
      </c>
      <c r="J79" s="109">
        <f t="shared" si="13"/>
        <v>0</v>
      </c>
      <c r="K79" s="109">
        <v>386352</v>
      </c>
      <c r="L79" s="109">
        <v>376029</v>
      </c>
      <c r="M79" s="109">
        <f t="shared" si="19"/>
        <v>0</v>
      </c>
      <c r="N79" s="109">
        <v>376029</v>
      </c>
      <c r="O79" s="109">
        <f t="shared" si="14"/>
        <v>10323</v>
      </c>
      <c r="P79" s="109">
        <f>901907+489964</f>
        <v>1391871</v>
      </c>
      <c r="Q79" s="109">
        <v>1381548</v>
      </c>
      <c r="R79" s="80"/>
      <c r="S79" s="80"/>
      <c r="T79" s="109">
        <f>P79-Q79</f>
        <v>10323</v>
      </c>
      <c r="U79" s="83">
        <f>I79/L79</f>
        <v>1.0274526698738662</v>
      </c>
      <c r="V79" s="83">
        <f t="shared" si="17"/>
        <v>42.808534339740639</v>
      </c>
      <c r="W79" s="84"/>
      <c r="X79" s="84">
        <f t="shared" si="18"/>
        <v>7.4166355933847315E-3</v>
      </c>
      <c r="Y79" s="109" t="s">
        <v>352</v>
      </c>
      <c r="Z79" s="109">
        <v>0</v>
      </c>
      <c r="AA79" s="112">
        <v>37403</v>
      </c>
    </row>
    <row r="80" spans="2:27" s="11" customFormat="1">
      <c r="B80" s="75" t="s">
        <v>16</v>
      </c>
      <c r="C80" s="96"/>
      <c r="D80" s="76" t="s">
        <v>375</v>
      </c>
      <c r="E80" s="77" t="s">
        <v>130</v>
      </c>
      <c r="F80" s="78">
        <v>41091</v>
      </c>
      <c r="G80" s="79" t="s">
        <v>346</v>
      </c>
      <c r="H80" s="109">
        <v>70868</v>
      </c>
      <c r="I80" s="109">
        <v>225090</v>
      </c>
      <c r="J80" s="110">
        <f t="shared" si="13"/>
        <v>105622</v>
      </c>
      <c r="K80" s="110">
        <v>330712</v>
      </c>
      <c r="L80" s="111">
        <v>1953430</v>
      </c>
      <c r="M80" s="111">
        <f t="shared" si="19"/>
        <v>1866685</v>
      </c>
      <c r="N80" s="111">
        <v>3820115</v>
      </c>
      <c r="O80" s="111">
        <f t="shared" si="14"/>
        <v>-3489403</v>
      </c>
      <c r="P80" s="111">
        <f>2228510+702855</f>
        <v>2931365</v>
      </c>
      <c r="Q80" s="111">
        <f>2716819+86362</f>
        <v>2803181</v>
      </c>
      <c r="R80" s="82"/>
      <c r="S80" s="82"/>
      <c r="T80" s="109">
        <f t="shared" si="15"/>
        <v>128184</v>
      </c>
      <c r="U80" s="83">
        <f t="shared" si="16"/>
        <v>0.11522808598209304</v>
      </c>
      <c r="V80" s="83">
        <f t="shared" si="17"/>
        <v>9.2276667114966884</v>
      </c>
      <c r="W80" s="84"/>
      <c r="X80" s="84">
        <f t="shared" si="18"/>
        <v>4.3728433681919518E-2</v>
      </c>
      <c r="Y80" s="109">
        <f t="shared" si="20"/>
        <v>3781</v>
      </c>
      <c r="Z80" s="109">
        <v>-4158019</v>
      </c>
      <c r="AA80" s="112">
        <v>-4029835</v>
      </c>
    </row>
    <row r="81" spans="1:57">
      <c r="A81" s="11"/>
      <c r="B81" s="75" t="s">
        <v>16</v>
      </c>
      <c r="C81" s="96"/>
      <c r="D81" s="76" t="s">
        <v>375</v>
      </c>
      <c r="E81" s="77" t="s">
        <v>130</v>
      </c>
      <c r="F81" s="78">
        <v>41091</v>
      </c>
      <c r="G81" s="79" t="s">
        <v>349</v>
      </c>
      <c r="H81" s="109">
        <v>67087</v>
      </c>
      <c r="I81" s="109">
        <v>294522</v>
      </c>
      <c r="J81" s="110">
        <f t="shared" si="13"/>
        <v>114112</v>
      </c>
      <c r="K81" s="110">
        <v>408634</v>
      </c>
      <c r="L81" s="111">
        <v>2020733</v>
      </c>
      <c r="M81" s="111">
        <f t="shared" si="19"/>
        <v>1941014</v>
      </c>
      <c r="N81" s="111">
        <v>3961747</v>
      </c>
      <c r="O81" s="111">
        <f t="shared" si="14"/>
        <v>-3553113</v>
      </c>
      <c r="P81" s="111">
        <f>2132128+536379</f>
        <v>2668507</v>
      </c>
      <c r="Q81" s="111">
        <f>2553147+103273</f>
        <v>2656420</v>
      </c>
      <c r="R81" s="82"/>
      <c r="S81" s="82"/>
      <c r="T81" s="109">
        <f t="shared" si="15"/>
        <v>12087</v>
      </c>
      <c r="U81" s="83">
        <f t="shared" si="16"/>
        <v>0.14575008177725607</v>
      </c>
      <c r="V81" s="83">
        <f t="shared" si="17"/>
        <v>9.2179531098245011</v>
      </c>
      <c r="W81" s="84">
        <f>(17656+119391)/K81</f>
        <v>0.33537835813955763</v>
      </c>
      <c r="X81" s="84">
        <f t="shared" si="18"/>
        <v>4.5294990794477958E-3</v>
      </c>
      <c r="Y81" s="109">
        <f t="shared" si="20"/>
        <v>37669</v>
      </c>
      <c r="Z81" s="109">
        <v>-4170106</v>
      </c>
      <c r="AA81" s="112">
        <v>-4158019</v>
      </c>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row>
    <row r="82" spans="1:57">
      <c r="A82" s="11"/>
      <c r="B82" s="75" t="s">
        <v>16</v>
      </c>
      <c r="C82" s="96"/>
      <c r="D82" s="76" t="s">
        <v>375</v>
      </c>
      <c r="E82" s="77" t="s">
        <v>130</v>
      </c>
      <c r="F82" s="78">
        <v>41091</v>
      </c>
      <c r="G82" s="79" t="s">
        <v>351</v>
      </c>
      <c r="H82" s="109">
        <v>29418</v>
      </c>
      <c r="I82" s="109">
        <v>131040</v>
      </c>
      <c r="J82" s="110">
        <f t="shared" si="13"/>
        <v>0</v>
      </c>
      <c r="K82" s="110">
        <v>131040</v>
      </c>
      <c r="L82" s="111">
        <v>1601597</v>
      </c>
      <c r="M82" s="111">
        <f t="shared" si="19"/>
        <v>3429770</v>
      </c>
      <c r="N82" s="111">
        <v>5031367</v>
      </c>
      <c r="O82" s="111">
        <f t="shared" si="14"/>
        <v>-4900327</v>
      </c>
      <c r="P82" s="111">
        <f>2134899+440926</f>
        <v>2575825</v>
      </c>
      <c r="Q82" s="111">
        <f>1727245+67365</f>
        <v>1794610</v>
      </c>
      <c r="R82" s="82"/>
      <c r="S82" s="82"/>
      <c r="T82" s="109">
        <f t="shared" si="15"/>
        <v>781215</v>
      </c>
      <c r="U82" s="83">
        <f t="shared" si="16"/>
        <v>8.1818335074303958E-2</v>
      </c>
      <c r="V82" s="83">
        <f t="shared" si="17"/>
        <v>5.9832331258602149</v>
      </c>
      <c r="W82" s="84">
        <f>(17049+168102)/K82</f>
        <v>1.4129349816849817</v>
      </c>
      <c r="X82" s="84">
        <f t="shared" si="18"/>
        <v>0.30328729630312617</v>
      </c>
      <c r="Y82" s="109">
        <f t="shared" si="20"/>
        <v>-4850</v>
      </c>
      <c r="Z82" s="109">
        <v>-4951321</v>
      </c>
      <c r="AA82" s="112">
        <v>-4170106</v>
      </c>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row>
    <row r="83" spans="1:57">
      <c r="A83" s="11"/>
      <c r="B83" s="75" t="s">
        <v>16</v>
      </c>
      <c r="C83" s="96"/>
      <c r="D83" s="76" t="s">
        <v>375</v>
      </c>
      <c r="E83" s="77" t="s">
        <v>130</v>
      </c>
      <c r="F83" s="78">
        <v>41091</v>
      </c>
      <c r="G83" s="79" t="s">
        <v>429</v>
      </c>
      <c r="H83" s="109">
        <v>34268</v>
      </c>
      <c r="I83" s="109">
        <v>131735</v>
      </c>
      <c r="J83" s="110">
        <f t="shared" si="13"/>
        <v>0</v>
      </c>
      <c r="K83" s="110">
        <v>131735</v>
      </c>
      <c r="L83" s="111">
        <v>1371778</v>
      </c>
      <c r="M83" s="111">
        <f t="shared" si="19"/>
        <v>3773213</v>
      </c>
      <c r="N83" s="111">
        <v>5144991</v>
      </c>
      <c r="O83" s="111">
        <f t="shared" si="14"/>
        <v>-5013256</v>
      </c>
      <c r="P83" s="111">
        <f>2504706+538023+203604</f>
        <v>3246333</v>
      </c>
      <c r="Q83" s="111">
        <f>3707603+108695</f>
        <v>3816298</v>
      </c>
      <c r="R83" s="82"/>
      <c r="S83" s="82"/>
      <c r="T83" s="109">
        <f t="shared" si="15"/>
        <v>-569965</v>
      </c>
      <c r="U83" s="83">
        <f t="shared" si="16"/>
        <v>9.60323026028993E-2</v>
      </c>
      <c r="V83" s="83">
        <f t="shared" si="17"/>
        <v>3.277474662618066</v>
      </c>
      <c r="W83" s="84">
        <f>(15898+169253)/K83</f>
        <v>1.4054806998899305</v>
      </c>
      <c r="X83" s="84">
        <f t="shared" si="18"/>
        <v>-0.17557194533031578</v>
      </c>
      <c r="Y83" s="109" t="s">
        <v>352</v>
      </c>
      <c r="Z83" s="109">
        <v>-3556153</v>
      </c>
      <c r="AA83" s="112">
        <v>-4126118</v>
      </c>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row>
    <row r="84" spans="1:57">
      <c r="A84" s="11"/>
      <c r="B84" s="75" t="s">
        <v>16</v>
      </c>
      <c r="C84" s="96"/>
      <c r="D84" s="76" t="s">
        <v>377</v>
      </c>
      <c r="E84" s="77" t="s">
        <v>134</v>
      </c>
      <c r="F84" s="78">
        <v>41456</v>
      </c>
      <c r="G84" s="79" t="s">
        <v>346</v>
      </c>
      <c r="H84" s="109">
        <v>122748</v>
      </c>
      <c r="I84" s="109">
        <v>148174</v>
      </c>
      <c r="J84" s="110">
        <f t="shared" si="13"/>
        <v>167843</v>
      </c>
      <c r="K84" s="110">
        <v>316017</v>
      </c>
      <c r="L84" s="111">
        <v>32697</v>
      </c>
      <c r="M84" s="111">
        <f t="shared" si="19"/>
        <v>3117726</v>
      </c>
      <c r="N84" s="111">
        <v>3150423</v>
      </c>
      <c r="O84" s="111">
        <f t="shared" si="14"/>
        <v>-2834406</v>
      </c>
      <c r="P84" s="111">
        <f>3350894+1470588+19440</f>
        <v>4840922</v>
      </c>
      <c r="Q84" s="111">
        <f>5237529</f>
        <v>5237529</v>
      </c>
      <c r="R84" s="82"/>
      <c r="S84" s="82"/>
      <c r="T84" s="109">
        <f t="shared" si="15"/>
        <v>-396607</v>
      </c>
      <c r="U84" s="83">
        <f t="shared" si="16"/>
        <v>4.5317307398232254</v>
      </c>
      <c r="V84" s="83">
        <f t="shared" si="17"/>
        <v>8.5542285302859415</v>
      </c>
      <c r="W84" s="84"/>
      <c r="X84" s="84">
        <f t="shared" si="18"/>
        <v>-8.1927988098135021E-2</v>
      </c>
      <c r="Y84" s="109">
        <f t="shared" si="20"/>
        <v>58140</v>
      </c>
      <c r="Z84" s="109">
        <v>-1284637</v>
      </c>
      <c r="AA84" s="112">
        <v>-1681244</v>
      </c>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row>
    <row r="85" spans="1:57">
      <c r="A85" s="11"/>
      <c r="B85" s="75" t="s">
        <v>16</v>
      </c>
      <c r="C85" s="96"/>
      <c r="D85" s="76" t="s">
        <v>377</v>
      </c>
      <c r="E85" s="77" t="s">
        <v>134</v>
      </c>
      <c r="F85" s="78">
        <v>41456</v>
      </c>
      <c r="G85" s="79" t="s">
        <v>349</v>
      </c>
      <c r="H85" s="109">
        <v>64608</v>
      </c>
      <c r="I85" s="109">
        <v>90891</v>
      </c>
      <c r="J85" s="110">
        <f t="shared" si="13"/>
        <v>85356</v>
      </c>
      <c r="K85" s="110">
        <v>176247</v>
      </c>
      <c r="L85" s="111">
        <v>28845</v>
      </c>
      <c r="M85" s="111">
        <f t="shared" si="19"/>
        <v>1635908</v>
      </c>
      <c r="N85" s="111">
        <v>1664753</v>
      </c>
      <c r="O85" s="111">
        <f t="shared" si="14"/>
        <v>-1488506</v>
      </c>
      <c r="P85" s="111">
        <f>3776786+623585+19640</f>
        <v>4420011</v>
      </c>
      <c r="Q85" s="111">
        <f>4482983</f>
        <v>4482983</v>
      </c>
      <c r="R85" s="82"/>
      <c r="S85" s="82"/>
      <c r="T85" s="109">
        <f t="shared" si="15"/>
        <v>-62972</v>
      </c>
      <c r="U85" s="83">
        <f t="shared" si="16"/>
        <v>3.1510140405616225</v>
      </c>
      <c r="V85" s="83">
        <f t="shared" si="17"/>
        <v>5.2603188546554831</v>
      </c>
      <c r="W85" s="84"/>
      <c r="X85" s="84">
        <f t="shared" si="18"/>
        <v>-1.4247023367136416E-2</v>
      </c>
      <c r="Y85" s="109">
        <f t="shared" si="20"/>
        <v>17581</v>
      </c>
      <c r="Z85" s="109">
        <v>-1221665</v>
      </c>
      <c r="AA85" s="112">
        <v>-1284637</v>
      </c>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row>
    <row r="86" spans="1:57">
      <c r="A86" s="11"/>
      <c r="B86" s="75" t="s">
        <v>16</v>
      </c>
      <c r="C86" s="96"/>
      <c r="D86" s="76" t="s">
        <v>377</v>
      </c>
      <c r="E86" s="77" t="s">
        <v>134</v>
      </c>
      <c r="F86" s="78">
        <v>41456</v>
      </c>
      <c r="G86" s="79" t="s">
        <v>351</v>
      </c>
      <c r="H86" s="109">
        <v>47027</v>
      </c>
      <c r="I86" s="109">
        <v>61853</v>
      </c>
      <c r="J86" s="110">
        <f t="shared" si="13"/>
        <v>0</v>
      </c>
      <c r="K86" s="110">
        <v>61853</v>
      </c>
      <c r="L86" s="111">
        <v>36628</v>
      </c>
      <c r="M86" s="111">
        <f t="shared" si="19"/>
        <v>1855681</v>
      </c>
      <c r="N86" s="111">
        <v>1892309</v>
      </c>
      <c r="O86" s="111">
        <f t="shared" si="14"/>
        <v>-1830456</v>
      </c>
      <c r="P86" s="111">
        <f>1782873+391012+19840</f>
        <v>2193725</v>
      </c>
      <c r="Q86" s="111">
        <f>1898149</f>
        <v>1898149</v>
      </c>
      <c r="R86" s="82"/>
      <c r="S86" s="82"/>
      <c r="T86" s="109">
        <f t="shared" si="15"/>
        <v>295576</v>
      </c>
      <c r="U86" s="83">
        <f t="shared" si="16"/>
        <v>1.6886807906519603</v>
      </c>
      <c r="V86" s="83">
        <f t="shared" si="17"/>
        <v>9.0429439417032054</v>
      </c>
      <c r="W86" s="84"/>
      <c r="X86" s="84">
        <f t="shared" si="18"/>
        <v>0.13473703404027396</v>
      </c>
      <c r="Y86" s="109">
        <f t="shared" si="20"/>
        <v>1936</v>
      </c>
      <c r="Z86" s="109">
        <v>-1517241</v>
      </c>
      <c r="AA86" s="112">
        <v>-1221665</v>
      </c>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row>
    <row r="87" spans="1:57">
      <c r="A87" s="11"/>
      <c r="B87" s="75" t="s">
        <v>16</v>
      </c>
      <c r="C87" s="96"/>
      <c r="D87" s="76" t="s">
        <v>377</v>
      </c>
      <c r="E87" s="77" t="s">
        <v>134</v>
      </c>
      <c r="F87" s="78">
        <v>41456</v>
      </c>
      <c r="G87" s="79" t="s">
        <v>429</v>
      </c>
      <c r="H87" s="109">
        <v>45091</v>
      </c>
      <c r="I87" s="109">
        <v>75612</v>
      </c>
      <c r="J87" s="110">
        <f t="shared" si="13"/>
        <v>0</v>
      </c>
      <c r="K87" s="110">
        <v>75612</v>
      </c>
      <c r="L87" s="111">
        <v>37936</v>
      </c>
      <c r="M87" s="111">
        <f t="shared" si="19"/>
        <v>2240587</v>
      </c>
      <c r="N87" s="111">
        <v>2278523</v>
      </c>
      <c r="O87" s="111">
        <f t="shared" ref="O87" si="21">K87-N87</f>
        <v>-2202911</v>
      </c>
      <c r="P87" s="111">
        <f>2102023+421191+2825+18177</f>
        <v>2544216</v>
      </c>
      <c r="Q87" s="111">
        <f>3052490</f>
        <v>3052490</v>
      </c>
      <c r="R87" s="82"/>
      <c r="S87" s="82"/>
      <c r="T87" s="109">
        <f t="shared" ref="T87" si="22">P87-Q87</f>
        <v>-508274</v>
      </c>
      <c r="U87" s="83">
        <f t="shared" ref="U87" si="23">I87/L87</f>
        <v>1.9931463517503163</v>
      </c>
      <c r="V87" s="83">
        <f t="shared" ref="V87" si="24">H87/(Q87/365)</f>
        <v>5.3917342890558198</v>
      </c>
      <c r="W87" s="84"/>
      <c r="X87" s="84">
        <f t="shared" ref="X87" si="25">T87/P87</f>
        <v>-0.19977627685699642</v>
      </c>
      <c r="Y87" s="109" t="s">
        <v>352</v>
      </c>
      <c r="Z87" s="109">
        <v>-568925</v>
      </c>
      <c r="AA87" s="112">
        <v>-1077199</v>
      </c>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row>
    <row r="88" spans="1:57">
      <c r="A88" s="11"/>
      <c r="B88" s="75" t="s">
        <v>16</v>
      </c>
      <c r="C88" s="96"/>
      <c r="D88" s="76" t="s">
        <v>379</v>
      </c>
      <c r="E88" s="77" t="s">
        <v>141</v>
      </c>
      <c r="F88" s="78">
        <v>43282</v>
      </c>
      <c r="G88" s="79" t="s">
        <v>346</v>
      </c>
      <c r="H88" s="109">
        <v>55748</v>
      </c>
      <c r="I88" s="109">
        <v>57379</v>
      </c>
      <c r="J88" s="110">
        <f t="shared" si="13"/>
        <v>61975</v>
      </c>
      <c r="K88" s="110">
        <v>119354</v>
      </c>
      <c r="L88" s="111">
        <v>506125</v>
      </c>
      <c r="M88" s="111">
        <f t="shared" si="19"/>
        <v>895503</v>
      </c>
      <c r="N88" s="111">
        <v>1401628</v>
      </c>
      <c r="O88" s="111">
        <f t="shared" si="14"/>
        <v>-1282274</v>
      </c>
      <c r="P88" s="111">
        <f>1528605+237150+2500</f>
        <v>1768255</v>
      </c>
      <c r="Q88" s="111">
        <f>2010887</f>
        <v>2010887</v>
      </c>
      <c r="R88" s="82"/>
      <c r="S88" s="82"/>
      <c r="T88" s="109">
        <f t="shared" si="15"/>
        <v>-242632</v>
      </c>
      <c r="U88" s="83">
        <f t="shared" si="16"/>
        <v>0.11336922696962212</v>
      </c>
      <c r="V88" s="83">
        <f t="shared" si="17"/>
        <v>10.118927617514062</v>
      </c>
      <c r="W88" s="84"/>
      <c r="X88" s="84">
        <f t="shared" si="18"/>
        <v>-0.13721550342003841</v>
      </c>
      <c r="Y88" s="109">
        <f t="shared" si="20"/>
        <v>13350</v>
      </c>
      <c r="Z88" s="109">
        <v>-332744</v>
      </c>
      <c r="AA88" s="112">
        <v>-575376</v>
      </c>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row>
    <row r="89" spans="1:57">
      <c r="A89" s="11"/>
      <c r="B89" s="75" t="s">
        <v>16</v>
      </c>
      <c r="C89" s="96"/>
      <c r="D89" s="76" t="s">
        <v>379</v>
      </c>
      <c r="E89" s="77" t="s">
        <v>141</v>
      </c>
      <c r="F89" s="78">
        <v>43282</v>
      </c>
      <c r="G89" s="79" t="s">
        <v>349</v>
      </c>
      <c r="H89" s="109">
        <v>42398</v>
      </c>
      <c r="I89" s="109">
        <v>51625</v>
      </c>
      <c r="J89" s="110">
        <f t="shared" si="13"/>
        <v>23202</v>
      </c>
      <c r="K89" s="110">
        <v>74827</v>
      </c>
      <c r="L89" s="111">
        <v>471080</v>
      </c>
      <c r="M89" s="111">
        <f t="shared" si="19"/>
        <v>0</v>
      </c>
      <c r="N89" s="111">
        <v>471080</v>
      </c>
      <c r="O89" s="111">
        <f t="shared" si="14"/>
        <v>-396253</v>
      </c>
      <c r="P89" s="111">
        <f>858991+96555</f>
        <v>955546</v>
      </c>
      <c r="Q89" s="111">
        <f>1288290</f>
        <v>1288290</v>
      </c>
      <c r="R89" s="82"/>
      <c r="S89" s="82"/>
      <c r="T89" s="109">
        <f t="shared" si="15"/>
        <v>-332744</v>
      </c>
      <c r="U89" s="83">
        <f t="shared" si="16"/>
        <v>0.10958860490787127</v>
      </c>
      <c r="V89" s="83">
        <f t="shared" si="17"/>
        <v>12.012256557141637</v>
      </c>
      <c r="W89" s="84"/>
      <c r="X89" s="84">
        <f t="shared" si="18"/>
        <v>-0.34822394735575263</v>
      </c>
      <c r="Y89" s="109" t="s">
        <v>352</v>
      </c>
      <c r="Z89" s="109">
        <v>0</v>
      </c>
      <c r="AA89" s="112">
        <v>-332744</v>
      </c>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row>
    <row r="90" spans="1:57">
      <c r="A90" s="11"/>
      <c r="B90" s="75" t="s">
        <v>16</v>
      </c>
      <c r="C90" s="96"/>
      <c r="D90" s="76" t="s">
        <v>380</v>
      </c>
      <c r="E90" s="77" t="s">
        <v>146</v>
      </c>
      <c r="F90" s="78">
        <v>38899</v>
      </c>
      <c r="G90" s="79" t="s">
        <v>346</v>
      </c>
      <c r="H90" s="109">
        <v>680414</v>
      </c>
      <c r="I90" s="109">
        <v>749340</v>
      </c>
      <c r="J90" s="110">
        <f t="shared" si="13"/>
        <v>371463</v>
      </c>
      <c r="K90" s="110">
        <v>1120803</v>
      </c>
      <c r="L90" s="111">
        <v>259287</v>
      </c>
      <c r="M90" s="111">
        <f t="shared" si="19"/>
        <v>4279071</v>
      </c>
      <c r="N90" s="111">
        <v>4538358</v>
      </c>
      <c r="O90" s="111">
        <f t="shared" si="14"/>
        <v>-3417555</v>
      </c>
      <c r="P90" s="111">
        <f>4520486+1020130+1300</f>
        <v>5541916</v>
      </c>
      <c r="Q90" s="111">
        <f>6030248+6397</f>
        <v>6036645</v>
      </c>
      <c r="R90" s="82"/>
      <c r="S90" s="82"/>
      <c r="T90" s="109">
        <f t="shared" si="15"/>
        <v>-494729</v>
      </c>
      <c r="U90" s="83">
        <f t="shared" si="16"/>
        <v>2.8900021983362065</v>
      </c>
      <c r="V90" s="83">
        <f t="shared" si="17"/>
        <v>41.140585540478199</v>
      </c>
      <c r="W90" s="84"/>
      <c r="X90" s="84">
        <f t="shared" si="18"/>
        <v>-8.9270389518715187E-2</v>
      </c>
      <c r="Y90" s="109">
        <f t="shared" si="20"/>
        <v>329637</v>
      </c>
      <c r="Z90" s="109">
        <v>-1502830</v>
      </c>
      <c r="AA90" s="112">
        <v>-1997559</v>
      </c>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row>
    <row r="91" spans="1:57">
      <c r="A91" s="11"/>
      <c r="B91" s="75" t="s">
        <v>16</v>
      </c>
      <c r="C91" s="96"/>
      <c r="D91" s="76" t="s">
        <v>380</v>
      </c>
      <c r="E91" s="77" t="s">
        <v>146</v>
      </c>
      <c r="F91" s="78">
        <v>38899</v>
      </c>
      <c r="G91" s="79" t="s">
        <v>349</v>
      </c>
      <c r="H91" s="109">
        <v>350777</v>
      </c>
      <c r="I91" s="109">
        <v>412175</v>
      </c>
      <c r="J91" s="110">
        <f t="shared" si="13"/>
        <v>389523</v>
      </c>
      <c r="K91" s="110">
        <v>801698</v>
      </c>
      <c r="L91" s="111">
        <v>348687</v>
      </c>
      <c r="M91" s="111">
        <f t="shared" si="19"/>
        <v>3985691</v>
      </c>
      <c r="N91" s="111">
        <v>4334378</v>
      </c>
      <c r="O91" s="111">
        <f t="shared" si="14"/>
        <v>-3532680</v>
      </c>
      <c r="P91" s="111">
        <f>4459865+807656+100000+614</f>
        <v>5368135</v>
      </c>
      <c r="Q91" s="111">
        <f>5263707</f>
        <v>5263707</v>
      </c>
      <c r="R91" s="82"/>
      <c r="S91" s="82"/>
      <c r="T91" s="109">
        <f t="shared" si="15"/>
        <v>104428</v>
      </c>
      <c r="U91" s="83">
        <f t="shared" si="16"/>
        <v>1.1820773358341434</v>
      </c>
      <c r="V91" s="83">
        <f t="shared" si="17"/>
        <v>24.323847243017134</v>
      </c>
      <c r="W91" s="84">
        <f>25454/K91</f>
        <v>3.1750110390695752E-2</v>
      </c>
      <c r="X91" s="84">
        <f t="shared" si="18"/>
        <v>1.945331106613377E-2</v>
      </c>
      <c r="Y91" s="109">
        <f t="shared" si="20"/>
        <v>52224</v>
      </c>
      <c r="Z91" s="109">
        <v>-1607258</v>
      </c>
      <c r="AA91" s="112">
        <v>-1502830</v>
      </c>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row>
    <row r="92" spans="1:57">
      <c r="A92" s="11"/>
      <c r="B92" s="75" t="s">
        <v>16</v>
      </c>
      <c r="C92" s="96"/>
      <c r="D92" s="76" t="s">
        <v>380</v>
      </c>
      <c r="E92" s="77" t="s">
        <v>146</v>
      </c>
      <c r="F92" s="78">
        <v>38899</v>
      </c>
      <c r="G92" s="79" t="s">
        <v>351</v>
      </c>
      <c r="H92" s="109">
        <v>298553</v>
      </c>
      <c r="I92" s="109">
        <v>324601</v>
      </c>
      <c r="J92" s="110">
        <f t="shared" si="13"/>
        <v>151991</v>
      </c>
      <c r="K92" s="110">
        <v>476592</v>
      </c>
      <c r="L92" s="111">
        <v>337528</v>
      </c>
      <c r="M92" s="111">
        <f t="shared" si="19"/>
        <v>3936754</v>
      </c>
      <c r="N92" s="111">
        <v>4274282</v>
      </c>
      <c r="O92" s="111">
        <f t="shared" si="14"/>
        <v>-3797690</v>
      </c>
      <c r="P92" s="111">
        <f>4308792+807936</f>
        <v>5116728</v>
      </c>
      <c r="Q92" s="111">
        <f>3574571+17131</f>
        <v>3591702</v>
      </c>
      <c r="R92" s="82"/>
      <c r="S92" s="82"/>
      <c r="T92" s="109">
        <f t="shared" si="15"/>
        <v>1525026</v>
      </c>
      <c r="U92" s="83">
        <f t="shared" si="16"/>
        <v>0.96170095518001475</v>
      </c>
      <c r="V92" s="83">
        <f t="shared" si="17"/>
        <v>30.339890391797539</v>
      </c>
      <c r="W92" s="84">
        <f>198547/K92</f>
        <v>0.41659742505119685</v>
      </c>
      <c r="X92" s="84">
        <f t="shared" si="18"/>
        <v>0.29804711135710166</v>
      </c>
      <c r="Y92" s="109">
        <f t="shared" si="20"/>
        <v>203656</v>
      </c>
      <c r="Z92" s="109">
        <v>-3132284</v>
      </c>
      <c r="AA92" s="112">
        <v>-1607258</v>
      </c>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row>
    <row r="93" spans="1:57">
      <c r="A93" s="11"/>
      <c r="B93" s="75" t="s">
        <v>16</v>
      </c>
      <c r="C93" s="96"/>
      <c r="D93" s="76" t="s">
        <v>380</v>
      </c>
      <c r="E93" s="77" t="s">
        <v>146</v>
      </c>
      <c r="F93" s="78">
        <v>38899</v>
      </c>
      <c r="G93" s="79" t="s">
        <v>429</v>
      </c>
      <c r="H93" s="109">
        <v>94897</v>
      </c>
      <c r="I93" s="109">
        <v>168094</v>
      </c>
      <c r="J93" s="110">
        <f t="shared" si="13"/>
        <v>120523</v>
      </c>
      <c r="K93" s="110">
        <v>288617</v>
      </c>
      <c r="L93" s="111">
        <v>463139</v>
      </c>
      <c r="M93" s="111">
        <f t="shared" si="19"/>
        <v>3963610</v>
      </c>
      <c r="N93" s="111">
        <v>4426749</v>
      </c>
      <c r="O93" s="111">
        <f t="shared" si="14"/>
        <v>-4138132</v>
      </c>
      <c r="P93" s="111">
        <f>2929004+821443</f>
        <v>3750447</v>
      </c>
      <c r="Q93" s="111">
        <f>3925685+62317</f>
        <v>3988002</v>
      </c>
      <c r="R93" s="82"/>
      <c r="S93" s="82"/>
      <c r="T93" s="109">
        <f t="shared" si="15"/>
        <v>-237555</v>
      </c>
      <c r="U93" s="83">
        <f t="shared" si="16"/>
        <v>0.36294503378035536</v>
      </c>
      <c r="V93" s="83">
        <f t="shared" si="17"/>
        <v>8.6854031166483878</v>
      </c>
      <c r="W93" s="84">
        <f>282001/K93</f>
        <v>0.97707688736283727</v>
      </c>
      <c r="X93" s="84">
        <f t="shared" si="18"/>
        <v>-6.3340449818381647E-2</v>
      </c>
      <c r="Y93" s="109" t="s">
        <v>352</v>
      </c>
      <c r="Z93" s="109">
        <v>-2253689</v>
      </c>
      <c r="AA93" s="112">
        <v>-2491244</v>
      </c>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row>
    <row r="94" spans="1:57">
      <c r="A94" s="11"/>
      <c r="B94" s="75" t="s">
        <v>16</v>
      </c>
      <c r="C94" s="96"/>
      <c r="D94" s="76" t="s">
        <v>381</v>
      </c>
      <c r="E94" s="77" t="s">
        <v>150</v>
      </c>
      <c r="F94" s="78">
        <v>43282</v>
      </c>
      <c r="G94" s="79" t="s">
        <v>346</v>
      </c>
      <c r="H94" s="109">
        <v>20651</v>
      </c>
      <c r="I94" s="109">
        <v>45974</v>
      </c>
      <c r="J94" s="110">
        <f t="shared" si="13"/>
        <v>154021</v>
      </c>
      <c r="K94" s="110">
        <v>199995</v>
      </c>
      <c r="L94" s="111">
        <v>702168</v>
      </c>
      <c r="M94" s="111">
        <f t="shared" si="19"/>
        <v>0</v>
      </c>
      <c r="N94" s="111">
        <v>702168</v>
      </c>
      <c r="O94" s="111">
        <f t="shared" si="14"/>
        <v>-502173</v>
      </c>
      <c r="P94" s="111">
        <f>849611+218559</f>
        <v>1068170</v>
      </c>
      <c r="Q94" s="111">
        <f>1503224+3146</f>
        <v>1506370</v>
      </c>
      <c r="R94" s="82"/>
      <c r="S94" s="82"/>
      <c r="T94" s="109">
        <f t="shared" si="15"/>
        <v>-438200</v>
      </c>
      <c r="U94" s="83">
        <f t="shared" si="16"/>
        <v>6.547435941256223E-2</v>
      </c>
      <c r="V94" s="83">
        <f t="shared" si="17"/>
        <v>5.0038270809960368</v>
      </c>
      <c r="W94" s="84"/>
      <c r="X94" s="84">
        <f t="shared" si="18"/>
        <v>-0.41023432599679827</v>
      </c>
      <c r="Y94" s="109" t="s">
        <v>352</v>
      </c>
      <c r="Z94" s="109">
        <v>0</v>
      </c>
      <c r="AA94" s="112">
        <v>-438200</v>
      </c>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row>
    <row r="95" spans="1:57">
      <c r="B95" s="75" t="s">
        <v>16</v>
      </c>
      <c r="C95" s="96"/>
      <c r="D95" s="76" t="s">
        <v>382</v>
      </c>
      <c r="E95" s="77" t="s">
        <v>155</v>
      </c>
      <c r="F95" s="78">
        <v>38534</v>
      </c>
      <c r="G95" s="79" t="s">
        <v>346</v>
      </c>
      <c r="H95" s="109">
        <v>66752</v>
      </c>
      <c r="I95" s="109">
        <v>164848</v>
      </c>
      <c r="J95" s="110">
        <f t="shared" si="13"/>
        <v>105562</v>
      </c>
      <c r="K95" s="110">
        <v>270410</v>
      </c>
      <c r="L95" s="111">
        <v>294956</v>
      </c>
      <c r="M95" s="111">
        <f t="shared" si="19"/>
        <v>1326575</v>
      </c>
      <c r="N95" s="111">
        <v>1621531</v>
      </c>
      <c r="O95" s="111">
        <f t="shared" si="14"/>
        <v>-1351121</v>
      </c>
      <c r="P95" s="111">
        <f>2116099+553808</f>
        <v>2669907</v>
      </c>
      <c r="Q95" s="111">
        <f>2332793+1935</f>
        <v>2334728</v>
      </c>
      <c r="R95" s="82"/>
      <c r="S95" s="82"/>
      <c r="T95" s="109">
        <f t="shared" si="15"/>
        <v>335179</v>
      </c>
      <c r="U95" s="83">
        <f t="shared" si="16"/>
        <v>0.55889013954623745</v>
      </c>
      <c r="V95" s="83">
        <f t="shared" si="17"/>
        <v>10.43568244352233</v>
      </c>
      <c r="W95" s="84">
        <f>(29263+32533)/K95</f>
        <v>0.22852705151436709</v>
      </c>
      <c r="X95" s="84">
        <f t="shared" si="18"/>
        <v>0.12553957871940857</v>
      </c>
      <c r="Y95" s="109">
        <f t="shared" si="20"/>
        <v>-53918</v>
      </c>
      <c r="Z95" s="109">
        <v>-1744903</v>
      </c>
      <c r="AA95" s="112">
        <v>-1409724</v>
      </c>
    </row>
    <row r="96" spans="1:57">
      <c r="B96" s="75" t="s">
        <v>16</v>
      </c>
      <c r="C96" s="96"/>
      <c r="D96" s="76" t="s">
        <v>382</v>
      </c>
      <c r="E96" s="77" t="s">
        <v>155</v>
      </c>
      <c r="F96" s="78">
        <v>38534</v>
      </c>
      <c r="G96" s="79" t="s">
        <v>349</v>
      </c>
      <c r="H96" s="109">
        <v>120670</v>
      </c>
      <c r="I96" s="109">
        <v>208073</v>
      </c>
      <c r="J96" s="110">
        <f t="shared" si="13"/>
        <v>129842</v>
      </c>
      <c r="K96" s="110">
        <v>337915</v>
      </c>
      <c r="L96" s="111">
        <v>530031</v>
      </c>
      <c r="M96" s="111">
        <f t="shared" si="19"/>
        <v>1334502</v>
      </c>
      <c r="N96" s="111">
        <v>1864533</v>
      </c>
      <c r="O96" s="111">
        <f t="shared" si="14"/>
        <v>-1526618</v>
      </c>
      <c r="P96" s="111">
        <f>1777942+386725</f>
        <v>2164667</v>
      </c>
      <c r="Q96" s="111">
        <f>1764195+5288</f>
        <v>1769483</v>
      </c>
      <c r="R96" s="82"/>
      <c r="S96" s="82"/>
      <c r="T96" s="109">
        <f t="shared" si="15"/>
        <v>395184</v>
      </c>
      <c r="U96" s="83">
        <f t="shared" si="16"/>
        <v>0.39256760453633843</v>
      </c>
      <c r="V96" s="83">
        <f t="shared" si="17"/>
        <v>24.89119703325774</v>
      </c>
      <c r="W96" s="84">
        <f>(28541+61800)/K96</f>
        <v>0.26734829764881701</v>
      </c>
      <c r="X96" s="84">
        <f t="shared" si="18"/>
        <v>0.18256110524159144</v>
      </c>
      <c r="Y96" s="109">
        <f t="shared" si="20"/>
        <v>91163</v>
      </c>
      <c r="Z96" s="109">
        <v>-2140087</v>
      </c>
      <c r="AA96" s="112">
        <v>-1744903</v>
      </c>
    </row>
    <row r="97" spans="2:27">
      <c r="B97" s="75" t="s">
        <v>16</v>
      </c>
      <c r="C97" s="96"/>
      <c r="D97" s="76" t="s">
        <v>382</v>
      </c>
      <c r="E97" s="77" t="s">
        <v>155</v>
      </c>
      <c r="F97" s="78">
        <v>38534</v>
      </c>
      <c r="G97" s="79" t="s">
        <v>351</v>
      </c>
      <c r="H97" s="109">
        <v>29507</v>
      </c>
      <c r="I97" s="109">
        <v>96809</v>
      </c>
      <c r="J97" s="110">
        <f t="shared" si="13"/>
        <v>46328</v>
      </c>
      <c r="K97" s="110">
        <v>143137</v>
      </c>
      <c r="L97" s="111">
        <v>429917</v>
      </c>
      <c r="M97" s="111">
        <f t="shared" si="19"/>
        <v>1827532</v>
      </c>
      <c r="N97" s="111">
        <v>2257449</v>
      </c>
      <c r="O97" s="111">
        <f t="shared" si="14"/>
        <v>-2114312</v>
      </c>
      <c r="P97" s="111">
        <f>966249+232094</f>
        <v>1198343</v>
      </c>
      <c r="Q97" s="111">
        <f>690853</f>
        <v>690853</v>
      </c>
      <c r="R97" s="82"/>
      <c r="S97" s="82"/>
      <c r="T97" s="109">
        <f t="shared" si="15"/>
        <v>507490</v>
      </c>
      <c r="U97" s="83">
        <f t="shared" si="16"/>
        <v>0.22518067440924644</v>
      </c>
      <c r="V97" s="83">
        <f t="shared" si="17"/>
        <v>15.589503121503416</v>
      </c>
      <c r="W97" s="84">
        <f>115885/K97</f>
        <v>0.80960897601598469</v>
      </c>
      <c r="X97" s="84">
        <f t="shared" si="18"/>
        <v>0.42349310673154517</v>
      </c>
      <c r="Y97" s="109" t="s">
        <v>352</v>
      </c>
      <c r="Z97" s="109">
        <v>-2647577</v>
      </c>
      <c r="AA97" s="112">
        <v>-2140087</v>
      </c>
    </row>
    <row r="98" spans="2:27">
      <c r="B98" s="75" t="s">
        <v>16</v>
      </c>
      <c r="C98" s="96"/>
      <c r="D98" s="76" t="s">
        <v>383</v>
      </c>
      <c r="E98" s="77" t="s">
        <v>159</v>
      </c>
      <c r="F98" s="78">
        <v>43282</v>
      </c>
      <c r="G98" s="79" t="s">
        <v>346</v>
      </c>
      <c r="H98" s="109">
        <v>132499</v>
      </c>
      <c r="I98" s="109">
        <v>240445</v>
      </c>
      <c r="J98" s="110">
        <f t="shared" si="13"/>
        <v>0</v>
      </c>
      <c r="K98" s="110">
        <v>240445</v>
      </c>
      <c r="L98" s="111">
        <v>737696</v>
      </c>
      <c r="M98" s="111">
        <f t="shared" si="19"/>
        <v>1435616</v>
      </c>
      <c r="N98" s="111">
        <v>2173312</v>
      </c>
      <c r="O98" s="111">
        <f t="shared" si="14"/>
        <v>-1932867</v>
      </c>
      <c r="P98" s="111">
        <f>1953806+551080+28440</f>
        <v>2533326</v>
      </c>
      <c r="Q98" s="111">
        <f>2973778</f>
        <v>2973778</v>
      </c>
      <c r="R98" s="82"/>
      <c r="S98" s="82"/>
      <c r="T98" s="109">
        <f t="shared" si="15"/>
        <v>-440452</v>
      </c>
      <c r="U98" s="83">
        <f t="shared" si="16"/>
        <v>0.32594049581399381</v>
      </c>
      <c r="V98" s="83">
        <f t="shared" si="17"/>
        <v>16.262859904135414</v>
      </c>
      <c r="W98" s="84"/>
      <c r="X98" s="84">
        <f t="shared" si="18"/>
        <v>-0.17386313486696936</v>
      </c>
      <c r="Y98" s="109">
        <f t="shared" si="20"/>
        <v>74469</v>
      </c>
      <c r="Z98" s="109">
        <v>-380665</v>
      </c>
      <c r="AA98" s="112">
        <v>-821117</v>
      </c>
    </row>
    <row r="99" spans="2:27">
      <c r="B99" s="75" t="s">
        <v>16</v>
      </c>
      <c r="C99" s="96"/>
      <c r="D99" s="76" t="s">
        <v>383</v>
      </c>
      <c r="E99" s="77" t="s">
        <v>159</v>
      </c>
      <c r="F99" s="78">
        <v>43282</v>
      </c>
      <c r="G99" s="79" t="s">
        <v>349</v>
      </c>
      <c r="H99" s="109">
        <v>58030</v>
      </c>
      <c r="I99" s="109">
        <v>85301</v>
      </c>
      <c r="J99" s="110">
        <f t="shared" si="13"/>
        <v>32010</v>
      </c>
      <c r="K99" s="110">
        <v>117311</v>
      </c>
      <c r="L99" s="111">
        <v>598988</v>
      </c>
      <c r="M99" s="111">
        <f t="shared" si="19"/>
        <v>0</v>
      </c>
      <c r="N99" s="111">
        <v>598988</v>
      </c>
      <c r="O99" s="111">
        <f t="shared" si="14"/>
        <v>-481677</v>
      </c>
      <c r="P99" s="111">
        <f>1636121+132515</f>
        <v>1768636</v>
      </c>
      <c r="Q99" s="111">
        <f>2149301</f>
        <v>2149301</v>
      </c>
      <c r="R99" s="82"/>
      <c r="S99" s="82"/>
      <c r="T99" s="109">
        <f t="shared" si="15"/>
        <v>-380665</v>
      </c>
      <c r="U99" s="83">
        <f t="shared" si="16"/>
        <v>0.14240852905233495</v>
      </c>
      <c r="V99" s="83">
        <f t="shared" si="17"/>
        <v>9.8548086098689751</v>
      </c>
      <c r="W99" s="84"/>
      <c r="X99" s="84">
        <f t="shared" si="18"/>
        <v>-0.21523083325229159</v>
      </c>
      <c r="Y99" s="109" t="s">
        <v>352</v>
      </c>
      <c r="Z99" s="109">
        <v>0</v>
      </c>
      <c r="AA99" s="112">
        <v>-380665</v>
      </c>
    </row>
    <row r="100" spans="2:27">
      <c r="B100" s="75" t="s">
        <v>16</v>
      </c>
      <c r="C100" s="96"/>
      <c r="D100" s="76" t="s">
        <v>384</v>
      </c>
      <c r="E100" s="77" t="s">
        <v>164</v>
      </c>
      <c r="F100" s="78">
        <v>43282</v>
      </c>
      <c r="G100" s="79" t="s">
        <v>346</v>
      </c>
      <c r="H100" s="109">
        <v>73475</v>
      </c>
      <c r="I100" s="109">
        <v>161304</v>
      </c>
      <c r="J100" s="110">
        <f t="shared" si="13"/>
        <v>133886</v>
      </c>
      <c r="K100" s="110">
        <v>295190</v>
      </c>
      <c r="L100" s="111">
        <v>1447232</v>
      </c>
      <c r="M100" s="111">
        <f t="shared" si="19"/>
        <v>1948795</v>
      </c>
      <c r="N100" s="111">
        <v>3396027</v>
      </c>
      <c r="O100" s="111">
        <f t="shared" si="14"/>
        <v>-3100837</v>
      </c>
      <c r="P100" s="111">
        <f>2327116+572928+2500</f>
        <v>2902544</v>
      </c>
      <c r="Q100" s="111">
        <f>3894087</f>
        <v>3894087</v>
      </c>
      <c r="R100" s="82"/>
      <c r="S100" s="82"/>
      <c r="T100" s="109">
        <f t="shared" si="15"/>
        <v>-991543</v>
      </c>
      <c r="U100" s="83">
        <f t="shared" si="16"/>
        <v>0.1114569053199487</v>
      </c>
      <c r="V100" s="83">
        <f t="shared" si="17"/>
        <v>6.8869480830808349</v>
      </c>
      <c r="W100" s="84"/>
      <c r="X100" s="84">
        <f t="shared" si="18"/>
        <v>-0.34161170338847574</v>
      </c>
      <c r="Y100" s="109">
        <f t="shared" si="20"/>
        <v>6948</v>
      </c>
      <c r="Z100" s="109">
        <v>-620165</v>
      </c>
      <c r="AA100" s="112">
        <v>-1611708</v>
      </c>
    </row>
    <row r="101" spans="2:27">
      <c r="B101" s="75" t="s">
        <v>16</v>
      </c>
      <c r="C101" s="96"/>
      <c r="D101" s="76" t="s">
        <v>384</v>
      </c>
      <c r="E101" s="77" t="s">
        <v>164</v>
      </c>
      <c r="F101" s="78">
        <v>43282</v>
      </c>
      <c r="G101" s="79" t="s">
        <v>349</v>
      </c>
      <c r="H101" s="109">
        <v>66527</v>
      </c>
      <c r="I101" s="109">
        <v>125704</v>
      </c>
      <c r="J101" s="110">
        <f t="shared" si="13"/>
        <v>38677</v>
      </c>
      <c r="K101" s="110">
        <v>164381</v>
      </c>
      <c r="L101" s="111">
        <v>923435</v>
      </c>
      <c r="M101" s="111">
        <f t="shared" si="19"/>
        <v>0</v>
      </c>
      <c r="N101" s="111">
        <v>923435</v>
      </c>
      <c r="O101" s="111">
        <f t="shared" si="14"/>
        <v>-759054</v>
      </c>
      <c r="P101" s="111">
        <f>2257045+174983</f>
        <v>2432028</v>
      </c>
      <c r="Q101" s="111">
        <f>3052193</f>
        <v>3052193</v>
      </c>
      <c r="R101" s="82"/>
      <c r="S101" s="82"/>
      <c r="T101" s="109">
        <f t="shared" si="15"/>
        <v>-620165</v>
      </c>
      <c r="U101" s="83">
        <f t="shared" si="16"/>
        <v>0.13612652758450786</v>
      </c>
      <c r="V101" s="83">
        <f t="shared" si="17"/>
        <v>7.9557075846776408</v>
      </c>
      <c r="W101" s="84"/>
      <c r="X101" s="84">
        <f t="shared" si="18"/>
        <v>-0.25499912007592018</v>
      </c>
      <c r="Y101" s="109" t="e">
        <f>H101-#REF!</f>
        <v>#REF!</v>
      </c>
      <c r="Z101" s="109">
        <v>0</v>
      </c>
      <c r="AA101" s="112">
        <v>-620165</v>
      </c>
    </row>
    <row r="102" spans="2:27">
      <c r="B102" s="75" t="s">
        <v>16</v>
      </c>
      <c r="C102" s="96"/>
      <c r="D102" s="76" t="s">
        <v>385</v>
      </c>
      <c r="E102" s="77" t="s">
        <v>169</v>
      </c>
      <c r="F102" s="78">
        <v>43647</v>
      </c>
      <c r="G102" s="79" t="s">
        <v>346</v>
      </c>
      <c r="H102" s="109">
        <v>27420</v>
      </c>
      <c r="I102" s="109">
        <v>50201</v>
      </c>
      <c r="J102" s="110">
        <f t="shared" si="13"/>
        <v>14906</v>
      </c>
      <c r="K102" s="110">
        <v>65107</v>
      </c>
      <c r="L102" s="111">
        <v>343306</v>
      </c>
      <c r="M102" s="111">
        <f t="shared" si="19"/>
        <v>0</v>
      </c>
      <c r="N102" s="111">
        <v>343306</v>
      </c>
      <c r="O102" s="111">
        <f t="shared" si="14"/>
        <v>-278199</v>
      </c>
      <c r="P102" s="111">
        <f>826763+227044</f>
        <v>1053807</v>
      </c>
      <c r="Q102" s="111">
        <f>1272904+2587</f>
        <v>1275491</v>
      </c>
      <c r="R102" s="82"/>
      <c r="S102" s="82"/>
      <c r="T102" s="109">
        <f t="shared" si="15"/>
        <v>-221684</v>
      </c>
      <c r="U102" s="83">
        <f t="shared" si="16"/>
        <v>0.14622814631844477</v>
      </c>
      <c r="V102" s="83">
        <f t="shared" si="17"/>
        <v>7.8466253387911005</v>
      </c>
      <c r="W102" s="84"/>
      <c r="X102" s="84">
        <f t="shared" si="18"/>
        <v>-0.21036489603883823</v>
      </c>
      <c r="Y102" s="109" t="s">
        <v>352</v>
      </c>
      <c r="Z102" s="109">
        <v>0</v>
      </c>
      <c r="AA102" s="112">
        <v>-221684</v>
      </c>
    </row>
    <row r="103" spans="2:27">
      <c r="B103" s="75" t="s">
        <v>16</v>
      </c>
      <c r="C103" s="96"/>
      <c r="D103" s="76" t="s">
        <v>386</v>
      </c>
      <c r="E103" s="77" t="s">
        <v>173</v>
      </c>
      <c r="F103" s="78">
        <v>40360</v>
      </c>
      <c r="G103" s="79" t="s">
        <v>346</v>
      </c>
      <c r="H103" s="109">
        <v>138837</v>
      </c>
      <c r="I103" s="109">
        <v>1066207</v>
      </c>
      <c r="J103" s="110">
        <f t="shared" si="13"/>
        <v>963920</v>
      </c>
      <c r="K103" s="110">
        <v>2030127</v>
      </c>
      <c r="L103" s="111">
        <v>2806723</v>
      </c>
      <c r="M103" s="111">
        <f t="shared" si="19"/>
        <v>3945676</v>
      </c>
      <c r="N103" s="111">
        <v>6752399</v>
      </c>
      <c r="O103" s="111">
        <f t="shared" si="14"/>
        <v>-4722272</v>
      </c>
      <c r="P103" s="111">
        <f>4004458+1014673+322342+24989</f>
        <v>5366462</v>
      </c>
      <c r="Q103" s="111">
        <f>4150645+181129</f>
        <v>4331774</v>
      </c>
      <c r="R103" s="82"/>
      <c r="S103" s="82"/>
      <c r="T103" s="109">
        <f t="shared" si="15"/>
        <v>1034688</v>
      </c>
      <c r="U103" s="83">
        <f t="shared" si="16"/>
        <v>0.37987610462450339</v>
      </c>
      <c r="V103" s="83">
        <f t="shared" si="17"/>
        <v>11.698556988430145</v>
      </c>
      <c r="W103" s="84">
        <f>227320/K103</f>
        <v>0.11197329034094912</v>
      </c>
      <c r="X103" s="84">
        <f t="shared" si="18"/>
        <v>0.19280635919904027</v>
      </c>
      <c r="Y103" s="109">
        <f t="shared" si="20"/>
        <v>18313</v>
      </c>
      <c r="Z103" s="109">
        <v>-7934075</v>
      </c>
      <c r="AA103" s="112">
        <v>-6899387</v>
      </c>
    </row>
    <row r="104" spans="2:27">
      <c r="B104" s="75" t="s">
        <v>16</v>
      </c>
      <c r="C104" s="96"/>
      <c r="D104" s="76" t="s">
        <v>386</v>
      </c>
      <c r="E104" s="77" t="s">
        <v>173</v>
      </c>
      <c r="F104" s="78">
        <v>40360</v>
      </c>
      <c r="G104" s="79" t="s">
        <v>349</v>
      </c>
      <c r="H104" s="109">
        <v>120524</v>
      </c>
      <c r="I104" s="109">
        <v>875892</v>
      </c>
      <c r="J104" s="110">
        <f t="shared" si="13"/>
        <v>1302115</v>
      </c>
      <c r="K104" s="110">
        <v>2178007</v>
      </c>
      <c r="L104" s="111">
        <v>3041990</v>
      </c>
      <c r="M104" s="111">
        <f t="shared" si="19"/>
        <v>5208732</v>
      </c>
      <c r="N104" s="111">
        <v>8250722</v>
      </c>
      <c r="O104" s="111">
        <f t="shared" si="14"/>
        <v>-6072715</v>
      </c>
      <c r="P104" s="111">
        <f>3838071+777911+323546+62263</f>
        <v>5001791</v>
      </c>
      <c r="Q104" s="111">
        <f>4920261+182423</f>
        <v>5102684</v>
      </c>
      <c r="R104" s="82"/>
      <c r="S104" s="82"/>
      <c r="T104" s="109">
        <f t="shared" si="15"/>
        <v>-100893</v>
      </c>
      <c r="U104" s="83">
        <f t="shared" si="16"/>
        <v>0.28793388538423859</v>
      </c>
      <c r="V104" s="83">
        <f t="shared" si="17"/>
        <v>8.6212001370259248</v>
      </c>
      <c r="W104" s="84"/>
      <c r="X104" s="84">
        <f t="shared" si="18"/>
        <v>-2.0171374613613402E-2</v>
      </c>
      <c r="Y104" s="109">
        <f t="shared" si="20"/>
        <v>103296</v>
      </c>
      <c r="Z104" s="109">
        <v>-7833182</v>
      </c>
      <c r="AA104" s="112">
        <v>-7934075</v>
      </c>
    </row>
    <row r="105" spans="2:27">
      <c r="B105" s="75" t="s">
        <v>16</v>
      </c>
      <c r="C105" s="96"/>
      <c r="D105" s="76" t="s">
        <v>386</v>
      </c>
      <c r="E105" s="77" t="s">
        <v>173</v>
      </c>
      <c r="F105" s="78">
        <v>40360</v>
      </c>
      <c r="G105" s="79" t="s">
        <v>351</v>
      </c>
      <c r="H105" s="109">
        <v>17228</v>
      </c>
      <c r="I105" s="109">
        <v>1005040</v>
      </c>
      <c r="J105" s="110">
        <f t="shared" si="13"/>
        <v>971051</v>
      </c>
      <c r="K105" s="110">
        <v>1976091</v>
      </c>
      <c r="L105" s="111">
        <v>2791391</v>
      </c>
      <c r="M105" s="111">
        <f t="shared" si="19"/>
        <v>8437765</v>
      </c>
      <c r="N105" s="111">
        <v>11229156</v>
      </c>
      <c r="O105" s="111">
        <f t="shared" si="14"/>
        <v>-9253065</v>
      </c>
      <c r="P105" s="111">
        <f>4490626+779610+371325</f>
        <v>5641561</v>
      </c>
      <c r="Q105" s="111">
        <f>4388506+182426</f>
        <v>4570932</v>
      </c>
      <c r="R105" s="82"/>
      <c r="S105" s="82"/>
      <c r="T105" s="109">
        <f t="shared" si="15"/>
        <v>1070629</v>
      </c>
      <c r="U105" s="83">
        <f t="shared" si="16"/>
        <v>0.36004988194058085</v>
      </c>
      <c r="V105" s="83">
        <f t="shared" si="17"/>
        <v>1.375697560147471</v>
      </c>
      <c r="W105" s="84"/>
      <c r="X105" s="84">
        <f t="shared" si="18"/>
        <v>0.18977531218753108</v>
      </c>
      <c r="Y105" s="109">
        <f t="shared" si="20"/>
        <v>-27686</v>
      </c>
      <c r="Z105" s="109">
        <v>-8903811</v>
      </c>
      <c r="AA105" s="112">
        <v>-7833182</v>
      </c>
    </row>
    <row r="106" spans="2:27">
      <c r="B106" s="75" t="s">
        <v>16</v>
      </c>
      <c r="C106" s="96"/>
      <c r="D106" s="76" t="s">
        <v>386</v>
      </c>
      <c r="E106" s="77" t="s">
        <v>173</v>
      </c>
      <c r="F106" s="78">
        <v>40360</v>
      </c>
      <c r="G106" s="79" t="s">
        <v>429</v>
      </c>
      <c r="H106" s="109">
        <v>44914</v>
      </c>
      <c r="I106" s="109">
        <v>711758</v>
      </c>
      <c r="J106" s="110">
        <f t="shared" si="13"/>
        <v>1172237</v>
      </c>
      <c r="K106" s="110">
        <v>1883995</v>
      </c>
      <c r="L106" s="111">
        <v>2343502</v>
      </c>
      <c r="M106" s="111">
        <f t="shared" si="19"/>
        <v>10849735</v>
      </c>
      <c r="N106" s="111">
        <v>13193237</v>
      </c>
      <c r="O106" s="111">
        <f t="shared" si="14"/>
        <v>-11309242</v>
      </c>
      <c r="P106" s="111">
        <f>4895443+1005178+780867+453177</f>
        <v>7134665</v>
      </c>
      <c r="Q106" s="111">
        <f>9086594+254014</f>
        <v>9340608</v>
      </c>
      <c r="R106" s="82"/>
      <c r="S106" s="82"/>
      <c r="T106" s="109">
        <f t="shared" si="15"/>
        <v>-2205943</v>
      </c>
      <c r="U106" s="83">
        <f t="shared" si="16"/>
        <v>0.30371555048811566</v>
      </c>
      <c r="V106" s="83">
        <f t="shared" si="17"/>
        <v>1.7550902468019212</v>
      </c>
      <c r="W106" s="84"/>
      <c r="X106" s="84">
        <f t="shared" si="18"/>
        <v>-0.3091866261415217</v>
      </c>
      <c r="Y106" s="109" t="s">
        <v>352</v>
      </c>
      <c r="Z106" s="109">
        <v>-4527068</v>
      </c>
      <c r="AA106" s="112">
        <v>-6733011</v>
      </c>
    </row>
    <row r="107" spans="2:27">
      <c r="B107" s="75" t="s">
        <v>16</v>
      </c>
      <c r="C107" s="96"/>
      <c r="D107" s="76" t="s">
        <v>387</v>
      </c>
      <c r="E107" s="77" t="s">
        <v>178</v>
      </c>
      <c r="F107" s="78">
        <v>41456</v>
      </c>
      <c r="G107" s="79" t="s">
        <v>346</v>
      </c>
      <c r="H107" s="109">
        <v>72654</v>
      </c>
      <c r="I107" s="109">
        <v>190850</v>
      </c>
      <c r="J107" s="110">
        <f t="shared" si="13"/>
        <v>123386</v>
      </c>
      <c r="K107" s="110">
        <v>314236</v>
      </c>
      <c r="L107" s="111">
        <v>2103694</v>
      </c>
      <c r="M107" s="111">
        <f t="shared" si="19"/>
        <v>2129149</v>
      </c>
      <c r="N107" s="111">
        <v>4232843</v>
      </c>
      <c r="O107" s="111">
        <f t="shared" si="14"/>
        <v>-3918607</v>
      </c>
      <c r="P107" s="111">
        <f>2548496+562832</f>
        <v>3111328</v>
      </c>
      <c r="Q107" s="111">
        <f>2819526+132060</f>
        <v>2951586</v>
      </c>
      <c r="R107" s="82"/>
      <c r="S107" s="82"/>
      <c r="T107" s="109">
        <f t="shared" si="15"/>
        <v>159742</v>
      </c>
      <c r="U107" s="83">
        <f t="shared" si="16"/>
        <v>9.0721369172512736E-2</v>
      </c>
      <c r="V107" s="83">
        <f t="shared" si="17"/>
        <v>8.9845628756878497</v>
      </c>
      <c r="W107" s="84">
        <f>(55683+295827)/K107</f>
        <v>1.1186178540969207</v>
      </c>
      <c r="X107" s="84">
        <f t="shared" si="18"/>
        <v>5.1342063581853149E-2</v>
      </c>
      <c r="Y107" s="109">
        <f t="shared" si="20"/>
        <v>22525</v>
      </c>
      <c r="Z107" s="109">
        <v>-4692334</v>
      </c>
      <c r="AA107" s="112">
        <v>-4532592</v>
      </c>
    </row>
    <row r="108" spans="2:27">
      <c r="B108" s="75" t="s">
        <v>16</v>
      </c>
      <c r="C108" s="96"/>
      <c r="D108" s="76" t="s">
        <v>387</v>
      </c>
      <c r="E108" s="77" t="s">
        <v>178</v>
      </c>
      <c r="F108" s="78">
        <v>41456</v>
      </c>
      <c r="G108" s="79" t="s">
        <v>349</v>
      </c>
      <c r="H108" s="109">
        <v>50129</v>
      </c>
      <c r="I108" s="109">
        <v>145550</v>
      </c>
      <c r="J108" s="110">
        <f t="shared" si="13"/>
        <v>130385</v>
      </c>
      <c r="K108" s="110">
        <v>275935</v>
      </c>
      <c r="L108" s="111">
        <f>2146528</f>
        <v>2146528</v>
      </c>
      <c r="M108" s="111">
        <f t="shared" si="19"/>
        <v>2381410</v>
      </c>
      <c r="N108" s="111">
        <v>4527938</v>
      </c>
      <c r="O108" s="111">
        <f t="shared" si="14"/>
        <v>-4252003</v>
      </c>
      <c r="P108" s="111">
        <f>2563158+485201</f>
        <v>3048359</v>
      </c>
      <c r="Q108" s="111">
        <f>3284228+169394</f>
        <v>3453622</v>
      </c>
      <c r="R108" s="82"/>
      <c r="S108" s="82"/>
      <c r="T108" s="109">
        <f t="shared" si="15"/>
        <v>-405263</v>
      </c>
      <c r="U108" s="83">
        <f t="shared" si="16"/>
        <v>6.7807175121871233E-2</v>
      </c>
      <c r="V108" s="83">
        <f t="shared" si="17"/>
        <v>5.2979408284983123</v>
      </c>
      <c r="W108" s="84">
        <f>(53770+365205)/K108</f>
        <v>1.518382952506931</v>
      </c>
      <c r="X108" s="84">
        <f t="shared" si="18"/>
        <v>-0.13294464333105124</v>
      </c>
      <c r="Y108" s="109">
        <f t="shared" si="20"/>
        <v>24245</v>
      </c>
      <c r="Z108" s="109">
        <v>-4287071</v>
      </c>
      <c r="AA108" s="112">
        <v>-4692334</v>
      </c>
    </row>
    <row r="109" spans="2:27">
      <c r="B109" s="75" t="s">
        <v>16</v>
      </c>
      <c r="C109" s="96"/>
      <c r="D109" s="76" t="s">
        <v>387</v>
      </c>
      <c r="E109" s="77" t="s">
        <v>178</v>
      </c>
      <c r="F109" s="78">
        <v>41456</v>
      </c>
      <c r="G109" s="79" t="s">
        <v>351</v>
      </c>
      <c r="H109" s="109">
        <v>25884</v>
      </c>
      <c r="I109" s="109">
        <v>83975</v>
      </c>
      <c r="J109" s="110">
        <f t="shared" si="13"/>
        <v>0</v>
      </c>
      <c r="K109" s="110">
        <v>83975</v>
      </c>
      <c r="L109" s="111">
        <v>1757227</v>
      </c>
      <c r="M109" s="111">
        <f t="shared" si="19"/>
        <v>4091697</v>
      </c>
      <c r="N109" s="111">
        <v>5848924</v>
      </c>
      <c r="O109" s="111">
        <f t="shared" si="14"/>
        <v>-5764949</v>
      </c>
      <c r="P109" s="111">
        <f>2437070+483752</f>
        <v>2920822</v>
      </c>
      <c r="Q109" s="111">
        <f>2629033+110513</f>
        <v>2739546</v>
      </c>
      <c r="R109" s="82"/>
      <c r="S109" s="82"/>
      <c r="T109" s="109">
        <f t="shared" si="15"/>
        <v>181276</v>
      </c>
      <c r="U109" s="83">
        <f t="shared" si="16"/>
        <v>4.7788362004453605E-2</v>
      </c>
      <c r="V109" s="83">
        <f t="shared" si="17"/>
        <v>3.4486225089850651</v>
      </c>
      <c r="W109" s="84">
        <f>(51923+499361)/K109</f>
        <v>6.564858588865734</v>
      </c>
      <c r="X109" s="84">
        <f t="shared" si="18"/>
        <v>6.2063350659506127E-2</v>
      </c>
      <c r="Y109" s="109">
        <f t="shared" si="20"/>
        <v>21929</v>
      </c>
      <c r="Z109" s="109">
        <v>-4468347</v>
      </c>
      <c r="AA109" s="112">
        <v>-4287071</v>
      </c>
    </row>
    <row r="110" spans="2:27">
      <c r="B110" s="75" t="s">
        <v>16</v>
      </c>
      <c r="C110" s="96"/>
      <c r="D110" s="76" t="s">
        <v>387</v>
      </c>
      <c r="E110" s="77" t="s">
        <v>178</v>
      </c>
      <c r="F110" s="78">
        <v>41456</v>
      </c>
      <c r="G110" s="79" t="s">
        <v>429</v>
      </c>
      <c r="H110" s="109">
        <v>3955</v>
      </c>
      <c r="I110" s="109">
        <v>72721</v>
      </c>
      <c r="J110" s="110">
        <f t="shared" si="13"/>
        <v>9981</v>
      </c>
      <c r="K110" s="110">
        <v>82702</v>
      </c>
      <c r="L110" s="111">
        <v>1442210</v>
      </c>
      <c r="M110" s="111">
        <f t="shared" si="19"/>
        <v>4232523</v>
      </c>
      <c r="N110" s="111">
        <v>5674733</v>
      </c>
      <c r="O110" s="111">
        <f t="shared" si="14"/>
        <v>-5592031</v>
      </c>
      <c r="P110" s="111">
        <f>2555910+466023+488039+60000</f>
        <v>3569972</v>
      </c>
      <c r="Q110" s="111">
        <f>4489998+136871</f>
        <v>4626869</v>
      </c>
      <c r="R110" s="82"/>
      <c r="S110" s="82"/>
      <c r="T110" s="109">
        <f t="shared" si="15"/>
        <v>-1056897</v>
      </c>
      <c r="U110" s="83">
        <f t="shared" si="16"/>
        <v>5.0423308672107391E-2</v>
      </c>
      <c r="V110" s="83">
        <f t="shared" si="17"/>
        <v>0.3119982433044895</v>
      </c>
      <c r="W110" s="84">
        <f>(48373+521127)/K110</f>
        <v>6.8861696210490679</v>
      </c>
      <c r="X110" s="84">
        <f t="shared" si="18"/>
        <v>-0.29605190180763324</v>
      </c>
      <c r="Y110" s="109" t="s">
        <v>352</v>
      </c>
      <c r="Z110" s="109">
        <v>-2480482</v>
      </c>
      <c r="AA110" s="112">
        <v>-3537379</v>
      </c>
    </row>
    <row r="111" spans="2:27">
      <c r="B111" s="75" t="s">
        <v>16</v>
      </c>
      <c r="C111" s="96"/>
      <c r="D111" s="76" t="s">
        <v>388</v>
      </c>
      <c r="E111" s="77" t="s">
        <v>183</v>
      </c>
      <c r="F111" s="78">
        <v>37803</v>
      </c>
      <c r="G111" s="79" t="s">
        <v>346</v>
      </c>
      <c r="H111" s="109">
        <v>990872</v>
      </c>
      <c r="I111" s="109">
        <v>1401568</v>
      </c>
      <c r="J111" s="110">
        <f t="shared" si="13"/>
        <v>525177</v>
      </c>
      <c r="K111" s="110">
        <v>1926745</v>
      </c>
      <c r="L111" s="111">
        <v>606985</v>
      </c>
      <c r="M111" s="111">
        <f t="shared" si="19"/>
        <v>8721935</v>
      </c>
      <c r="N111" s="111">
        <v>9328920</v>
      </c>
      <c r="O111" s="111">
        <f t="shared" si="14"/>
        <v>-7402175</v>
      </c>
      <c r="P111" s="111">
        <f>14826249+2112661+20100+9286</f>
        <v>16968296</v>
      </c>
      <c r="Q111" s="111">
        <v>17647899</v>
      </c>
      <c r="R111" s="82"/>
      <c r="S111" s="82"/>
      <c r="T111" s="109">
        <f t="shared" si="15"/>
        <v>-679603</v>
      </c>
      <c r="U111" s="83">
        <f t="shared" si="16"/>
        <v>2.3090652981539908</v>
      </c>
      <c r="V111" s="83">
        <f t="shared" si="17"/>
        <v>20.493560168267056</v>
      </c>
      <c r="W111" s="84"/>
      <c r="X111" s="84">
        <f t="shared" si="18"/>
        <v>-4.0051340452806811E-2</v>
      </c>
      <c r="Y111" s="109">
        <f t="shared" si="20"/>
        <v>-79487</v>
      </c>
      <c r="Z111" s="109">
        <v>-5411310</v>
      </c>
      <c r="AA111" s="112">
        <v>-6090913</v>
      </c>
    </row>
    <row r="112" spans="2:27">
      <c r="B112" s="75" t="s">
        <v>16</v>
      </c>
      <c r="C112" s="96"/>
      <c r="D112" s="76" t="s">
        <v>388</v>
      </c>
      <c r="E112" s="77" t="s">
        <v>183</v>
      </c>
      <c r="F112" s="78">
        <v>37803</v>
      </c>
      <c r="G112" s="79" t="s">
        <v>349</v>
      </c>
      <c r="H112" s="109">
        <v>1070359</v>
      </c>
      <c r="I112" s="109">
        <v>1484016</v>
      </c>
      <c r="J112" s="110">
        <f t="shared" si="13"/>
        <v>774521</v>
      </c>
      <c r="K112" s="110">
        <v>2258537</v>
      </c>
      <c r="L112" s="111">
        <v>511656</v>
      </c>
      <c r="M112" s="111">
        <f t="shared" si="19"/>
        <v>7828329</v>
      </c>
      <c r="N112" s="111">
        <v>8339985</v>
      </c>
      <c r="O112" s="111">
        <f t="shared" si="14"/>
        <v>-6081448</v>
      </c>
      <c r="P112" s="111">
        <f>14223293+1103537+20100+11776</f>
        <v>15358706</v>
      </c>
      <c r="Q112" s="111">
        <f>14595245</f>
        <v>14595245</v>
      </c>
      <c r="R112" s="82"/>
      <c r="S112" s="82"/>
      <c r="T112" s="109">
        <f t="shared" si="15"/>
        <v>763461</v>
      </c>
      <c r="U112" s="83">
        <f t="shared" si="16"/>
        <v>2.9004174679863035</v>
      </c>
      <c r="V112" s="83">
        <f t="shared" si="17"/>
        <v>26.767692834207306</v>
      </c>
      <c r="W112" s="84"/>
      <c r="X112" s="84">
        <f t="shared" si="18"/>
        <v>4.9708679884880924E-2</v>
      </c>
      <c r="Y112" s="109">
        <f t="shared" si="20"/>
        <v>-1972455</v>
      </c>
      <c r="Z112" s="109">
        <v>-6174771</v>
      </c>
      <c r="AA112" s="112">
        <v>-5411310</v>
      </c>
    </row>
    <row r="113" spans="2:27">
      <c r="B113" s="75" t="s">
        <v>16</v>
      </c>
      <c r="C113" s="96"/>
      <c r="D113" s="76" t="s">
        <v>388</v>
      </c>
      <c r="E113" s="77" t="s">
        <v>183</v>
      </c>
      <c r="F113" s="78">
        <v>37803</v>
      </c>
      <c r="G113" s="79" t="s">
        <v>351</v>
      </c>
      <c r="H113" s="109">
        <v>3042814</v>
      </c>
      <c r="I113" s="109">
        <v>3528009</v>
      </c>
      <c r="J113" s="110">
        <f t="shared" si="13"/>
        <v>752461</v>
      </c>
      <c r="K113" s="110">
        <v>4280470</v>
      </c>
      <c r="L113" s="111">
        <v>1481050</v>
      </c>
      <c r="M113" s="111">
        <f t="shared" si="19"/>
        <v>9223139</v>
      </c>
      <c r="N113" s="111">
        <v>10704189</v>
      </c>
      <c r="O113" s="111">
        <f t="shared" si="14"/>
        <v>-6423719</v>
      </c>
      <c r="P113" s="111">
        <f>10963943+863980+20100+7161</f>
        <v>11855184</v>
      </c>
      <c r="Q113" s="111">
        <f>9139872</f>
        <v>9139872</v>
      </c>
      <c r="R113" s="82"/>
      <c r="S113" s="82"/>
      <c r="T113" s="109">
        <f t="shared" si="15"/>
        <v>2715312</v>
      </c>
      <c r="U113" s="83">
        <f t="shared" si="16"/>
        <v>2.3820998615846865</v>
      </c>
      <c r="V113" s="83">
        <f t="shared" si="17"/>
        <v>121.51451464528168</v>
      </c>
      <c r="W113" s="84"/>
      <c r="X113" s="84">
        <f t="shared" si="18"/>
        <v>0.22904005538842753</v>
      </c>
      <c r="Y113" s="109">
        <f t="shared" si="20"/>
        <v>1826844</v>
      </c>
      <c r="Z113" s="109">
        <v>-8890083</v>
      </c>
      <c r="AA113" s="112">
        <v>-6174771</v>
      </c>
    </row>
    <row r="114" spans="2:27">
      <c r="B114" s="75" t="s">
        <v>16</v>
      </c>
      <c r="C114" s="96"/>
      <c r="D114" s="76" t="s">
        <v>388</v>
      </c>
      <c r="E114" s="77" t="s">
        <v>183</v>
      </c>
      <c r="F114" s="78">
        <v>37803</v>
      </c>
      <c r="G114" s="79" t="s">
        <v>429</v>
      </c>
      <c r="H114" s="109">
        <v>1215970</v>
      </c>
      <c r="I114" s="109">
        <v>1584380</v>
      </c>
      <c r="J114" s="110">
        <f t="shared" si="13"/>
        <v>1780625</v>
      </c>
      <c r="K114" s="110">
        <v>3365005</v>
      </c>
      <c r="L114" s="111">
        <v>450093</v>
      </c>
      <c r="M114" s="111">
        <f t="shared" si="19"/>
        <v>12958028</v>
      </c>
      <c r="N114" s="111">
        <v>13408121</v>
      </c>
      <c r="O114" s="111">
        <f t="shared" si="14"/>
        <v>-10043116</v>
      </c>
      <c r="P114" s="111">
        <f>7649174+1087464+17940+6424</f>
        <v>8761002</v>
      </c>
      <c r="Q114" s="111">
        <f>9776999</f>
        <v>9776999</v>
      </c>
      <c r="R114" s="82"/>
      <c r="S114" s="82"/>
      <c r="T114" s="109">
        <f t="shared" si="15"/>
        <v>-1015997</v>
      </c>
      <c r="U114" s="83">
        <f t="shared" si="16"/>
        <v>3.5201169536073658</v>
      </c>
      <c r="V114" s="83">
        <f t="shared" si="17"/>
        <v>45.395223012705635</v>
      </c>
      <c r="W114" s="84"/>
      <c r="X114" s="84">
        <f t="shared" si="18"/>
        <v>-0.11596812784656367</v>
      </c>
      <c r="Y114" s="109" t="s">
        <v>352</v>
      </c>
      <c r="Z114" s="109">
        <v>-5821609</v>
      </c>
      <c r="AA114" s="112">
        <v>-6837606</v>
      </c>
    </row>
    <row r="115" spans="2:27">
      <c r="B115" s="75" t="s">
        <v>16</v>
      </c>
      <c r="C115" s="96"/>
      <c r="D115" s="76" t="s">
        <v>389</v>
      </c>
      <c r="E115" s="77" t="s">
        <v>188</v>
      </c>
      <c r="F115" s="78">
        <v>43647</v>
      </c>
      <c r="G115" s="79" t="s">
        <v>346</v>
      </c>
      <c r="H115" s="109">
        <v>27317</v>
      </c>
      <c r="I115" s="109">
        <v>32746</v>
      </c>
      <c r="J115" s="110">
        <f t="shared" si="13"/>
        <v>14898</v>
      </c>
      <c r="K115" s="110">
        <v>47644</v>
      </c>
      <c r="L115" s="111">
        <v>415569</v>
      </c>
      <c r="M115" s="111">
        <f t="shared" si="19"/>
        <v>0</v>
      </c>
      <c r="N115" s="111">
        <v>415569</v>
      </c>
      <c r="O115" s="111">
        <f t="shared" si="14"/>
        <v>-367925</v>
      </c>
      <c r="P115" s="111">
        <f>336960+101160</f>
        <v>438120</v>
      </c>
      <c r="Q115" s="111">
        <f>772681+2455</f>
        <v>775136</v>
      </c>
      <c r="R115" s="82"/>
      <c r="S115" s="82"/>
      <c r="T115" s="109">
        <f t="shared" si="15"/>
        <v>-337016</v>
      </c>
      <c r="U115" s="83">
        <f t="shared" si="16"/>
        <v>7.8797985412771401E-2</v>
      </c>
      <c r="V115" s="83">
        <f t="shared" si="17"/>
        <v>12.863168527845437</v>
      </c>
      <c r="W115" s="84"/>
      <c r="X115" s="84">
        <f t="shared" si="18"/>
        <v>-0.76923217383365283</v>
      </c>
      <c r="Y115" s="109" t="s">
        <v>352</v>
      </c>
      <c r="Z115" s="109">
        <v>0</v>
      </c>
      <c r="AA115" s="112">
        <v>-337016</v>
      </c>
    </row>
    <row r="116" spans="2:27">
      <c r="B116" s="75" t="s">
        <v>16</v>
      </c>
      <c r="C116" s="96"/>
      <c r="D116" s="76">
        <v>133678</v>
      </c>
      <c r="E116" s="77" t="s">
        <v>193</v>
      </c>
      <c r="F116" s="78">
        <v>36342</v>
      </c>
      <c r="G116" s="79" t="s">
        <v>346</v>
      </c>
      <c r="H116" s="109">
        <v>99399</v>
      </c>
      <c r="I116" s="109">
        <v>168486</v>
      </c>
      <c r="J116" s="110">
        <f t="shared" si="13"/>
        <v>92310</v>
      </c>
      <c r="K116" s="110">
        <v>260796</v>
      </c>
      <c r="L116" s="111">
        <v>32000</v>
      </c>
      <c r="M116" s="111">
        <f t="shared" si="19"/>
        <v>1500358</v>
      </c>
      <c r="N116" s="111">
        <v>1532358</v>
      </c>
      <c r="O116" s="111">
        <f t="shared" si="14"/>
        <v>-1271562</v>
      </c>
      <c r="P116" s="111">
        <f>1637151+410967+19020+705</f>
        <v>2067843</v>
      </c>
      <c r="Q116" s="111">
        <v>1780552</v>
      </c>
      <c r="R116" s="82"/>
      <c r="S116" s="82"/>
      <c r="T116" s="109">
        <f t="shared" si="15"/>
        <v>287291</v>
      </c>
      <c r="U116" s="83">
        <f t="shared" si="16"/>
        <v>5.2651874999999997</v>
      </c>
      <c r="V116" s="83">
        <f t="shared" si="17"/>
        <v>20.376060345331108</v>
      </c>
      <c r="W116" s="84"/>
      <c r="X116" s="84">
        <f t="shared" si="18"/>
        <v>0.13893269460012198</v>
      </c>
      <c r="Y116" s="109">
        <f t="shared" si="20"/>
        <v>-22779</v>
      </c>
      <c r="Z116" s="109">
        <v>-1972696</v>
      </c>
      <c r="AA116" s="112">
        <v>-1685405</v>
      </c>
    </row>
    <row r="117" spans="2:27">
      <c r="B117" s="75" t="s">
        <v>16</v>
      </c>
      <c r="C117" s="96"/>
      <c r="D117" s="76">
        <v>133678</v>
      </c>
      <c r="E117" s="77" t="s">
        <v>193</v>
      </c>
      <c r="F117" s="78">
        <v>36342</v>
      </c>
      <c r="G117" s="79" t="s">
        <v>349</v>
      </c>
      <c r="H117" s="109">
        <v>122178</v>
      </c>
      <c r="I117" s="109">
        <v>187457</v>
      </c>
      <c r="J117" s="110">
        <f t="shared" si="13"/>
        <v>96154</v>
      </c>
      <c r="K117" s="110">
        <v>283611</v>
      </c>
      <c r="L117" s="111">
        <v>56688</v>
      </c>
      <c r="M117" s="111">
        <f t="shared" si="19"/>
        <v>1587366</v>
      </c>
      <c r="N117" s="111">
        <v>1644054</v>
      </c>
      <c r="O117" s="111">
        <f t="shared" si="14"/>
        <v>-1360443</v>
      </c>
      <c r="P117" s="111">
        <f>1699522+522784+19020+982</f>
        <v>2242308</v>
      </c>
      <c r="Q117" s="111">
        <f>1764230</f>
        <v>1764230</v>
      </c>
      <c r="R117" s="82"/>
      <c r="S117" s="82"/>
      <c r="T117" s="109">
        <f t="shared" si="15"/>
        <v>478078</v>
      </c>
      <c r="U117" s="83">
        <f t="shared" si="16"/>
        <v>3.3068197854925203</v>
      </c>
      <c r="V117" s="83">
        <f t="shared" si="17"/>
        <v>25.277299445083692</v>
      </c>
      <c r="W117" s="84"/>
      <c r="X117" s="84">
        <f t="shared" si="18"/>
        <v>0.21320799818758174</v>
      </c>
      <c r="Y117" s="109">
        <f t="shared" si="20"/>
        <v>-65206</v>
      </c>
      <c r="Z117" s="109">
        <v>-2450774</v>
      </c>
      <c r="AA117" s="112">
        <v>-1972696</v>
      </c>
    </row>
    <row r="118" spans="2:27">
      <c r="B118" s="75" t="s">
        <v>16</v>
      </c>
      <c r="C118" s="96"/>
      <c r="D118" s="76">
        <v>133678</v>
      </c>
      <c r="E118" s="77" t="s">
        <v>193</v>
      </c>
      <c r="F118" s="78">
        <v>36342</v>
      </c>
      <c r="G118" s="79" t="s">
        <v>351</v>
      </c>
      <c r="H118" s="109">
        <v>187384</v>
      </c>
      <c r="I118" s="109">
        <v>228030</v>
      </c>
      <c r="J118" s="110">
        <f t="shared" si="13"/>
        <v>8719</v>
      </c>
      <c r="K118" s="110">
        <v>236749</v>
      </c>
      <c r="L118" s="111">
        <v>47793</v>
      </c>
      <c r="M118" s="111">
        <f t="shared" si="19"/>
        <v>2064596</v>
      </c>
      <c r="N118" s="111">
        <v>2112389</v>
      </c>
      <c r="O118" s="111">
        <f t="shared" si="14"/>
        <v>-1875640</v>
      </c>
      <c r="P118" s="111">
        <f>2048267+504961+19020+593</f>
        <v>2572841</v>
      </c>
      <c r="Q118" s="111">
        <f>1576255</f>
        <v>1576255</v>
      </c>
      <c r="R118" s="82"/>
      <c r="S118" s="82"/>
      <c r="T118" s="109">
        <f t="shared" si="15"/>
        <v>996586</v>
      </c>
      <c r="U118" s="83">
        <f t="shared" si="16"/>
        <v>4.7712008034649429</v>
      </c>
      <c r="V118" s="83">
        <f t="shared" si="17"/>
        <v>43.390923422923322</v>
      </c>
      <c r="W118" s="84"/>
      <c r="X118" s="84">
        <f t="shared" si="18"/>
        <v>0.38734846032071163</v>
      </c>
      <c r="Y118" s="109">
        <f t="shared" si="20"/>
        <v>-33422</v>
      </c>
      <c r="Z118" s="109">
        <v>-3447360</v>
      </c>
      <c r="AA118" s="112">
        <v>-2450774</v>
      </c>
    </row>
    <row r="119" spans="2:27">
      <c r="B119" s="75" t="s">
        <v>16</v>
      </c>
      <c r="C119" s="96"/>
      <c r="D119" s="76">
        <v>133678</v>
      </c>
      <c r="E119" s="77" t="s">
        <v>193</v>
      </c>
      <c r="F119" s="78">
        <v>36342</v>
      </c>
      <c r="G119" s="79" t="s">
        <v>429</v>
      </c>
      <c r="H119" s="109">
        <v>220806</v>
      </c>
      <c r="I119" s="109">
        <v>274062</v>
      </c>
      <c r="J119" s="110">
        <f t="shared" si="13"/>
        <v>9637</v>
      </c>
      <c r="K119" s="110">
        <v>283699</v>
      </c>
      <c r="L119" s="111">
        <v>59415</v>
      </c>
      <c r="M119" s="111">
        <f t="shared" si="19"/>
        <v>2596069</v>
      </c>
      <c r="N119" s="111">
        <v>2655484</v>
      </c>
      <c r="O119" s="111">
        <f t="shared" si="14"/>
        <v>-2371785</v>
      </c>
      <c r="P119" s="111">
        <f>2207690+481625+3228+19825+309</f>
        <v>2712677</v>
      </c>
      <c r="Q119" s="111">
        <f>2543945</f>
        <v>2543945</v>
      </c>
      <c r="R119" s="82"/>
      <c r="S119" s="82"/>
      <c r="T119" s="109">
        <f t="shared" si="15"/>
        <v>168732</v>
      </c>
      <c r="U119" s="83">
        <f t="shared" si="16"/>
        <v>4.6126735672809893</v>
      </c>
      <c r="V119" s="83">
        <f t="shared" si="17"/>
        <v>31.680791054838057</v>
      </c>
      <c r="W119" s="84"/>
      <c r="X119" s="84">
        <f t="shared" si="18"/>
        <v>6.2201286773176462E-2</v>
      </c>
      <c r="Y119" s="109">
        <f t="shared" si="20"/>
        <v>161415</v>
      </c>
      <c r="Z119" s="109">
        <v>-3125297</v>
      </c>
      <c r="AA119" s="112">
        <v>-2956565</v>
      </c>
    </row>
    <row r="120" spans="2:27">
      <c r="B120" s="75" t="s">
        <v>16</v>
      </c>
      <c r="C120" s="96"/>
      <c r="D120" s="76" t="s">
        <v>390</v>
      </c>
      <c r="E120" s="77" t="s">
        <v>197</v>
      </c>
      <c r="F120" s="78">
        <v>42917</v>
      </c>
      <c r="G120" s="79" t="s">
        <v>346</v>
      </c>
      <c r="H120" s="109">
        <v>59391</v>
      </c>
      <c r="I120" s="109">
        <v>79061</v>
      </c>
      <c r="J120" s="110">
        <f t="shared" si="13"/>
        <v>1985707</v>
      </c>
      <c r="K120" s="110">
        <v>2064768</v>
      </c>
      <c r="L120" s="111">
        <v>603656</v>
      </c>
      <c r="M120" s="111">
        <f t="shared" si="19"/>
        <v>2853268</v>
      </c>
      <c r="N120" s="111">
        <v>3456924</v>
      </c>
      <c r="O120" s="111">
        <f t="shared" si="14"/>
        <v>-1392156</v>
      </c>
      <c r="P120" s="111">
        <f>1680431+384273+2800</f>
        <v>2067504</v>
      </c>
      <c r="Q120" s="111">
        <f>2347804</f>
        <v>2347804</v>
      </c>
      <c r="R120" s="82"/>
      <c r="S120" s="82"/>
      <c r="T120" s="109">
        <f t="shared" si="15"/>
        <v>-280300</v>
      </c>
      <c r="U120" s="83">
        <f t="shared" si="16"/>
        <v>0.13097028771353222</v>
      </c>
      <c r="V120" s="83">
        <f t="shared" si="17"/>
        <v>9.2331876936916384</v>
      </c>
      <c r="W120" s="84">
        <f>1725000/K120</f>
        <v>0.83544495071601266</v>
      </c>
      <c r="X120" s="84">
        <f t="shared" si="18"/>
        <v>-0.1355741028796075</v>
      </c>
      <c r="Y120" s="109">
        <f t="shared" si="20"/>
        <v>10814</v>
      </c>
      <c r="Z120" s="109">
        <v>-332058</v>
      </c>
      <c r="AA120" s="112">
        <v>-612358</v>
      </c>
    </row>
    <row r="121" spans="2:27">
      <c r="B121" s="75" t="s">
        <v>16</v>
      </c>
      <c r="C121" s="96"/>
      <c r="D121" s="76" t="s">
        <v>390</v>
      </c>
      <c r="E121" s="77" t="s">
        <v>197</v>
      </c>
      <c r="F121" s="78">
        <v>42917</v>
      </c>
      <c r="G121" s="79" t="s">
        <v>349</v>
      </c>
      <c r="H121" s="109">
        <v>48577</v>
      </c>
      <c r="I121" s="109">
        <v>206857</v>
      </c>
      <c r="J121" s="110">
        <f t="shared" si="13"/>
        <v>337911</v>
      </c>
      <c r="K121" s="110">
        <v>544768</v>
      </c>
      <c r="L121" s="111">
        <v>806238</v>
      </c>
      <c r="M121" s="111">
        <f t="shared" si="19"/>
        <v>998166</v>
      </c>
      <c r="N121" s="111">
        <v>1804404</v>
      </c>
      <c r="O121" s="111">
        <f t="shared" si="14"/>
        <v>-1259636</v>
      </c>
      <c r="P121" s="111">
        <f>1294533+442460+2500</f>
        <v>1739493</v>
      </c>
      <c r="Q121" s="111">
        <f>1727794</f>
        <v>1727794</v>
      </c>
      <c r="R121" s="82"/>
      <c r="S121" s="82"/>
      <c r="T121" s="109">
        <f t="shared" si="15"/>
        <v>11699</v>
      </c>
      <c r="U121" s="83">
        <f t="shared" si="16"/>
        <v>0.25657064043123745</v>
      </c>
      <c r="V121" s="83">
        <f t="shared" si="17"/>
        <v>10.261990144658448</v>
      </c>
      <c r="W121" s="84"/>
      <c r="X121" s="84">
        <f t="shared" si="18"/>
        <v>6.7255228966141287E-3</v>
      </c>
      <c r="Y121" s="109">
        <f t="shared" si="20"/>
        <v>41080</v>
      </c>
      <c r="Z121" s="109">
        <v>-343757</v>
      </c>
      <c r="AA121" s="112">
        <v>-332058</v>
      </c>
    </row>
    <row r="122" spans="2:27">
      <c r="B122" s="75" t="s">
        <v>16</v>
      </c>
      <c r="C122" s="96"/>
      <c r="D122" s="76" t="s">
        <v>390</v>
      </c>
      <c r="E122" s="77" t="s">
        <v>197</v>
      </c>
      <c r="F122" s="78">
        <v>42917</v>
      </c>
      <c r="G122" s="79" t="s">
        <v>351</v>
      </c>
      <c r="H122" s="109">
        <v>7497</v>
      </c>
      <c r="I122" s="109">
        <v>122437</v>
      </c>
      <c r="J122" s="110">
        <f t="shared" si="13"/>
        <v>136209</v>
      </c>
      <c r="K122" s="110">
        <v>258646</v>
      </c>
      <c r="L122" s="111">
        <v>672919</v>
      </c>
      <c r="M122" s="111">
        <f t="shared" si="19"/>
        <v>0</v>
      </c>
      <c r="N122" s="111">
        <v>672919</v>
      </c>
      <c r="O122" s="111">
        <f t="shared" si="14"/>
        <v>-414273</v>
      </c>
      <c r="P122" s="111">
        <f>598670+396763</f>
        <v>995433</v>
      </c>
      <c r="Q122" s="111">
        <f>1339190</f>
        <v>1339190</v>
      </c>
      <c r="R122" s="82"/>
      <c r="S122" s="82"/>
      <c r="T122" s="109">
        <f t="shared" si="15"/>
        <v>-343757</v>
      </c>
      <c r="U122" s="83">
        <f t="shared" si="16"/>
        <v>0.18194909045516622</v>
      </c>
      <c r="V122" s="83">
        <f t="shared" si="17"/>
        <v>2.0433284298717882</v>
      </c>
      <c r="W122" s="84"/>
      <c r="X122" s="84">
        <f t="shared" si="18"/>
        <v>-0.34533414102204768</v>
      </c>
      <c r="Y122" s="109" t="s">
        <v>352</v>
      </c>
      <c r="Z122" s="109">
        <v>0</v>
      </c>
      <c r="AA122" s="112">
        <v>-343757</v>
      </c>
    </row>
    <row r="123" spans="2:27">
      <c r="B123" s="75" t="s">
        <v>16</v>
      </c>
      <c r="C123" s="96"/>
      <c r="D123" s="76" t="s">
        <v>392</v>
      </c>
      <c r="E123" s="77" t="s">
        <v>201</v>
      </c>
      <c r="F123" s="78">
        <v>40725</v>
      </c>
      <c r="G123" s="79" t="s">
        <v>346</v>
      </c>
      <c r="H123" s="109">
        <v>63240</v>
      </c>
      <c r="I123" s="109">
        <v>148141</v>
      </c>
      <c r="J123" s="110">
        <f t="shared" si="13"/>
        <v>146540</v>
      </c>
      <c r="K123" s="110">
        <v>294681</v>
      </c>
      <c r="L123" s="111">
        <v>666284</v>
      </c>
      <c r="M123" s="111">
        <f t="shared" si="19"/>
        <v>2495129</v>
      </c>
      <c r="N123" s="111">
        <v>3161413</v>
      </c>
      <c r="O123" s="111">
        <f t="shared" si="14"/>
        <v>-2866732</v>
      </c>
      <c r="P123" s="111">
        <f>1929929+562327+10471</f>
        <v>2502727</v>
      </c>
      <c r="Q123" s="111">
        <f>2479261+65363</f>
        <v>2544624</v>
      </c>
      <c r="R123" s="82"/>
      <c r="S123" s="82"/>
      <c r="T123" s="109">
        <f t="shared" si="15"/>
        <v>-41897</v>
      </c>
      <c r="U123" s="83">
        <f t="shared" si="16"/>
        <v>0.22233912265640476</v>
      </c>
      <c r="V123" s="83">
        <f t="shared" si="17"/>
        <v>9.0711240639088526</v>
      </c>
      <c r="W123" s="84">
        <f>684975/K123</f>
        <v>2.3244627240982623</v>
      </c>
      <c r="X123" s="84">
        <f t="shared" si="18"/>
        <v>-1.6740539419601099E-2</v>
      </c>
      <c r="Y123" s="109">
        <f t="shared" si="20"/>
        <v>-45124</v>
      </c>
      <c r="Z123" s="109">
        <v>-2857514</v>
      </c>
      <c r="AA123" s="112">
        <v>-2899411</v>
      </c>
    </row>
    <row r="124" spans="2:27">
      <c r="B124" s="75" t="s">
        <v>16</v>
      </c>
      <c r="C124" s="96"/>
      <c r="D124" s="76" t="s">
        <v>392</v>
      </c>
      <c r="E124" s="77" t="s">
        <v>201</v>
      </c>
      <c r="F124" s="78">
        <v>40725</v>
      </c>
      <c r="G124" s="79" t="s">
        <v>349</v>
      </c>
      <c r="H124" s="109">
        <v>108364</v>
      </c>
      <c r="I124" s="109">
        <v>199444</v>
      </c>
      <c r="J124" s="110">
        <f t="shared" si="13"/>
        <v>130075</v>
      </c>
      <c r="K124" s="110">
        <v>329519</v>
      </c>
      <c r="L124" s="111">
        <v>763797</v>
      </c>
      <c r="M124" s="111">
        <f t="shared" si="19"/>
        <v>2206649</v>
      </c>
      <c r="N124" s="111">
        <v>2970446</v>
      </c>
      <c r="O124" s="111">
        <f t="shared" si="14"/>
        <v>-2640927</v>
      </c>
      <c r="P124" s="111">
        <f>1776238+530451+117662</f>
        <v>2424351</v>
      </c>
      <c r="Q124" s="111">
        <f>2090476+66154</f>
        <v>2156630</v>
      </c>
      <c r="R124" s="82"/>
      <c r="S124" s="82"/>
      <c r="T124" s="109">
        <f t="shared" si="15"/>
        <v>267721</v>
      </c>
      <c r="U124" s="83">
        <f t="shared" si="16"/>
        <v>0.26112173784395593</v>
      </c>
      <c r="V124" s="83">
        <f t="shared" si="17"/>
        <v>18.340123247845018</v>
      </c>
      <c r="W124" s="84">
        <f>684975/K124</f>
        <v>2.0787116979597533</v>
      </c>
      <c r="X124" s="84">
        <f t="shared" si="18"/>
        <v>0.11042996661787011</v>
      </c>
      <c r="Y124" s="109">
        <f t="shared" si="20"/>
        <v>70446</v>
      </c>
      <c r="Z124" s="109">
        <v>-3125235</v>
      </c>
      <c r="AA124" s="112">
        <v>-2857514</v>
      </c>
    </row>
    <row r="125" spans="2:27">
      <c r="B125" s="75" t="s">
        <v>16</v>
      </c>
      <c r="C125" s="96"/>
      <c r="D125" s="76" t="s">
        <v>392</v>
      </c>
      <c r="E125" s="77" t="s">
        <v>201</v>
      </c>
      <c r="F125" s="78">
        <v>40725</v>
      </c>
      <c r="G125" s="79" t="s">
        <v>351</v>
      </c>
      <c r="H125" s="109">
        <v>37918</v>
      </c>
      <c r="I125" s="109">
        <v>138657</v>
      </c>
      <c r="J125" s="110">
        <f t="shared" si="13"/>
        <v>61787</v>
      </c>
      <c r="K125" s="110">
        <v>200444</v>
      </c>
      <c r="L125" s="111">
        <v>763180</v>
      </c>
      <c r="M125" s="111">
        <f t="shared" si="19"/>
        <v>3016257</v>
      </c>
      <c r="N125" s="111">
        <v>3779437</v>
      </c>
      <c r="O125" s="111">
        <f t="shared" si="14"/>
        <v>-3578993</v>
      </c>
      <c r="P125" s="111">
        <f>1342478+439848</f>
        <v>1782326</v>
      </c>
      <c r="Q125" s="111">
        <f>1000337+59375</f>
        <v>1059712</v>
      </c>
      <c r="R125" s="82"/>
      <c r="S125" s="82"/>
      <c r="T125" s="109">
        <f t="shared" si="15"/>
        <v>722614</v>
      </c>
      <c r="U125" s="83">
        <f t="shared" si="16"/>
        <v>0.18168322021017322</v>
      </c>
      <c r="V125" s="83">
        <f t="shared" si="17"/>
        <v>13.06021824797681</v>
      </c>
      <c r="W125" s="84">
        <f>684975/K125</f>
        <v>3.4172886192652312</v>
      </c>
      <c r="X125" s="84">
        <f t="shared" si="18"/>
        <v>0.40543312502875456</v>
      </c>
      <c r="Y125" s="109">
        <f t="shared" si="20"/>
        <v>-38106</v>
      </c>
      <c r="Z125" s="109">
        <v>-3847849</v>
      </c>
      <c r="AA125" s="112">
        <v>-3125235</v>
      </c>
    </row>
    <row r="126" spans="2:27">
      <c r="B126" s="75" t="s">
        <v>16</v>
      </c>
      <c r="C126" s="96"/>
      <c r="D126" s="76" t="s">
        <v>392</v>
      </c>
      <c r="E126" s="77" t="s">
        <v>201</v>
      </c>
      <c r="F126" s="78">
        <v>40725</v>
      </c>
      <c r="G126" s="79" t="s">
        <v>429</v>
      </c>
      <c r="H126" s="109">
        <v>76024</v>
      </c>
      <c r="I126" s="109">
        <v>179396</v>
      </c>
      <c r="J126" s="110">
        <f t="shared" ref="J126:J149" si="26">K126-I126</f>
        <v>78772</v>
      </c>
      <c r="K126" s="110">
        <v>258168</v>
      </c>
      <c r="L126" s="111">
        <v>773947</v>
      </c>
      <c r="M126" s="111">
        <f t="shared" si="19"/>
        <v>3812082</v>
      </c>
      <c r="N126" s="111">
        <v>4586029</v>
      </c>
      <c r="O126" s="111">
        <f t="shared" ref="O126:O149" si="27">K126-N126</f>
        <v>-4327861</v>
      </c>
      <c r="P126" s="111">
        <f>1529130+668487+88812</f>
        <v>2286429</v>
      </c>
      <c r="Q126" s="111">
        <f>2569814+56468</f>
        <v>2626282</v>
      </c>
      <c r="R126" s="82"/>
      <c r="S126" s="82"/>
      <c r="T126" s="109">
        <f t="shared" ref="T126:T149" si="28">P126-Q126</f>
        <v>-339853</v>
      </c>
      <c r="U126" s="83">
        <f t="shared" ref="U126:U149" si="29">I126/L126</f>
        <v>0.23179364995277454</v>
      </c>
      <c r="V126" s="83">
        <f t="shared" ref="V126:V149" si="30">H126/(Q126/365)</f>
        <v>10.565796056935241</v>
      </c>
      <c r="W126" s="84">
        <f>684975/K126</f>
        <v>2.6532141861113692</v>
      </c>
      <c r="X126" s="84">
        <f t="shared" ref="X126:X149" si="31">T126/P126</f>
        <v>-0.14863920987706156</v>
      </c>
      <c r="Y126" s="109" t="s">
        <v>352</v>
      </c>
      <c r="Z126" s="109">
        <v>-2931761</v>
      </c>
      <c r="AA126" s="112">
        <v>-3271614</v>
      </c>
    </row>
    <row r="127" spans="2:27">
      <c r="B127" s="75" t="s">
        <v>16</v>
      </c>
      <c r="C127" s="96"/>
      <c r="D127" s="76" t="s">
        <v>394</v>
      </c>
      <c r="E127" s="77" t="s">
        <v>206</v>
      </c>
      <c r="F127" s="78">
        <v>41456</v>
      </c>
      <c r="G127" s="79" t="s">
        <v>346</v>
      </c>
      <c r="H127" s="109">
        <v>62671</v>
      </c>
      <c r="I127" s="109">
        <v>167552</v>
      </c>
      <c r="J127" s="110">
        <f t="shared" si="26"/>
        <v>94562</v>
      </c>
      <c r="K127" s="110">
        <v>262114</v>
      </c>
      <c r="L127" s="111">
        <v>790212</v>
      </c>
      <c r="M127" s="111">
        <f t="shared" si="19"/>
        <v>1821075</v>
      </c>
      <c r="N127" s="111">
        <v>2611287</v>
      </c>
      <c r="O127" s="111">
        <f t="shared" si="27"/>
        <v>-2349173</v>
      </c>
      <c r="P127" s="111">
        <f>1722443+356870+4073</f>
        <v>2083386</v>
      </c>
      <c r="Q127" s="111">
        <f>2244244+44767</f>
        <v>2289011</v>
      </c>
      <c r="R127" s="82"/>
      <c r="S127" s="82"/>
      <c r="T127" s="109">
        <f t="shared" si="28"/>
        <v>-205625</v>
      </c>
      <c r="U127" s="83">
        <f t="shared" si="29"/>
        <v>0.2120342389131018</v>
      </c>
      <c r="V127" s="83">
        <f t="shared" si="30"/>
        <v>9.9933617619137696</v>
      </c>
      <c r="W127" s="84">
        <f>308615/K127</f>
        <v>1.1774075402305868</v>
      </c>
      <c r="X127" s="84">
        <f t="shared" si="31"/>
        <v>-9.869750492707545E-2</v>
      </c>
      <c r="Y127" s="109">
        <f t="shared" si="20"/>
        <v>-17551</v>
      </c>
      <c r="Z127" s="109">
        <v>-1806749</v>
      </c>
      <c r="AA127" s="112">
        <v>-2012374</v>
      </c>
    </row>
    <row r="128" spans="2:27">
      <c r="B128" s="75" t="s">
        <v>16</v>
      </c>
      <c r="C128" s="96"/>
      <c r="D128" s="76" t="s">
        <v>394</v>
      </c>
      <c r="E128" s="77" t="s">
        <v>206</v>
      </c>
      <c r="F128" s="78">
        <v>41456</v>
      </c>
      <c r="G128" s="79" t="s">
        <v>349</v>
      </c>
      <c r="H128" s="109">
        <v>80222</v>
      </c>
      <c r="I128" s="109">
        <v>150738</v>
      </c>
      <c r="J128" s="110">
        <f t="shared" si="26"/>
        <v>98900</v>
      </c>
      <c r="K128" s="110">
        <v>249638</v>
      </c>
      <c r="L128" s="111">
        <v>857487</v>
      </c>
      <c r="M128" s="111">
        <f t="shared" si="19"/>
        <v>1656595</v>
      </c>
      <c r="N128" s="111">
        <v>2514082</v>
      </c>
      <c r="O128" s="111">
        <f t="shared" si="27"/>
        <v>-2264444</v>
      </c>
      <c r="P128" s="111">
        <f>1619149+363155</f>
        <v>1982304</v>
      </c>
      <c r="Q128" s="111">
        <f>2138505+40974</f>
        <v>2179479</v>
      </c>
      <c r="R128" s="82"/>
      <c r="S128" s="82"/>
      <c r="T128" s="109">
        <f t="shared" si="28"/>
        <v>-197175</v>
      </c>
      <c r="U128" s="83">
        <f t="shared" si="29"/>
        <v>0.17579042014631124</v>
      </c>
      <c r="V128" s="83">
        <f t="shared" si="30"/>
        <v>13.434875949710916</v>
      </c>
      <c r="W128" s="84">
        <f>308615/K128</f>
        <v>1.2362500901305089</v>
      </c>
      <c r="X128" s="84">
        <f t="shared" si="31"/>
        <v>-9.9467589229502634E-2</v>
      </c>
      <c r="Y128" s="109">
        <f t="shared" si="20"/>
        <v>53910</v>
      </c>
      <c r="Z128" s="109">
        <v>-1609574</v>
      </c>
      <c r="AA128" s="112">
        <v>-1806749</v>
      </c>
    </row>
    <row r="129" spans="2:27">
      <c r="B129" s="75" t="s">
        <v>16</v>
      </c>
      <c r="C129" s="96"/>
      <c r="D129" s="76" t="s">
        <v>394</v>
      </c>
      <c r="E129" s="77" t="s">
        <v>206</v>
      </c>
      <c r="F129" s="78">
        <v>41456</v>
      </c>
      <c r="G129" s="79" t="s">
        <v>351</v>
      </c>
      <c r="H129" s="109">
        <v>26312</v>
      </c>
      <c r="I129" s="109">
        <v>190347</v>
      </c>
      <c r="J129" s="110">
        <f t="shared" si="26"/>
        <v>24556</v>
      </c>
      <c r="K129" s="110">
        <v>214903</v>
      </c>
      <c r="L129" s="111">
        <v>864575</v>
      </c>
      <c r="M129" s="111">
        <f t="shared" si="19"/>
        <v>1932488</v>
      </c>
      <c r="N129" s="111">
        <v>2797063</v>
      </c>
      <c r="O129" s="111">
        <f t="shared" si="27"/>
        <v>-2582160</v>
      </c>
      <c r="P129" s="111">
        <f>1285506+275511</f>
        <v>1561017</v>
      </c>
      <c r="Q129" s="111">
        <f>1423597+51927</f>
        <v>1475524</v>
      </c>
      <c r="R129" s="82"/>
      <c r="S129" s="82"/>
      <c r="T129" s="109">
        <f t="shared" si="28"/>
        <v>85493</v>
      </c>
      <c r="U129" s="83">
        <f t="shared" si="29"/>
        <v>0.2201625075904346</v>
      </c>
      <c r="V129" s="83">
        <f t="shared" si="30"/>
        <v>6.508792808520905</v>
      </c>
      <c r="W129" s="84">
        <f>308615/K129</f>
        <v>1.4360665044229257</v>
      </c>
      <c r="X129" s="84">
        <f t="shared" si="31"/>
        <v>5.4767500930483139E-2</v>
      </c>
      <c r="Y129" s="109">
        <f t="shared" si="20"/>
        <v>-26653</v>
      </c>
      <c r="Z129" s="109">
        <v>-1695067</v>
      </c>
      <c r="AA129" s="112">
        <v>-1609574</v>
      </c>
    </row>
    <row r="130" spans="2:27">
      <c r="B130" s="75" t="s">
        <v>16</v>
      </c>
      <c r="C130" s="96"/>
      <c r="D130" s="76" t="s">
        <v>394</v>
      </c>
      <c r="E130" s="77" t="s">
        <v>206</v>
      </c>
      <c r="F130" s="78">
        <v>41456</v>
      </c>
      <c r="G130" s="79" t="s">
        <v>429</v>
      </c>
      <c r="H130" s="109">
        <v>52965</v>
      </c>
      <c r="I130" s="109">
        <v>163072</v>
      </c>
      <c r="J130" s="110">
        <f t="shared" si="26"/>
        <v>22168</v>
      </c>
      <c r="K130" s="110">
        <v>185240</v>
      </c>
      <c r="L130" s="111">
        <v>638642</v>
      </c>
      <c r="M130" s="111">
        <f t="shared" si="19"/>
        <v>1997723</v>
      </c>
      <c r="N130" s="111">
        <v>2636365</v>
      </c>
      <c r="O130" s="111">
        <f t="shared" si="27"/>
        <v>-2451125</v>
      </c>
      <c r="P130" s="111">
        <f>1506647+222258</f>
        <v>1728905</v>
      </c>
      <c r="Q130" s="111">
        <f>2116755+42482</f>
        <v>2159237</v>
      </c>
      <c r="R130" s="82"/>
      <c r="S130" s="82"/>
      <c r="T130" s="109">
        <f t="shared" si="28"/>
        <v>-430332</v>
      </c>
      <c r="U130" s="83">
        <f t="shared" si="29"/>
        <v>0.2553418033890662</v>
      </c>
      <c r="V130" s="83">
        <f t="shared" si="30"/>
        <v>8.9532668252720757</v>
      </c>
      <c r="W130" s="84">
        <f>308615/K130</f>
        <v>1.6660278557546966</v>
      </c>
      <c r="X130" s="84">
        <f t="shared" si="31"/>
        <v>-0.2489043643230831</v>
      </c>
      <c r="Y130" s="109" t="s">
        <v>352</v>
      </c>
      <c r="Z130" s="109">
        <v>-944856</v>
      </c>
      <c r="AA130" s="112">
        <v>-1375188</v>
      </c>
    </row>
    <row r="131" spans="2:27">
      <c r="B131" s="75" t="s">
        <v>16</v>
      </c>
      <c r="C131" s="96"/>
      <c r="D131" s="76" t="s">
        <v>395</v>
      </c>
      <c r="E131" s="77" t="s">
        <v>211</v>
      </c>
      <c r="F131" s="78">
        <v>44013</v>
      </c>
      <c r="G131" s="79" t="s">
        <v>346</v>
      </c>
      <c r="H131" s="109">
        <v>258994</v>
      </c>
      <c r="I131" s="109">
        <v>272885</v>
      </c>
      <c r="J131" s="110">
        <f t="shared" si="26"/>
        <v>4148</v>
      </c>
      <c r="K131" s="110">
        <v>277033</v>
      </c>
      <c r="L131" s="111">
        <v>148231</v>
      </c>
      <c r="M131" s="111">
        <f t="shared" ref="M131:M149" si="32">N131-L131</f>
        <v>0</v>
      </c>
      <c r="N131" s="111">
        <v>148231</v>
      </c>
      <c r="O131" s="111">
        <f t="shared" si="27"/>
        <v>128802</v>
      </c>
      <c r="P131" s="111">
        <f>2018578+482745</f>
        <v>2501323</v>
      </c>
      <c r="Q131" s="111">
        <f>2270917+2136</f>
        <v>2273053</v>
      </c>
      <c r="R131" s="82"/>
      <c r="S131" s="82"/>
      <c r="T131" s="109">
        <f t="shared" si="28"/>
        <v>228270</v>
      </c>
      <c r="U131" s="83">
        <f t="shared" si="29"/>
        <v>1.8409442019550566</v>
      </c>
      <c r="V131" s="83">
        <f t="shared" si="30"/>
        <v>41.588475939628331</v>
      </c>
      <c r="W131" s="84"/>
      <c r="X131" s="84">
        <f t="shared" si="31"/>
        <v>9.1259705363921417E-2</v>
      </c>
      <c r="Y131" s="109" t="e">
        <f>H131-#REF!</f>
        <v>#REF!</v>
      </c>
      <c r="Z131" s="109">
        <v>0</v>
      </c>
      <c r="AA131" s="112">
        <v>228270</v>
      </c>
    </row>
    <row r="132" spans="2:27">
      <c r="B132" s="75" t="s">
        <v>16</v>
      </c>
      <c r="C132" s="96"/>
      <c r="D132" s="76" t="s">
        <v>396</v>
      </c>
      <c r="E132" s="77" t="s">
        <v>216</v>
      </c>
      <c r="F132" s="78">
        <v>40725</v>
      </c>
      <c r="G132" s="79" t="s">
        <v>346</v>
      </c>
      <c r="H132" s="109">
        <v>62524</v>
      </c>
      <c r="I132" s="109">
        <v>194375</v>
      </c>
      <c r="J132" s="110">
        <f t="shared" si="26"/>
        <v>147125</v>
      </c>
      <c r="K132" s="110">
        <v>341500</v>
      </c>
      <c r="L132" s="111">
        <v>1775034</v>
      </c>
      <c r="M132" s="111">
        <f t="shared" si="32"/>
        <v>2003047</v>
      </c>
      <c r="N132" s="111">
        <v>3778081</v>
      </c>
      <c r="O132" s="111">
        <f t="shared" si="27"/>
        <v>-3436581</v>
      </c>
      <c r="P132" s="111">
        <f>1956870+540396+50000</f>
        <v>2547266</v>
      </c>
      <c r="Q132" s="111">
        <f>2213898+84987</f>
        <v>2298885</v>
      </c>
      <c r="R132" s="82"/>
      <c r="S132" s="82"/>
      <c r="T132" s="109">
        <f t="shared" si="28"/>
        <v>248381</v>
      </c>
      <c r="U132" s="83">
        <f t="shared" si="29"/>
        <v>0.10950494469401713</v>
      </c>
      <c r="V132" s="83">
        <f t="shared" si="30"/>
        <v>9.9270994416858613</v>
      </c>
      <c r="W132" s="84"/>
      <c r="X132" s="84">
        <f t="shared" si="31"/>
        <v>9.750885851732799E-2</v>
      </c>
      <c r="Y132" s="109">
        <f t="shared" ref="Y132:Y148" si="33">H132-H133</f>
        <v>-6120</v>
      </c>
      <c r="Z132" s="109">
        <v>-4802516</v>
      </c>
      <c r="AA132" s="112">
        <v>-4554135</v>
      </c>
    </row>
    <row r="133" spans="2:27">
      <c r="B133" s="75" t="s">
        <v>16</v>
      </c>
      <c r="C133" s="96"/>
      <c r="D133" s="76" t="s">
        <v>396</v>
      </c>
      <c r="E133" s="77" t="s">
        <v>216</v>
      </c>
      <c r="F133" s="78">
        <v>40725</v>
      </c>
      <c r="G133" s="79" t="s">
        <v>349</v>
      </c>
      <c r="H133" s="109">
        <v>68644</v>
      </c>
      <c r="I133" s="109">
        <v>240730</v>
      </c>
      <c r="J133" s="110">
        <f t="shared" si="26"/>
        <v>175482</v>
      </c>
      <c r="K133" s="110">
        <v>416212</v>
      </c>
      <c r="L133" s="111">
        <v>1761120</v>
      </c>
      <c r="M133" s="111">
        <f t="shared" si="32"/>
        <v>2600670</v>
      </c>
      <c r="N133" s="111">
        <v>4361790</v>
      </c>
      <c r="O133" s="111">
        <f t="shared" si="27"/>
        <v>-3945578</v>
      </c>
      <c r="P133" s="111">
        <f>2618389+582922</f>
        <v>3201311</v>
      </c>
      <c r="Q133" s="111">
        <f>2835872+131294</f>
        <v>2967166</v>
      </c>
      <c r="R133" s="82"/>
      <c r="S133" s="82"/>
      <c r="T133" s="109">
        <f t="shared" si="28"/>
        <v>234145</v>
      </c>
      <c r="U133" s="83">
        <f t="shared" si="29"/>
        <v>0.13669142363950212</v>
      </c>
      <c r="V133" s="83">
        <f t="shared" si="30"/>
        <v>8.4441045765555405</v>
      </c>
      <c r="W133" s="84"/>
      <c r="X133" s="84">
        <f t="shared" si="31"/>
        <v>7.3140347813755058E-2</v>
      </c>
      <c r="Y133" s="109">
        <f t="shared" si="33"/>
        <v>20749</v>
      </c>
      <c r="Z133" s="109">
        <v>-5036661</v>
      </c>
      <c r="AA133" s="112">
        <v>-4802516</v>
      </c>
    </row>
    <row r="134" spans="2:27">
      <c r="B134" s="75" t="s">
        <v>16</v>
      </c>
      <c r="C134" s="96"/>
      <c r="D134" s="76" t="s">
        <v>396</v>
      </c>
      <c r="E134" s="77" t="s">
        <v>216</v>
      </c>
      <c r="F134" s="78">
        <v>40725</v>
      </c>
      <c r="G134" s="79" t="s">
        <v>351</v>
      </c>
      <c r="H134" s="109">
        <v>47895</v>
      </c>
      <c r="I134" s="109">
        <v>156298</v>
      </c>
      <c r="J134" s="110">
        <f t="shared" si="26"/>
        <v>100</v>
      </c>
      <c r="K134" s="110">
        <v>156398</v>
      </c>
      <c r="L134" s="111">
        <v>1554234</v>
      </c>
      <c r="M134" s="111">
        <f t="shared" si="32"/>
        <v>4125509</v>
      </c>
      <c r="N134" s="111">
        <v>5679743</v>
      </c>
      <c r="O134" s="111">
        <f t="shared" si="27"/>
        <v>-5523345</v>
      </c>
      <c r="P134" s="111">
        <f>3045811+673023</f>
        <v>3718834</v>
      </c>
      <c r="Q134" s="111">
        <f>2274667+107811</f>
        <v>2382478</v>
      </c>
      <c r="R134" s="82"/>
      <c r="S134" s="82"/>
      <c r="T134" s="109">
        <f t="shared" si="28"/>
        <v>1336356</v>
      </c>
      <c r="U134" s="83">
        <f t="shared" si="29"/>
        <v>0.1005627209287662</v>
      </c>
      <c r="V134" s="83">
        <f t="shared" si="30"/>
        <v>7.3376018582333185</v>
      </c>
      <c r="W134" s="84"/>
      <c r="X134" s="84">
        <f t="shared" si="31"/>
        <v>0.35934811825427004</v>
      </c>
      <c r="Y134" s="109">
        <f t="shared" si="33"/>
        <v>-40917</v>
      </c>
      <c r="Z134" s="109">
        <v>-6373017</v>
      </c>
      <c r="AA134" s="112">
        <v>-5036661</v>
      </c>
    </row>
    <row r="135" spans="2:27">
      <c r="B135" s="75" t="s">
        <v>16</v>
      </c>
      <c r="C135" s="96"/>
      <c r="D135" s="76" t="s">
        <v>396</v>
      </c>
      <c r="E135" s="77" t="s">
        <v>216</v>
      </c>
      <c r="F135" s="78">
        <v>40725</v>
      </c>
      <c r="G135" s="79" t="s">
        <v>429</v>
      </c>
      <c r="H135" s="109">
        <v>88812</v>
      </c>
      <c r="I135" s="109">
        <v>150648</v>
      </c>
      <c r="J135" s="110">
        <f t="shared" si="26"/>
        <v>0</v>
      </c>
      <c r="K135" s="110">
        <v>150648</v>
      </c>
      <c r="L135" s="111">
        <v>1402171</v>
      </c>
      <c r="M135" s="111">
        <f t="shared" si="32"/>
        <v>4961367</v>
      </c>
      <c r="N135" s="111">
        <v>6363538</v>
      </c>
      <c r="O135" s="111">
        <f t="shared" si="27"/>
        <v>-6212890</v>
      </c>
      <c r="P135" s="111">
        <f>3295197+711621+178040+8951</f>
        <v>4193809</v>
      </c>
      <c r="Q135" s="111">
        <f>4517966+202342</f>
        <v>4720308</v>
      </c>
      <c r="R135" s="82"/>
      <c r="S135" s="82"/>
      <c r="T135" s="109">
        <f t="shared" si="28"/>
        <v>-526499</v>
      </c>
      <c r="U135" s="83">
        <f t="shared" si="29"/>
        <v>0.10743910692775703</v>
      </c>
      <c r="V135" s="83">
        <f t="shared" si="30"/>
        <v>6.8674289898032077</v>
      </c>
      <c r="W135" s="84"/>
      <c r="X135" s="84">
        <f t="shared" si="31"/>
        <v>-0.12554195958852679</v>
      </c>
      <c r="Y135" s="109" t="s">
        <v>352</v>
      </c>
      <c r="Z135" s="109">
        <v>-4786265</v>
      </c>
      <c r="AA135" s="112">
        <v>-5312764</v>
      </c>
    </row>
    <row r="136" spans="2:27">
      <c r="B136" s="75" t="s">
        <v>16</v>
      </c>
      <c r="C136" s="96"/>
      <c r="D136" s="76" t="s">
        <v>397</v>
      </c>
      <c r="E136" s="77" t="s">
        <v>220</v>
      </c>
      <c r="F136" s="78">
        <v>38534</v>
      </c>
      <c r="G136" s="79" t="s">
        <v>346</v>
      </c>
      <c r="H136" s="109">
        <v>86276</v>
      </c>
      <c r="I136" s="109">
        <v>108894</v>
      </c>
      <c r="J136" s="110">
        <f t="shared" si="26"/>
        <v>97801</v>
      </c>
      <c r="K136" s="110">
        <v>206695</v>
      </c>
      <c r="L136" s="111">
        <v>28370</v>
      </c>
      <c r="M136" s="111">
        <f t="shared" si="32"/>
        <v>1509500</v>
      </c>
      <c r="N136" s="111">
        <v>1537870</v>
      </c>
      <c r="O136" s="111">
        <f t="shared" si="27"/>
        <v>-1331175</v>
      </c>
      <c r="P136" s="111">
        <f>2314426+544357</f>
        <v>2858783</v>
      </c>
      <c r="Q136" s="111">
        <f>2612900</f>
        <v>2612900</v>
      </c>
      <c r="R136" s="82"/>
      <c r="S136" s="82"/>
      <c r="T136" s="109">
        <f t="shared" si="28"/>
        <v>245883</v>
      </c>
      <c r="U136" s="83">
        <f t="shared" si="29"/>
        <v>3.8383503701092705</v>
      </c>
      <c r="V136" s="83">
        <f t="shared" si="30"/>
        <v>12.052026483983314</v>
      </c>
      <c r="W136" s="84"/>
      <c r="X136" s="84">
        <f t="shared" si="31"/>
        <v>8.6009676145408734E-2</v>
      </c>
      <c r="Y136" s="109">
        <f t="shared" si="33"/>
        <v>8919</v>
      </c>
      <c r="Z136" s="109">
        <v>-1764851</v>
      </c>
      <c r="AA136" s="112">
        <v>-1518968</v>
      </c>
    </row>
    <row r="137" spans="2:27">
      <c r="B137" s="75" t="s">
        <v>16</v>
      </c>
      <c r="C137" s="96"/>
      <c r="D137" s="76" t="s">
        <v>397</v>
      </c>
      <c r="E137" s="77" t="s">
        <v>220</v>
      </c>
      <c r="F137" s="78">
        <v>38534</v>
      </c>
      <c r="G137" s="79" t="s">
        <v>349</v>
      </c>
      <c r="H137" s="109">
        <v>77357</v>
      </c>
      <c r="I137" s="109">
        <v>119688</v>
      </c>
      <c r="J137" s="110">
        <f t="shared" si="26"/>
        <v>79407</v>
      </c>
      <c r="K137" s="110">
        <v>199095</v>
      </c>
      <c r="L137" s="111">
        <v>43052</v>
      </c>
      <c r="M137" s="111">
        <f t="shared" si="32"/>
        <v>1350738</v>
      </c>
      <c r="N137" s="111">
        <v>1393790</v>
      </c>
      <c r="O137" s="111">
        <f t="shared" si="27"/>
        <v>-1194695</v>
      </c>
      <c r="P137" s="111">
        <f>2032838+495455+13455</f>
        <v>2541748</v>
      </c>
      <c r="Q137" s="111">
        <f>2660994</f>
        <v>2660994</v>
      </c>
      <c r="R137" s="82"/>
      <c r="S137" s="82"/>
      <c r="T137" s="109">
        <f t="shared" si="28"/>
        <v>-119246</v>
      </c>
      <c r="U137" s="83">
        <f t="shared" si="29"/>
        <v>2.7800799033726658</v>
      </c>
      <c r="V137" s="83">
        <f t="shared" si="30"/>
        <v>10.610811223174498</v>
      </c>
      <c r="W137" s="84"/>
      <c r="X137" s="84">
        <f t="shared" si="31"/>
        <v>-4.6914957737745837E-2</v>
      </c>
      <c r="Y137" s="109">
        <f t="shared" si="33"/>
        <v>5195</v>
      </c>
      <c r="Z137" s="109">
        <v>-1645605</v>
      </c>
      <c r="AA137" s="112">
        <v>-1764851</v>
      </c>
    </row>
    <row r="138" spans="2:27">
      <c r="B138" s="75" t="s">
        <v>16</v>
      </c>
      <c r="C138" s="96"/>
      <c r="D138" s="76" t="s">
        <v>397</v>
      </c>
      <c r="E138" s="77" t="s">
        <v>220</v>
      </c>
      <c r="F138" s="78">
        <v>38534</v>
      </c>
      <c r="G138" s="79" t="s">
        <v>351</v>
      </c>
      <c r="H138" s="109">
        <v>72162</v>
      </c>
      <c r="I138" s="109">
        <v>91911</v>
      </c>
      <c r="J138" s="110">
        <f t="shared" si="26"/>
        <v>0</v>
      </c>
      <c r="K138" s="110">
        <v>91911</v>
      </c>
      <c r="L138" s="111">
        <v>28214</v>
      </c>
      <c r="M138" s="111">
        <f t="shared" si="32"/>
        <v>1909565</v>
      </c>
      <c r="N138" s="111">
        <v>1937779</v>
      </c>
      <c r="O138" s="111">
        <f t="shared" si="27"/>
        <v>-1845868</v>
      </c>
      <c r="P138" s="111">
        <f>1871725+385795+17940</f>
        <v>2275460</v>
      </c>
      <c r="Q138" s="111">
        <f>1892785</f>
        <v>1892785</v>
      </c>
      <c r="R138" s="82"/>
      <c r="S138" s="82"/>
      <c r="T138" s="109">
        <f t="shared" si="28"/>
        <v>382675</v>
      </c>
      <c r="U138" s="83">
        <f t="shared" si="29"/>
        <v>3.2576380520309067</v>
      </c>
      <c r="V138" s="83">
        <f t="shared" si="30"/>
        <v>13.915542441428901</v>
      </c>
      <c r="W138" s="84"/>
      <c r="X138" s="84">
        <f t="shared" si="31"/>
        <v>0.16817478663654822</v>
      </c>
      <c r="Y138" s="109">
        <f t="shared" si="33"/>
        <v>-2762</v>
      </c>
      <c r="Z138" s="109">
        <v>-2028280</v>
      </c>
      <c r="AA138" s="112">
        <v>-1645605</v>
      </c>
    </row>
    <row r="139" spans="2:27">
      <c r="B139" s="75" t="s">
        <v>16</v>
      </c>
      <c r="C139" s="96"/>
      <c r="D139" s="76" t="s">
        <v>397</v>
      </c>
      <c r="E139" s="77" t="s">
        <v>220</v>
      </c>
      <c r="F139" s="78">
        <v>38534</v>
      </c>
      <c r="G139" s="79" t="s">
        <v>429</v>
      </c>
      <c r="H139" s="109">
        <v>74924</v>
      </c>
      <c r="I139" s="109">
        <v>102636</v>
      </c>
      <c r="J139" s="110">
        <f t="shared" si="26"/>
        <v>0</v>
      </c>
      <c r="K139" s="110">
        <v>102636</v>
      </c>
      <c r="L139" s="111">
        <v>34909</v>
      </c>
      <c r="M139" s="111">
        <f t="shared" si="32"/>
        <v>2564160</v>
      </c>
      <c r="N139" s="111">
        <v>2599069</v>
      </c>
      <c r="O139" s="111">
        <f t="shared" si="27"/>
        <v>-2496433</v>
      </c>
      <c r="P139" s="111">
        <f>2050316+398203+2708+18308</f>
        <v>2469535</v>
      </c>
      <c r="Q139" s="111">
        <f>3009628</f>
        <v>3009628</v>
      </c>
      <c r="R139" s="82"/>
      <c r="S139" s="82"/>
      <c r="T139" s="109">
        <f t="shared" si="28"/>
        <v>-540093</v>
      </c>
      <c r="U139" s="83">
        <f t="shared" si="29"/>
        <v>2.9401014065140796</v>
      </c>
      <c r="V139" s="83">
        <f t="shared" si="30"/>
        <v>9.0865914325624306</v>
      </c>
      <c r="W139" s="84"/>
      <c r="X139" s="84">
        <f t="shared" si="31"/>
        <v>-0.2187023063046282</v>
      </c>
      <c r="Y139" s="109">
        <f t="shared" si="33"/>
        <v>-94389</v>
      </c>
      <c r="Z139" s="109">
        <v>-987106</v>
      </c>
      <c r="AA139" s="112">
        <v>-1527199</v>
      </c>
    </row>
    <row r="140" spans="2:27">
      <c r="B140" s="75" t="s">
        <v>123</v>
      </c>
      <c r="C140" s="96"/>
      <c r="D140" s="76" t="s">
        <v>398</v>
      </c>
      <c r="E140" s="77" t="s">
        <v>224</v>
      </c>
      <c r="F140" s="78">
        <v>43282</v>
      </c>
      <c r="G140" s="79" t="s">
        <v>346</v>
      </c>
      <c r="H140" s="109">
        <v>169313</v>
      </c>
      <c r="I140" s="109">
        <v>442375</v>
      </c>
      <c r="J140" s="109">
        <f t="shared" si="26"/>
        <v>33896</v>
      </c>
      <c r="K140" s="109">
        <v>476271</v>
      </c>
      <c r="L140" s="109">
        <v>653501</v>
      </c>
      <c r="M140" s="109">
        <f t="shared" si="32"/>
        <v>0</v>
      </c>
      <c r="N140" s="109">
        <v>653501</v>
      </c>
      <c r="O140" s="109">
        <f t="shared" si="27"/>
        <v>-177230</v>
      </c>
      <c r="P140" s="109">
        <v>1588341</v>
      </c>
      <c r="Q140" s="109">
        <v>1807278</v>
      </c>
      <c r="R140" s="80"/>
      <c r="S140" s="80"/>
      <c r="T140" s="109">
        <f t="shared" si="28"/>
        <v>-218937</v>
      </c>
      <c r="U140" s="83">
        <f t="shared" si="29"/>
        <v>0.67693086927181445</v>
      </c>
      <c r="V140" s="83">
        <f t="shared" si="30"/>
        <v>34.1946535065441</v>
      </c>
      <c r="W140" s="84"/>
      <c r="X140" s="84">
        <f t="shared" si="31"/>
        <v>-0.13784004820123638</v>
      </c>
      <c r="Y140" s="109">
        <f t="shared" si="33"/>
        <v>29659</v>
      </c>
      <c r="Z140" s="109">
        <v>41707</v>
      </c>
      <c r="AA140" s="112">
        <v>-177230</v>
      </c>
    </row>
    <row r="141" spans="2:27">
      <c r="B141" s="75" t="s">
        <v>123</v>
      </c>
      <c r="C141" s="96"/>
      <c r="D141" s="76" t="s">
        <v>398</v>
      </c>
      <c r="E141" s="77" t="s">
        <v>224</v>
      </c>
      <c r="F141" s="78">
        <v>43282</v>
      </c>
      <c r="G141" s="79" t="s">
        <v>349</v>
      </c>
      <c r="H141" s="109">
        <v>139654</v>
      </c>
      <c r="I141" s="109">
        <v>417593</v>
      </c>
      <c r="J141" s="109">
        <f t="shared" si="26"/>
        <v>41707</v>
      </c>
      <c r="K141" s="109">
        <v>459300</v>
      </c>
      <c r="L141" s="109">
        <v>417593</v>
      </c>
      <c r="M141" s="109">
        <f t="shared" si="32"/>
        <v>0</v>
      </c>
      <c r="N141" s="109">
        <v>417593</v>
      </c>
      <c r="O141" s="109">
        <f t="shared" si="27"/>
        <v>41707</v>
      </c>
      <c r="P141" s="109">
        <v>1472824</v>
      </c>
      <c r="Q141" s="109">
        <v>1431117</v>
      </c>
      <c r="R141" s="80"/>
      <c r="S141" s="80"/>
      <c r="T141" s="109">
        <f t="shared" si="28"/>
        <v>41707</v>
      </c>
      <c r="U141" s="83">
        <f t="shared" si="29"/>
        <v>1</v>
      </c>
      <c r="V141" s="83">
        <f t="shared" si="30"/>
        <v>35.618129055835404</v>
      </c>
      <c r="W141" s="84"/>
      <c r="X141" s="84">
        <f t="shared" si="31"/>
        <v>2.831770802213978E-2</v>
      </c>
      <c r="Y141" s="109" t="s">
        <v>352</v>
      </c>
      <c r="Z141" s="109">
        <v>0</v>
      </c>
      <c r="AA141" s="112">
        <v>41707</v>
      </c>
    </row>
    <row r="142" spans="2:27">
      <c r="B142" s="75" t="s">
        <v>16</v>
      </c>
      <c r="C142" s="96"/>
      <c r="D142" s="76" t="s">
        <v>399</v>
      </c>
      <c r="E142" s="77" t="s">
        <v>232</v>
      </c>
      <c r="F142" s="78">
        <v>42552</v>
      </c>
      <c r="G142" s="79" t="s">
        <v>346</v>
      </c>
      <c r="H142" s="109">
        <v>51879</v>
      </c>
      <c r="I142" s="109">
        <v>89935</v>
      </c>
      <c r="J142" s="110">
        <f t="shared" si="26"/>
        <v>104166</v>
      </c>
      <c r="K142" s="110">
        <v>194101</v>
      </c>
      <c r="L142" s="111">
        <v>224876</v>
      </c>
      <c r="M142" s="111">
        <f t="shared" si="32"/>
        <v>1161285</v>
      </c>
      <c r="N142" s="111">
        <v>1386161</v>
      </c>
      <c r="O142" s="111">
        <f t="shared" si="27"/>
        <v>-1192060</v>
      </c>
      <c r="P142" s="111">
        <f>1368748+299383</f>
        <v>1668131</v>
      </c>
      <c r="Q142" s="111">
        <f>2004120</f>
        <v>2004120</v>
      </c>
      <c r="R142" s="82"/>
      <c r="S142" s="82"/>
      <c r="T142" s="109">
        <f t="shared" si="28"/>
        <v>-335989</v>
      </c>
      <c r="U142" s="83">
        <f t="shared" si="29"/>
        <v>0.39993151781426206</v>
      </c>
      <c r="V142" s="83">
        <f t="shared" si="30"/>
        <v>9.4484536854080599</v>
      </c>
      <c r="W142" s="84"/>
      <c r="X142" s="84">
        <f t="shared" si="31"/>
        <v>-0.20141643551975236</v>
      </c>
      <c r="Y142" s="109">
        <f t="shared" si="33"/>
        <v>-3449</v>
      </c>
      <c r="Z142" s="109">
        <v>-176805</v>
      </c>
      <c r="AA142" s="112">
        <v>-512794</v>
      </c>
    </row>
    <row r="143" spans="2:27">
      <c r="B143" s="75" t="s">
        <v>16</v>
      </c>
      <c r="C143" s="96"/>
      <c r="D143" s="76" t="s">
        <v>399</v>
      </c>
      <c r="E143" s="77" t="s">
        <v>232</v>
      </c>
      <c r="F143" s="78">
        <v>42552</v>
      </c>
      <c r="G143" s="79" t="s">
        <v>349</v>
      </c>
      <c r="H143" s="109">
        <v>55328</v>
      </c>
      <c r="I143" s="109">
        <v>115316</v>
      </c>
      <c r="J143" s="110">
        <f t="shared" si="26"/>
        <v>123391</v>
      </c>
      <c r="K143" s="110">
        <v>238707</v>
      </c>
      <c r="L143" s="111">
        <v>288789</v>
      </c>
      <c r="M143" s="111">
        <f t="shared" si="32"/>
        <v>1320159</v>
      </c>
      <c r="N143" s="111">
        <v>1608948</v>
      </c>
      <c r="O143" s="111">
        <f t="shared" si="27"/>
        <v>-1370241</v>
      </c>
      <c r="P143" s="111">
        <f>1212434+241334</f>
        <v>1453768</v>
      </c>
      <c r="Q143" s="111">
        <f>1825940</f>
        <v>1825940</v>
      </c>
      <c r="R143" s="82"/>
      <c r="S143" s="82"/>
      <c r="T143" s="109">
        <f t="shared" si="28"/>
        <v>-372172</v>
      </c>
      <c r="U143" s="83">
        <f t="shared" si="29"/>
        <v>0.39930883794050326</v>
      </c>
      <c r="V143" s="83">
        <f t="shared" si="30"/>
        <v>11.059903392225374</v>
      </c>
      <c r="W143" s="84"/>
      <c r="X143" s="84">
        <f t="shared" si="31"/>
        <v>-0.25600508471778166</v>
      </c>
      <c r="Y143" s="109">
        <f t="shared" si="33"/>
        <v>16173</v>
      </c>
      <c r="Z143" s="109">
        <v>195367</v>
      </c>
      <c r="AA143" s="112">
        <v>-176805</v>
      </c>
    </row>
    <row r="144" spans="2:27">
      <c r="B144" s="75" t="s">
        <v>16</v>
      </c>
      <c r="C144" s="96"/>
      <c r="D144" s="76" t="s">
        <v>399</v>
      </c>
      <c r="E144" s="77" t="s">
        <v>232</v>
      </c>
      <c r="F144" s="78">
        <v>42552</v>
      </c>
      <c r="G144" s="79" t="s">
        <v>351</v>
      </c>
      <c r="H144" s="109">
        <v>39155</v>
      </c>
      <c r="I144" s="109">
        <v>59900</v>
      </c>
      <c r="J144" s="110">
        <f t="shared" si="26"/>
        <v>82666</v>
      </c>
      <c r="K144" s="110">
        <v>142566</v>
      </c>
      <c r="L144" s="111">
        <v>122947</v>
      </c>
      <c r="M144" s="111">
        <f t="shared" si="32"/>
        <v>1272607</v>
      </c>
      <c r="N144" s="111">
        <v>1395554</v>
      </c>
      <c r="O144" s="111">
        <f t="shared" si="27"/>
        <v>-1252988</v>
      </c>
      <c r="P144" s="111">
        <f>971150+188969+518935</f>
        <v>1679054</v>
      </c>
      <c r="Q144" s="111">
        <f>1361488</f>
        <v>1361488</v>
      </c>
      <c r="R144" s="82"/>
      <c r="S144" s="82"/>
      <c r="T144" s="109">
        <f t="shared" si="28"/>
        <v>317566</v>
      </c>
      <c r="U144" s="83">
        <f t="shared" si="29"/>
        <v>0.48720180240266131</v>
      </c>
      <c r="V144" s="83">
        <f t="shared" si="30"/>
        <v>10.497026047971044</v>
      </c>
      <c r="W144" s="84"/>
      <c r="X144" s="84">
        <f t="shared" si="31"/>
        <v>0.18913388134032616</v>
      </c>
      <c r="Y144" s="109">
        <f t="shared" si="33"/>
        <v>-15344</v>
      </c>
      <c r="Z144" s="109">
        <v>-122199</v>
      </c>
      <c r="AA144" s="112">
        <v>195367</v>
      </c>
    </row>
    <row r="145" spans="2:27">
      <c r="B145" s="75" t="s">
        <v>16</v>
      </c>
      <c r="C145" s="96"/>
      <c r="D145" s="76" t="s">
        <v>399</v>
      </c>
      <c r="E145" s="77" t="s">
        <v>232</v>
      </c>
      <c r="F145" s="78">
        <v>42552</v>
      </c>
      <c r="G145" s="79" t="s">
        <v>429</v>
      </c>
      <c r="H145" s="109">
        <v>54499</v>
      </c>
      <c r="I145" s="109">
        <v>141625</v>
      </c>
      <c r="J145" s="110">
        <f t="shared" si="26"/>
        <v>111779</v>
      </c>
      <c r="K145" s="110">
        <v>253404</v>
      </c>
      <c r="L145" s="111">
        <v>447819</v>
      </c>
      <c r="M145" s="111">
        <f t="shared" si="32"/>
        <v>0</v>
      </c>
      <c r="N145" s="111">
        <v>447819</v>
      </c>
      <c r="O145" s="111">
        <f t="shared" si="27"/>
        <v>-194415</v>
      </c>
      <c r="P145" s="111">
        <f>959300+173834</f>
        <v>1133134</v>
      </c>
      <c r="Q145" s="111">
        <f>1258181</f>
        <v>1258181</v>
      </c>
      <c r="R145" s="82"/>
      <c r="S145" s="82"/>
      <c r="T145" s="109">
        <f t="shared" si="28"/>
        <v>-125047</v>
      </c>
      <c r="U145" s="83">
        <f t="shared" si="29"/>
        <v>0.31625500481221208</v>
      </c>
      <c r="V145" s="83">
        <f t="shared" si="30"/>
        <v>15.810233185845281</v>
      </c>
      <c r="W145" s="84"/>
      <c r="X145" s="84">
        <f t="shared" si="31"/>
        <v>-0.11035499773195404</v>
      </c>
      <c r="Y145" s="109" t="s">
        <v>352</v>
      </c>
      <c r="Z145" s="109">
        <v>0</v>
      </c>
      <c r="AA145" s="112">
        <v>-125047</v>
      </c>
    </row>
    <row r="146" spans="2:27">
      <c r="B146" s="75" t="s">
        <v>16</v>
      </c>
      <c r="C146" s="96"/>
      <c r="D146" s="76" t="s">
        <v>400</v>
      </c>
      <c r="E146" s="77" t="s">
        <v>236</v>
      </c>
      <c r="F146" s="78">
        <v>38534</v>
      </c>
      <c r="G146" s="79" t="s">
        <v>346</v>
      </c>
      <c r="H146" s="109">
        <v>56631</v>
      </c>
      <c r="I146" s="109">
        <v>165414</v>
      </c>
      <c r="J146" s="110">
        <f t="shared" si="26"/>
        <v>171213</v>
      </c>
      <c r="K146" s="110">
        <v>336627</v>
      </c>
      <c r="L146" s="111">
        <v>380536</v>
      </c>
      <c r="M146" s="111">
        <f t="shared" si="32"/>
        <v>2381496</v>
      </c>
      <c r="N146" s="111">
        <v>2762032</v>
      </c>
      <c r="O146" s="111">
        <f t="shared" si="27"/>
        <v>-2425405</v>
      </c>
      <c r="P146" s="111">
        <f>1654839+459623+7500</f>
        <v>2121962</v>
      </c>
      <c r="Q146" s="111">
        <f>1884774+53705</f>
        <v>1938479</v>
      </c>
      <c r="R146" s="82"/>
      <c r="S146" s="82"/>
      <c r="T146" s="109">
        <f t="shared" si="28"/>
        <v>183483</v>
      </c>
      <c r="U146" s="83">
        <f t="shared" si="29"/>
        <v>0.4346868627409759</v>
      </c>
      <c r="V146" s="83">
        <f t="shared" si="30"/>
        <v>10.663161685011806</v>
      </c>
      <c r="W146" s="84">
        <f>750000/K146</f>
        <v>2.2279852774732865</v>
      </c>
      <c r="X146" s="84">
        <f t="shared" si="31"/>
        <v>8.6468560699955982E-2</v>
      </c>
      <c r="Y146" s="109">
        <f t="shared" si="33"/>
        <v>-24330</v>
      </c>
      <c r="Z146" s="109">
        <v>-2734017</v>
      </c>
      <c r="AA146" s="112">
        <v>-2550534</v>
      </c>
    </row>
    <row r="147" spans="2:27">
      <c r="B147" s="75" t="s">
        <v>16</v>
      </c>
      <c r="C147" s="96"/>
      <c r="D147" s="76" t="s">
        <v>400</v>
      </c>
      <c r="E147" s="77" t="s">
        <v>236</v>
      </c>
      <c r="F147" s="78">
        <v>38534</v>
      </c>
      <c r="G147" s="79" t="s">
        <v>349</v>
      </c>
      <c r="H147" s="109">
        <v>80961</v>
      </c>
      <c r="I147" s="109">
        <v>198173</v>
      </c>
      <c r="J147" s="110">
        <f t="shared" si="26"/>
        <v>168114</v>
      </c>
      <c r="K147" s="110">
        <v>366287</v>
      </c>
      <c r="L147" s="111">
        <v>577483</v>
      </c>
      <c r="M147" s="111">
        <f t="shared" si="32"/>
        <v>2291329</v>
      </c>
      <c r="N147" s="111">
        <v>2868812</v>
      </c>
      <c r="O147" s="111">
        <f t="shared" si="27"/>
        <v>-2502525</v>
      </c>
      <c r="P147" s="111">
        <f>1488123+493194+17500</f>
        <v>1998817</v>
      </c>
      <c r="Q147" s="111">
        <f>1624694+48740</f>
        <v>1673434</v>
      </c>
      <c r="R147" s="82"/>
      <c r="S147" s="82"/>
      <c r="T147" s="109">
        <f t="shared" si="28"/>
        <v>325383</v>
      </c>
      <c r="U147" s="83">
        <f t="shared" si="29"/>
        <v>0.34316681183688524</v>
      </c>
      <c r="V147" s="83">
        <f t="shared" si="30"/>
        <v>17.658757381528044</v>
      </c>
      <c r="W147" s="84">
        <f>750000/K147</f>
        <v>2.0475747160013871</v>
      </c>
      <c r="X147" s="84">
        <f t="shared" si="31"/>
        <v>0.16278778897717999</v>
      </c>
      <c r="Y147" s="109">
        <f t="shared" si="33"/>
        <v>23644</v>
      </c>
      <c r="Z147" s="109">
        <v>-3059400</v>
      </c>
      <c r="AA147" s="112">
        <v>-2734017</v>
      </c>
    </row>
    <row r="148" spans="2:27">
      <c r="B148" s="75" t="s">
        <v>16</v>
      </c>
      <c r="C148" s="96"/>
      <c r="D148" s="76" t="s">
        <v>400</v>
      </c>
      <c r="E148" s="77" t="s">
        <v>236</v>
      </c>
      <c r="F148" s="78">
        <v>38534</v>
      </c>
      <c r="G148" s="79" t="s">
        <v>351</v>
      </c>
      <c r="H148" s="109">
        <v>57317</v>
      </c>
      <c r="I148" s="109">
        <v>158414</v>
      </c>
      <c r="J148" s="110">
        <f t="shared" si="26"/>
        <v>110227</v>
      </c>
      <c r="K148" s="110">
        <v>268641</v>
      </c>
      <c r="L148" s="111">
        <v>604194</v>
      </c>
      <c r="M148" s="111">
        <f t="shared" si="32"/>
        <v>2913828</v>
      </c>
      <c r="N148" s="111">
        <v>3518022</v>
      </c>
      <c r="O148" s="111">
        <f t="shared" si="27"/>
        <v>-3249381</v>
      </c>
      <c r="P148" s="111">
        <f>1157170+469723</f>
        <v>1626893</v>
      </c>
      <c r="Q148" s="111">
        <f>807775+48256</f>
        <v>856031</v>
      </c>
      <c r="R148" s="82"/>
      <c r="S148" s="82"/>
      <c r="T148" s="109">
        <f t="shared" si="28"/>
        <v>770862</v>
      </c>
      <c r="U148" s="83">
        <f t="shared" si="29"/>
        <v>0.26219062089328926</v>
      </c>
      <c r="V148" s="83">
        <f t="shared" si="30"/>
        <v>24.439190870424085</v>
      </c>
      <c r="W148" s="84">
        <f>750000/K148</f>
        <v>2.7918299887210067</v>
      </c>
      <c r="X148" s="84">
        <f t="shared" si="31"/>
        <v>0.47382464611993536</v>
      </c>
      <c r="Y148" s="109">
        <f t="shared" si="33"/>
        <v>-1662</v>
      </c>
      <c r="Z148" s="109">
        <v>-3830262</v>
      </c>
      <c r="AA148" s="112">
        <v>-3059400</v>
      </c>
    </row>
    <row r="149" spans="2:27">
      <c r="B149" s="75" t="s">
        <v>16</v>
      </c>
      <c r="C149" s="98"/>
      <c r="D149" s="99" t="s">
        <v>400</v>
      </c>
      <c r="E149" s="100" t="s">
        <v>236</v>
      </c>
      <c r="F149" s="101">
        <v>38534</v>
      </c>
      <c r="G149" s="102" t="s">
        <v>429</v>
      </c>
      <c r="H149" s="103">
        <v>58979</v>
      </c>
      <c r="I149" s="103">
        <v>140956</v>
      </c>
      <c r="J149" s="104">
        <f t="shared" si="26"/>
        <v>127322</v>
      </c>
      <c r="K149" s="104">
        <v>268278</v>
      </c>
      <c r="L149" s="105">
        <v>560681</v>
      </c>
      <c r="M149" s="105">
        <f t="shared" si="32"/>
        <v>3260429</v>
      </c>
      <c r="N149" s="105">
        <v>3821110</v>
      </c>
      <c r="O149" s="105">
        <f t="shared" si="27"/>
        <v>-3552832</v>
      </c>
      <c r="P149" s="105">
        <f>1376641+534795</f>
        <v>1911436</v>
      </c>
      <c r="Q149" s="105">
        <f>1791212+46965</f>
        <v>1838177</v>
      </c>
      <c r="R149" s="105"/>
      <c r="S149" s="105"/>
      <c r="T149" s="103">
        <f t="shared" si="28"/>
        <v>73259</v>
      </c>
      <c r="U149" s="106">
        <f t="shared" si="29"/>
        <v>0.25140142077223948</v>
      </c>
      <c r="V149" s="106">
        <f t="shared" si="30"/>
        <v>11.711241626894472</v>
      </c>
      <c r="W149" s="107">
        <f>750000/K149</f>
        <v>2.7956075414309036</v>
      </c>
      <c r="X149" s="107">
        <f t="shared" si="31"/>
        <v>3.8326682138455068E-2</v>
      </c>
      <c r="Y149" s="103" t="s">
        <v>352</v>
      </c>
      <c r="Z149" s="103">
        <v>-3422109</v>
      </c>
      <c r="AA149" s="108">
        <v>-3348850</v>
      </c>
    </row>
  </sheetData>
  <mergeCells count="4">
    <mergeCell ref="A7:G7"/>
    <mergeCell ref="H7:AA7"/>
    <mergeCell ref="T5:AA5"/>
    <mergeCell ref="T6:AA6"/>
  </mergeCells>
  <phoneticPr fontId="24" type="noConversion"/>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AT25"/>
  <sheetViews>
    <sheetView zoomScale="80" zoomScaleNormal="80" zoomScalePageLayoutView="80" workbookViewId="0">
      <selection activeCell="D10" sqref="D10"/>
    </sheetView>
  </sheetViews>
  <sheetFormatPr defaultColWidth="8.85546875" defaultRowHeight="13.15"/>
  <cols>
    <col min="1" max="1" width="3.7109375" style="26" customWidth="1"/>
    <col min="2" max="2" width="135.28515625" style="26" customWidth="1"/>
    <col min="3" max="16384" width="8.85546875" style="26"/>
  </cols>
  <sheetData>
    <row r="1" spans="1:46" s="19" customFormat="1" ht="17.45">
      <c r="A1" s="18" t="s">
        <v>401</v>
      </c>
    </row>
    <row r="2" spans="1:46" s="19" customFormat="1" ht="12.75" customHeight="1">
      <c r="A2" s="20" t="s">
        <v>402</v>
      </c>
      <c r="B2" s="21"/>
    </row>
    <row r="3" spans="1:46" s="19" customFormat="1" ht="10.5" customHeight="1">
      <c r="A3" s="20"/>
      <c r="C3" s="22"/>
      <c r="D3" s="23"/>
      <c r="E3" s="23"/>
      <c r="F3" s="22"/>
      <c r="G3" s="22"/>
      <c r="H3" s="22"/>
      <c r="I3" s="22"/>
      <c r="J3" s="24"/>
      <c r="K3" s="24"/>
      <c r="L3" s="22"/>
      <c r="M3" s="25"/>
    </row>
    <row r="4" spans="1:46" s="19" customFormat="1" ht="6" customHeight="1">
      <c r="C4" s="22"/>
      <c r="D4" s="23"/>
      <c r="E4" s="23"/>
      <c r="F4" s="22"/>
      <c r="G4" s="22"/>
      <c r="H4" s="22"/>
      <c r="I4" s="22"/>
      <c r="J4" s="24"/>
      <c r="K4" s="24"/>
      <c r="L4" s="22"/>
      <c r="M4" s="25"/>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row>
    <row r="6" spans="1:46" ht="21.75" customHeight="1">
      <c r="B6" s="136" t="s">
        <v>430</v>
      </c>
    </row>
    <row r="7" spans="1:46" ht="21.75" customHeight="1">
      <c r="B7" s="137"/>
    </row>
    <row r="8" spans="1:46" ht="19.5" customHeight="1">
      <c r="B8" s="137"/>
    </row>
    <row r="9" spans="1:46" ht="19.5" customHeight="1">
      <c r="B9" s="137"/>
    </row>
    <row r="10" spans="1:46" ht="19.5" customHeight="1">
      <c r="B10" s="137"/>
    </row>
    <row r="11" spans="1:46" ht="19.5" customHeight="1">
      <c r="B11" s="137"/>
    </row>
    <row r="12" spans="1:46" ht="19.5" customHeight="1">
      <c r="B12" s="137"/>
    </row>
    <row r="13" spans="1:46" ht="19.5" customHeight="1">
      <c r="B13" s="137"/>
    </row>
    <row r="14" spans="1:46" ht="19.5" customHeight="1">
      <c r="B14" s="137"/>
    </row>
    <row r="15" spans="1:46" ht="19.5" customHeight="1">
      <c r="B15" s="137"/>
    </row>
    <row r="16" spans="1:46" ht="19.5" customHeight="1">
      <c r="B16" s="137"/>
    </row>
    <row r="17" spans="2:2" ht="19.5" customHeight="1">
      <c r="B17" s="137"/>
    </row>
    <row r="18" spans="2:2" ht="19.5" customHeight="1">
      <c r="B18" s="137"/>
    </row>
    <row r="19" spans="2:2" ht="19.5" customHeight="1">
      <c r="B19" s="137"/>
    </row>
    <row r="20" spans="2:2" ht="19.5" customHeight="1">
      <c r="B20" s="137"/>
    </row>
    <row r="21" spans="2:2" ht="19.5" customHeight="1">
      <c r="B21" s="137"/>
    </row>
    <row r="22" spans="2:2" ht="19.5" customHeight="1">
      <c r="B22" s="138"/>
    </row>
    <row r="23" spans="2:2" ht="19.5" customHeight="1"/>
    <row r="24" spans="2:2" ht="19.5" customHeight="1"/>
    <row r="25" spans="2:2" ht="19.5" customHeight="1"/>
  </sheetData>
  <mergeCells count="1">
    <mergeCell ref="B6:B22"/>
  </mergeCells>
  <pageMargins left="0.75" right="0.75" top="1" bottom="1" header="0.5" footer="0.5"/>
  <pageSetup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0B267-4F85-439F-9338-341C7B29AFB5}">
  <dimension ref="A1:G452"/>
  <sheetViews>
    <sheetView workbookViewId="0">
      <selection activeCell="H1" sqref="H1"/>
    </sheetView>
  </sheetViews>
  <sheetFormatPr defaultColWidth="8.7109375" defaultRowHeight="14.45"/>
  <cols>
    <col min="1" max="1" width="71.140625" style="57" bestFit="1" customWidth="1"/>
    <col min="2" max="2" width="13.140625" style="57" bestFit="1" customWidth="1"/>
    <col min="3" max="3" width="22.5703125" style="57" bestFit="1" customWidth="1"/>
    <col min="4" max="4" width="19.7109375" style="57" bestFit="1" customWidth="1"/>
    <col min="5" max="5" width="17.140625" style="57" bestFit="1" customWidth="1"/>
    <col min="6" max="6" width="14.140625" style="57" bestFit="1" customWidth="1"/>
    <col min="7" max="7" width="15.85546875" style="57" bestFit="1" customWidth="1"/>
    <col min="8" max="16384" width="8.7109375" style="57"/>
  </cols>
  <sheetData>
    <row r="1" spans="1:7">
      <c r="A1" s="59" t="s">
        <v>431</v>
      </c>
      <c r="B1" s="59" t="s">
        <v>432</v>
      </c>
      <c r="C1" s="59" t="s">
        <v>433</v>
      </c>
      <c r="D1" s="59" t="s">
        <v>434</v>
      </c>
      <c r="E1" s="59" t="s">
        <v>435</v>
      </c>
      <c r="F1" s="59" t="s">
        <v>436</v>
      </c>
      <c r="G1" s="59" t="s">
        <v>437</v>
      </c>
    </row>
    <row r="2" spans="1:7">
      <c r="A2" s="57" t="s">
        <v>438</v>
      </c>
      <c r="B2" s="57" t="s">
        <v>439</v>
      </c>
      <c r="C2" s="57" t="s">
        <v>440</v>
      </c>
      <c r="D2" s="57" t="s">
        <v>441</v>
      </c>
      <c r="E2" s="57">
        <v>11</v>
      </c>
      <c r="F2" s="57">
        <v>15</v>
      </c>
      <c r="G2" s="58">
        <v>0.73299999999999998</v>
      </c>
    </row>
    <row r="3" spans="1:7">
      <c r="A3" s="57" t="s">
        <v>438</v>
      </c>
      <c r="B3" s="57" t="s">
        <v>439</v>
      </c>
      <c r="C3" s="57" t="s">
        <v>442</v>
      </c>
      <c r="D3" s="57" t="s">
        <v>441</v>
      </c>
      <c r="E3" s="57">
        <v>12</v>
      </c>
      <c r="F3" s="57">
        <v>15</v>
      </c>
      <c r="G3" s="58">
        <v>0.8</v>
      </c>
    </row>
    <row r="4" spans="1:7">
      <c r="A4" s="57" t="s">
        <v>438</v>
      </c>
      <c r="B4" s="57" t="s">
        <v>443</v>
      </c>
      <c r="C4" s="57" t="s">
        <v>440</v>
      </c>
      <c r="D4" s="57" t="s">
        <v>441</v>
      </c>
      <c r="E4" s="57" t="s">
        <v>347</v>
      </c>
      <c r="F4" s="57">
        <v>17</v>
      </c>
      <c r="G4" s="57" t="s">
        <v>347</v>
      </c>
    </row>
    <row r="5" spans="1:7">
      <c r="A5" s="57" t="s">
        <v>438</v>
      </c>
      <c r="B5" s="57" t="s">
        <v>443</v>
      </c>
      <c r="C5" s="57" t="s">
        <v>442</v>
      </c>
      <c r="D5" s="57" t="s">
        <v>441</v>
      </c>
      <c r="E5" s="57" t="s">
        <v>347</v>
      </c>
      <c r="F5" s="57">
        <v>17</v>
      </c>
      <c r="G5" s="57" t="s">
        <v>347</v>
      </c>
    </row>
    <row r="6" spans="1:7">
      <c r="A6" s="57" t="s">
        <v>438</v>
      </c>
      <c r="B6" s="57" t="s">
        <v>444</v>
      </c>
      <c r="C6" s="57" t="s">
        <v>440</v>
      </c>
      <c r="D6" s="57" t="s">
        <v>441</v>
      </c>
      <c r="E6" s="57">
        <v>10</v>
      </c>
      <c r="F6" s="57">
        <v>22</v>
      </c>
      <c r="G6" s="58">
        <v>0.45500000000000002</v>
      </c>
    </row>
    <row r="7" spans="1:7">
      <c r="A7" s="57" t="s">
        <v>438</v>
      </c>
      <c r="B7" s="57" t="s">
        <v>444</v>
      </c>
      <c r="C7" s="57" t="s">
        <v>442</v>
      </c>
      <c r="D7" s="57" t="s">
        <v>441</v>
      </c>
      <c r="E7" s="57" t="s">
        <v>347</v>
      </c>
      <c r="F7" s="57">
        <v>22</v>
      </c>
      <c r="G7" s="57" t="s">
        <v>347</v>
      </c>
    </row>
    <row r="8" spans="1:7">
      <c r="A8" s="57" t="s">
        <v>438</v>
      </c>
      <c r="B8" s="57" t="s">
        <v>444</v>
      </c>
      <c r="C8" s="57" t="s">
        <v>313</v>
      </c>
      <c r="D8" s="57" t="s">
        <v>441</v>
      </c>
      <c r="E8" s="57" t="s">
        <v>347</v>
      </c>
      <c r="F8" s="57">
        <v>22</v>
      </c>
      <c r="G8" s="57" t="s">
        <v>347</v>
      </c>
    </row>
    <row r="9" spans="1:7">
      <c r="A9" s="57" t="s">
        <v>438</v>
      </c>
      <c r="B9" s="57" t="s">
        <v>445</v>
      </c>
      <c r="C9" s="57" t="s">
        <v>440</v>
      </c>
      <c r="D9" s="57" t="s">
        <v>441</v>
      </c>
      <c r="E9" s="57" t="s">
        <v>347</v>
      </c>
      <c r="F9" s="57">
        <v>15</v>
      </c>
      <c r="G9" s="57" t="s">
        <v>347</v>
      </c>
    </row>
    <row r="10" spans="1:7">
      <c r="A10" s="57" t="s">
        <v>438</v>
      </c>
      <c r="B10" s="57" t="s">
        <v>445</v>
      </c>
      <c r="C10" s="57" t="s">
        <v>442</v>
      </c>
      <c r="D10" s="57" t="s">
        <v>441</v>
      </c>
      <c r="E10" s="57" t="s">
        <v>347</v>
      </c>
      <c r="F10" s="57">
        <v>15</v>
      </c>
      <c r="G10" s="57" t="s">
        <v>347</v>
      </c>
    </row>
    <row r="11" spans="1:7">
      <c r="A11" s="57" t="s">
        <v>438</v>
      </c>
      <c r="B11" s="57" t="s">
        <v>446</v>
      </c>
      <c r="C11" s="57" t="s">
        <v>440</v>
      </c>
      <c r="D11" s="57" t="s">
        <v>441</v>
      </c>
      <c r="E11" s="57" t="s">
        <v>347</v>
      </c>
      <c r="F11" s="57">
        <v>24</v>
      </c>
      <c r="G11" s="57" t="s">
        <v>347</v>
      </c>
    </row>
    <row r="12" spans="1:7">
      <c r="A12" s="57" t="s">
        <v>438</v>
      </c>
      <c r="B12" s="57" t="s">
        <v>446</v>
      </c>
      <c r="C12" s="57" t="s">
        <v>442</v>
      </c>
      <c r="D12" s="57" t="s">
        <v>441</v>
      </c>
      <c r="E12" s="57" t="s">
        <v>347</v>
      </c>
      <c r="F12" s="57">
        <v>24</v>
      </c>
      <c r="G12" s="57" t="s">
        <v>347</v>
      </c>
    </row>
    <row r="13" spans="1:7">
      <c r="A13" s="57" t="s">
        <v>438</v>
      </c>
      <c r="B13" s="57" t="s">
        <v>447</v>
      </c>
      <c r="C13" s="57" t="s">
        <v>440</v>
      </c>
      <c r="D13" s="57" t="s">
        <v>441</v>
      </c>
      <c r="E13" s="57" t="s">
        <v>347</v>
      </c>
      <c r="F13" s="57">
        <v>22</v>
      </c>
      <c r="G13" s="57" t="s">
        <v>347</v>
      </c>
    </row>
    <row r="14" spans="1:7">
      <c r="A14" s="57" t="s">
        <v>438</v>
      </c>
      <c r="B14" s="57" t="s">
        <v>447</v>
      </c>
      <c r="C14" s="57" t="s">
        <v>442</v>
      </c>
      <c r="D14" s="57" t="s">
        <v>441</v>
      </c>
      <c r="E14" s="57" t="s">
        <v>347</v>
      </c>
      <c r="F14" s="57">
        <v>22</v>
      </c>
      <c r="G14" s="57" t="s">
        <v>347</v>
      </c>
    </row>
    <row r="15" spans="1:7">
      <c r="A15" s="57" t="s">
        <v>438</v>
      </c>
      <c r="B15" s="57" t="s">
        <v>447</v>
      </c>
      <c r="C15" s="57" t="s">
        <v>313</v>
      </c>
      <c r="D15" s="57" t="s">
        <v>441</v>
      </c>
      <c r="E15" s="57" t="s">
        <v>347</v>
      </c>
      <c r="F15" s="57">
        <v>22</v>
      </c>
      <c r="G15" s="57" t="s">
        <v>347</v>
      </c>
    </row>
    <row r="17" spans="1:7">
      <c r="A17" s="57" t="s">
        <v>448</v>
      </c>
      <c r="B17" s="57" t="s">
        <v>439</v>
      </c>
      <c r="C17" s="57" t="s">
        <v>440</v>
      </c>
      <c r="D17" s="57" t="s">
        <v>441</v>
      </c>
      <c r="E17" s="57">
        <v>15</v>
      </c>
      <c r="F17" s="57">
        <v>29</v>
      </c>
      <c r="G17" s="58">
        <v>0.51700000000000002</v>
      </c>
    </row>
    <row r="18" spans="1:7">
      <c r="A18" s="57" t="s">
        <v>448</v>
      </c>
      <c r="B18" s="57" t="s">
        <v>439</v>
      </c>
      <c r="C18" s="57" t="s">
        <v>442</v>
      </c>
      <c r="D18" s="57" t="s">
        <v>441</v>
      </c>
      <c r="E18" s="57" t="s">
        <v>347</v>
      </c>
      <c r="F18" s="57">
        <v>29</v>
      </c>
      <c r="G18" s="57" t="s">
        <v>347</v>
      </c>
    </row>
    <row r="19" spans="1:7">
      <c r="A19" s="57" t="s">
        <v>448</v>
      </c>
      <c r="B19" s="57" t="s">
        <v>443</v>
      </c>
      <c r="C19" s="57" t="s">
        <v>440</v>
      </c>
      <c r="D19" s="57" t="s">
        <v>441</v>
      </c>
      <c r="E19" s="57" t="s">
        <v>347</v>
      </c>
      <c r="F19" s="57">
        <v>22</v>
      </c>
      <c r="G19" s="57" t="s">
        <v>347</v>
      </c>
    </row>
    <row r="20" spans="1:7">
      <c r="A20" s="57" t="s">
        <v>448</v>
      </c>
      <c r="B20" s="57" t="s">
        <v>443</v>
      </c>
      <c r="C20" s="57" t="s">
        <v>442</v>
      </c>
      <c r="D20" s="57" t="s">
        <v>441</v>
      </c>
      <c r="E20" s="57">
        <v>10</v>
      </c>
      <c r="F20" s="57">
        <v>21</v>
      </c>
      <c r="G20" s="58">
        <v>0.47599999999999998</v>
      </c>
    </row>
    <row r="21" spans="1:7">
      <c r="A21" s="57" t="s">
        <v>448</v>
      </c>
      <c r="B21" s="57" t="s">
        <v>444</v>
      </c>
      <c r="C21" s="57" t="s">
        <v>440</v>
      </c>
      <c r="D21" s="57" t="s">
        <v>441</v>
      </c>
      <c r="E21" s="57">
        <v>10</v>
      </c>
      <c r="F21" s="57">
        <v>17</v>
      </c>
      <c r="G21" s="58">
        <v>0.58799999999999997</v>
      </c>
    </row>
    <row r="22" spans="1:7">
      <c r="A22" s="57" t="s">
        <v>448</v>
      </c>
      <c r="B22" s="57" t="s">
        <v>444</v>
      </c>
      <c r="C22" s="57" t="s">
        <v>442</v>
      </c>
      <c r="D22" s="57" t="s">
        <v>441</v>
      </c>
      <c r="E22" s="57" t="s">
        <v>347</v>
      </c>
      <c r="F22" s="57">
        <v>17</v>
      </c>
      <c r="G22" s="57" t="s">
        <v>347</v>
      </c>
    </row>
    <row r="23" spans="1:7">
      <c r="A23" s="57" t="s">
        <v>448</v>
      </c>
      <c r="B23" s="57" t="s">
        <v>444</v>
      </c>
      <c r="C23" s="57" t="s">
        <v>313</v>
      </c>
      <c r="D23" s="57" t="s">
        <v>441</v>
      </c>
      <c r="E23" s="57">
        <v>13</v>
      </c>
      <c r="F23" s="57">
        <v>17</v>
      </c>
      <c r="G23" s="58">
        <v>0.76500000000000001</v>
      </c>
    </row>
    <row r="24" spans="1:7">
      <c r="G24" s="58"/>
    </row>
    <row r="25" spans="1:7">
      <c r="A25" s="57" t="s">
        <v>449</v>
      </c>
      <c r="B25" s="57" t="s">
        <v>439</v>
      </c>
      <c r="C25" s="57" t="s">
        <v>440</v>
      </c>
      <c r="D25" s="57" t="s">
        <v>441</v>
      </c>
      <c r="E25" s="57">
        <v>17</v>
      </c>
      <c r="F25" s="57">
        <v>32</v>
      </c>
      <c r="G25" s="58">
        <v>0.53100000000000003</v>
      </c>
    </row>
    <row r="26" spans="1:7">
      <c r="A26" s="57" t="s">
        <v>449</v>
      </c>
      <c r="B26" s="57" t="s">
        <v>439</v>
      </c>
      <c r="C26" s="57" t="s">
        <v>442</v>
      </c>
      <c r="D26" s="57" t="s">
        <v>441</v>
      </c>
      <c r="E26" s="57">
        <v>15</v>
      </c>
      <c r="F26" s="57">
        <v>32</v>
      </c>
      <c r="G26" s="58">
        <v>0.46899999999999997</v>
      </c>
    </row>
    <row r="27" spans="1:7">
      <c r="A27" s="57" t="s">
        <v>449</v>
      </c>
      <c r="B27" s="57" t="s">
        <v>443</v>
      </c>
      <c r="C27" s="57" t="s">
        <v>440</v>
      </c>
      <c r="D27" s="57" t="s">
        <v>441</v>
      </c>
      <c r="E27" s="57">
        <v>14</v>
      </c>
      <c r="F27" s="57">
        <v>32</v>
      </c>
      <c r="G27" s="58">
        <v>0.438</v>
      </c>
    </row>
    <row r="28" spans="1:7">
      <c r="A28" s="57" t="s">
        <v>449</v>
      </c>
      <c r="B28" s="57" t="s">
        <v>443</v>
      </c>
      <c r="C28" s="57" t="s">
        <v>442</v>
      </c>
      <c r="D28" s="57" t="s">
        <v>441</v>
      </c>
      <c r="E28" s="57">
        <v>14</v>
      </c>
      <c r="F28" s="57">
        <v>32</v>
      </c>
      <c r="G28" s="58">
        <v>0.438</v>
      </c>
    </row>
    <row r="29" spans="1:7">
      <c r="A29" s="57" t="s">
        <v>449</v>
      </c>
      <c r="B29" s="57" t="s">
        <v>444</v>
      </c>
      <c r="C29" s="57" t="s">
        <v>440</v>
      </c>
      <c r="D29" s="57" t="s">
        <v>441</v>
      </c>
      <c r="E29" s="57">
        <v>14</v>
      </c>
      <c r="F29" s="57">
        <v>29</v>
      </c>
      <c r="G29" s="58">
        <v>0.48299999999999998</v>
      </c>
    </row>
    <row r="30" spans="1:7">
      <c r="A30" s="57" t="s">
        <v>449</v>
      </c>
      <c r="B30" s="57" t="s">
        <v>444</v>
      </c>
      <c r="C30" s="57" t="s">
        <v>442</v>
      </c>
      <c r="D30" s="57" t="s">
        <v>441</v>
      </c>
      <c r="E30" s="57" t="s">
        <v>347</v>
      </c>
      <c r="F30" s="57">
        <v>29</v>
      </c>
      <c r="G30" s="57" t="s">
        <v>347</v>
      </c>
    </row>
    <row r="31" spans="1:7">
      <c r="A31" s="57" t="s">
        <v>449</v>
      </c>
      <c r="B31" s="57" t="s">
        <v>444</v>
      </c>
      <c r="C31" s="57" t="s">
        <v>313</v>
      </c>
      <c r="D31" s="57" t="s">
        <v>441</v>
      </c>
      <c r="E31" s="57" t="s">
        <v>347</v>
      </c>
      <c r="F31" s="57">
        <v>29</v>
      </c>
      <c r="G31" s="57" t="s">
        <v>347</v>
      </c>
    </row>
    <row r="32" spans="1:7">
      <c r="A32" s="57" t="s">
        <v>449</v>
      </c>
      <c r="B32" s="57" t="s">
        <v>445</v>
      </c>
      <c r="C32" s="57" t="s">
        <v>440</v>
      </c>
      <c r="D32" s="57" t="s">
        <v>441</v>
      </c>
      <c r="E32" s="57" t="s">
        <v>347</v>
      </c>
      <c r="F32" s="57">
        <v>24</v>
      </c>
      <c r="G32" s="57" t="s">
        <v>347</v>
      </c>
    </row>
    <row r="33" spans="1:7">
      <c r="A33" s="57" t="s">
        <v>449</v>
      </c>
      <c r="B33" s="57" t="s">
        <v>445</v>
      </c>
      <c r="C33" s="57" t="s">
        <v>442</v>
      </c>
      <c r="D33" s="57" t="s">
        <v>441</v>
      </c>
      <c r="E33" s="57" t="s">
        <v>347</v>
      </c>
      <c r="F33" s="57">
        <v>24</v>
      </c>
      <c r="G33" s="57" t="s">
        <v>347</v>
      </c>
    </row>
    <row r="34" spans="1:7">
      <c r="A34" s="57" t="s">
        <v>449</v>
      </c>
      <c r="B34" s="57" t="s">
        <v>446</v>
      </c>
      <c r="C34" s="57" t="s">
        <v>440</v>
      </c>
      <c r="D34" s="57" t="s">
        <v>441</v>
      </c>
      <c r="E34" s="57" t="s">
        <v>347</v>
      </c>
      <c r="F34" s="57">
        <v>19</v>
      </c>
      <c r="G34" s="57" t="s">
        <v>347</v>
      </c>
    </row>
    <row r="35" spans="1:7">
      <c r="A35" s="57" t="s">
        <v>449</v>
      </c>
      <c r="B35" s="57" t="s">
        <v>446</v>
      </c>
      <c r="C35" s="57" t="s">
        <v>442</v>
      </c>
      <c r="D35" s="57" t="s">
        <v>441</v>
      </c>
      <c r="F35" s="57">
        <v>18</v>
      </c>
    </row>
    <row r="36" spans="1:7">
      <c r="A36" s="57" t="s">
        <v>449</v>
      </c>
      <c r="B36" s="57" t="s">
        <v>447</v>
      </c>
      <c r="C36" s="57" t="s">
        <v>440</v>
      </c>
      <c r="D36" s="57" t="s">
        <v>441</v>
      </c>
      <c r="E36" s="57" t="s">
        <v>347</v>
      </c>
      <c r="F36" s="57" t="s">
        <v>347</v>
      </c>
      <c r="G36" s="57" t="s">
        <v>347</v>
      </c>
    </row>
    <row r="37" spans="1:7">
      <c r="A37" s="57" t="s">
        <v>449</v>
      </c>
      <c r="B37" s="57" t="s">
        <v>447</v>
      </c>
      <c r="C37" s="57" t="s">
        <v>442</v>
      </c>
      <c r="D37" s="57" t="s">
        <v>441</v>
      </c>
      <c r="E37" s="57" t="s">
        <v>347</v>
      </c>
      <c r="F37" s="57" t="s">
        <v>347</v>
      </c>
      <c r="G37" s="57" t="s">
        <v>347</v>
      </c>
    </row>
    <row r="38" spans="1:7">
      <c r="A38" s="57" t="s">
        <v>449</v>
      </c>
      <c r="B38" s="57" t="s">
        <v>447</v>
      </c>
      <c r="C38" s="57" t="s">
        <v>313</v>
      </c>
      <c r="D38" s="57" t="s">
        <v>441</v>
      </c>
      <c r="E38" s="57" t="s">
        <v>347</v>
      </c>
      <c r="F38" s="57" t="s">
        <v>347</v>
      </c>
      <c r="G38" s="57" t="s">
        <v>347</v>
      </c>
    </row>
    <row r="40" spans="1:7">
      <c r="A40" s="57" t="s">
        <v>450</v>
      </c>
      <c r="B40" s="57" t="s">
        <v>439</v>
      </c>
      <c r="C40" s="57" t="s">
        <v>440</v>
      </c>
      <c r="D40" s="57" t="s">
        <v>441</v>
      </c>
      <c r="E40" s="57">
        <v>10</v>
      </c>
      <c r="F40" s="57">
        <v>28</v>
      </c>
      <c r="G40" s="58">
        <v>0.35699999999999998</v>
      </c>
    </row>
    <row r="41" spans="1:7">
      <c r="A41" s="57" t="s">
        <v>450</v>
      </c>
      <c r="B41" s="57" t="s">
        <v>439</v>
      </c>
      <c r="C41" s="57" t="s">
        <v>442</v>
      </c>
      <c r="D41" s="57" t="s">
        <v>441</v>
      </c>
      <c r="E41" s="57" t="s">
        <v>347</v>
      </c>
      <c r="F41" s="57">
        <v>27</v>
      </c>
      <c r="G41" s="57" t="s">
        <v>347</v>
      </c>
    </row>
    <row r="42" spans="1:7">
      <c r="A42" s="57" t="s">
        <v>450</v>
      </c>
      <c r="B42" s="57" t="s">
        <v>443</v>
      </c>
      <c r="C42" s="57" t="s">
        <v>440</v>
      </c>
      <c r="D42" s="57" t="s">
        <v>441</v>
      </c>
      <c r="E42" s="57" t="s">
        <v>347</v>
      </c>
      <c r="F42" s="57">
        <v>21</v>
      </c>
      <c r="G42" s="57" t="s">
        <v>347</v>
      </c>
    </row>
    <row r="43" spans="1:7">
      <c r="A43" s="57" t="s">
        <v>450</v>
      </c>
      <c r="B43" s="57" t="s">
        <v>443</v>
      </c>
      <c r="C43" s="57" t="s">
        <v>442</v>
      </c>
      <c r="D43" s="57" t="s">
        <v>441</v>
      </c>
      <c r="E43" s="57" t="s">
        <v>347</v>
      </c>
      <c r="F43" s="57">
        <v>21</v>
      </c>
      <c r="G43" s="57" t="s">
        <v>347</v>
      </c>
    </row>
    <row r="44" spans="1:7">
      <c r="A44" s="57" t="s">
        <v>450</v>
      </c>
      <c r="B44" s="57" t="s">
        <v>444</v>
      </c>
      <c r="C44" s="57" t="s">
        <v>440</v>
      </c>
      <c r="D44" s="57" t="s">
        <v>441</v>
      </c>
      <c r="E44" s="57" t="s">
        <v>347</v>
      </c>
      <c r="F44" s="57">
        <v>27</v>
      </c>
      <c r="G44" s="57" t="s">
        <v>347</v>
      </c>
    </row>
    <row r="45" spans="1:7">
      <c r="A45" s="57" t="s">
        <v>450</v>
      </c>
      <c r="B45" s="57" t="s">
        <v>444</v>
      </c>
      <c r="C45" s="57" t="s">
        <v>442</v>
      </c>
      <c r="D45" s="57" t="s">
        <v>441</v>
      </c>
      <c r="E45" s="57" t="s">
        <v>347</v>
      </c>
      <c r="F45" s="57">
        <v>27</v>
      </c>
      <c r="G45" s="57" t="s">
        <v>347</v>
      </c>
    </row>
    <row r="46" spans="1:7">
      <c r="A46" s="57" t="s">
        <v>450</v>
      </c>
      <c r="B46" s="57" t="s">
        <v>444</v>
      </c>
      <c r="C46" s="57" t="s">
        <v>313</v>
      </c>
      <c r="D46" s="57" t="s">
        <v>441</v>
      </c>
      <c r="E46" s="57" t="s">
        <v>347</v>
      </c>
      <c r="F46" s="57">
        <v>27</v>
      </c>
      <c r="G46" s="57" t="s">
        <v>347</v>
      </c>
    </row>
    <row r="47" spans="1:7">
      <c r="A47" s="57" t="s">
        <v>450</v>
      </c>
      <c r="B47" s="57" t="s">
        <v>445</v>
      </c>
      <c r="C47" s="57" t="s">
        <v>440</v>
      </c>
      <c r="D47" s="57" t="s">
        <v>441</v>
      </c>
      <c r="E47" s="57" t="s">
        <v>347</v>
      </c>
      <c r="F47" s="57">
        <v>24</v>
      </c>
      <c r="G47" s="57" t="s">
        <v>347</v>
      </c>
    </row>
    <row r="48" spans="1:7">
      <c r="A48" s="57" t="s">
        <v>450</v>
      </c>
      <c r="B48" s="57" t="s">
        <v>445</v>
      </c>
      <c r="C48" s="57" t="s">
        <v>442</v>
      </c>
      <c r="D48" s="57" t="s">
        <v>441</v>
      </c>
      <c r="E48" s="57" t="s">
        <v>347</v>
      </c>
      <c r="F48" s="57">
        <v>24</v>
      </c>
      <c r="G48" s="57" t="s">
        <v>347</v>
      </c>
    </row>
    <row r="49" spans="1:7">
      <c r="A49" s="57" t="s">
        <v>450</v>
      </c>
      <c r="B49" s="57" t="s">
        <v>446</v>
      </c>
      <c r="C49" s="57" t="s">
        <v>440</v>
      </c>
      <c r="D49" s="57" t="s">
        <v>441</v>
      </c>
      <c r="E49" s="57" t="s">
        <v>347</v>
      </c>
      <c r="F49" s="57">
        <v>30</v>
      </c>
      <c r="G49" s="57" t="s">
        <v>347</v>
      </c>
    </row>
    <row r="50" spans="1:7">
      <c r="A50" s="57" t="s">
        <v>450</v>
      </c>
      <c r="B50" s="57" t="s">
        <v>446</v>
      </c>
      <c r="C50" s="57" t="s">
        <v>442</v>
      </c>
      <c r="D50" s="57" t="s">
        <v>441</v>
      </c>
      <c r="F50" s="57">
        <v>30</v>
      </c>
    </row>
    <row r="51" spans="1:7">
      <c r="A51" s="57" t="s">
        <v>450</v>
      </c>
      <c r="B51" s="57" t="s">
        <v>447</v>
      </c>
      <c r="C51" s="57" t="s">
        <v>440</v>
      </c>
      <c r="D51" s="57" t="s">
        <v>441</v>
      </c>
      <c r="E51" s="57">
        <v>10</v>
      </c>
      <c r="F51" s="57">
        <v>25</v>
      </c>
      <c r="G51" s="58">
        <v>0.4</v>
      </c>
    </row>
    <row r="52" spans="1:7">
      <c r="A52" s="57" t="s">
        <v>450</v>
      </c>
      <c r="B52" s="57" t="s">
        <v>447</v>
      </c>
      <c r="C52" s="57" t="s">
        <v>442</v>
      </c>
      <c r="D52" s="57" t="s">
        <v>441</v>
      </c>
      <c r="E52" s="57" t="s">
        <v>347</v>
      </c>
      <c r="F52" s="57">
        <v>25</v>
      </c>
      <c r="G52" s="57" t="s">
        <v>347</v>
      </c>
    </row>
    <row r="53" spans="1:7">
      <c r="A53" s="57" t="s">
        <v>450</v>
      </c>
      <c r="B53" s="57" t="s">
        <v>447</v>
      </c>
      <c r="C53" s="57" t="s">
        <v>313</v>
      </c>
      <c r="D53" s="57" t="s">
        <v>441</v>
      </c>
      <c r="E53" s="57" t="s">
        <v>347</v>
      </c>
      <c r="F53" s="57">
        <v>25</v>
      </c>
      <c r="G53" s="57" t="s">
        <v>347</v>
      </c>
    </row>
    <row r="55" spans="1:7">
      <c r="A55" s="57" t="s">
        <v>451</v>
      </c>
      <c r="B55" s="57" t="s">
        <v>439</v>
      </c>
      <c r="C55" s="57" t="s">
        <v>440</v>
      </c>
      <c r="D55" s="57" t="s">
        <v>441</v>
      </c>
      <c r="E55" s="57">
        <v>15</v>
      </c>
      <c r="F55" s="57">
        <v>32</v>
      </c>
      <c r="G55" s="58">
        <v>0.46899999999999997</v>
      </c>
    </row>
    <row r="56" spans="1:7">
      <c r="A56" s="57" t="s">
        <v>451</v>
      </c>
      <c r="B56" s="57" t="s">
        <v>439</v>
      </c>
      <c r="C56" s="57" t="s">
        <v>442</v>
      </c>
      <c r="D56" s="57" t="s">
        <v>441</v>
      </c>
      <c r="E56" s="57">
        <v>16</v>
      </c>
      <c r="F56" s="57">
        <v>31</v>
      </c>
      <c r="G56" s="58">
        <v>0.51600000000000001</v>
      </c>
    </row>
    <row r="57" spans="1:7">
      <c r="A57" s="57" t="s">
        <v>451</v>
      </c>
      <c r="B57" s="57" t="s">
        <v>443</v>
      </c>
      <c r="C57" s="57" t="s">
        <v>440</v>
      </c>
      <c r="D57" s="57" t="s">
        <v>441</v>
      </c>
      <c r="E57" s="57" t="s">
        <v>347</v>
      </c>
      <c r="F57" s="57">
        <v>32</v>
      </c>
      <c r="G57" s="57" t="s">
        <v>347</v>
      </c>
    </row>
    <row r="58" spans="1:7">
      <c r="A58" s="57" t="s">
        <v>451</v>
      </c>
      <c r="B58" s="57" t="s">
        <v>443</v>
      </c>
      <c r="C58" s="57" t="s">
        <v>442</v>
      </c>
      <c r="D58" s="57" t="s">
        <v>441</v>
      </c>
      <c r="E58" s="57">
        <v>10</v>
      </c>
      <c r="F58" s="57">
        <v>31</v>
      </c>
      <c r="G58" s="58">
        <v>0.32300000000000001</v>
      </c>
    </row>
    <row r="59" spans="1:7">
      <c r="A59" s="57" t="s">
        <v>451</v>
      </c>
      <c r="B59" s="57" t="s">
        <v>444</v>
      </c>
      <c r="C59" s="57" t="s">
        <v>440</v>
      </c>
      <c r="D59" s="57" t="s">
        <v>441</v>
      </c>
      <c r="E59" s="57" t="s">
        <v>347</v>
      </c>
      <c r="F59" s="57">
        <v>24</v>
      </c>
      <c r="G59" s="57" t="s">
        <v>347</v>
      </c>
    </row>
    <row r="60" spans="1:7">
      <c r="A60" s="57" t="s">
        <v>451</v>
      </c>
      <c r="B60" s="57" t="s">
        <v>444</v>
      </c>
      <c r="C60" s="57" t="s">
        <v>442</v>
      </c>
      <c r="D60" s="57" t="s">
        <v>441</v>
      </c>
      <c r="E60" s="57" t="s">
        <v>347</v>
      </c>
      <c r="F60" s="57">
        <v>24</v>
      </c>
      <c r="G60" s="57" t="s">
        <v>347</v>
      </c>
    </row>
    <row r="61" spans="1:7">
      <c r="A61" s="57" t="s">
        <v>451</v>
      </c>
      <c r="B61" s="57" t="s">
        <v>444</v>
      </c>
      <c r="C61" s="57" t="s">
        <v>313</v>
      </c>
      <c r="D61" s="57" t="s">
        <v>441</v>
      </c>
      <c r="E61" s="57" t="s">
        <v>347</v>
      </c>
      <c r="F61" s="57">
        <v>24</v>
      </c>
      <c r="G61" s="57" t="s">
        <v>347</v>
      </c>
    </row>
    <row r="62" spans="1:7">
      <c r="A62" s="57" t="s">
        <v>451</v>
      </c>
      <c r="B62" s="57" t="s">
        <v>445</v>
      </c>
      <c r="C62" s="57" t="s">
        <v>440</v>
      </c>
      <c r="D62" s="57" t="s">
        <v>441</v>
      </c>
      <c r="E62" s="57">
        <v>12</v>
      </c>
      <c r="F62" s="57">
        <v>36</v>
      </c>
      <c r="G62" s="58">
        <v>0.33300000000000002</v>
      </c>
    </row>
    <row r="63" spans="1:7">
      <c r="A63" s="57" t="s">
        <v>451</v>
      </c>
      <c r="B63" s="57" t="s">
        <v>445</v>
      </c>
      <c r="C63" s="57" t="s">
        <v>442</v>
      </c>
      <c r="D63" s="57" t="s">
        <v>441</v>
      </c>
      <c r="E63" s="57">
        <v>19</v>
      </c>
      <c r="F63" s="57">
        <v>35</v>
      </c>
      <c r="G63" s="58">
        <v>0.54300000000000004</v>
      </c>
    </row>
    <row r="64" spans="1:7">
      <c r="A64" s="57" t="s">
        <v>451</v>
      </c>
      <c r="B64" s="57" t="s">
        <v>446</v>
      </c>
      <c r="C64" s="57" t="s">
        <v>440</v>
      </c>
      <c r="D64" s="57" t="s">
        <v>441</v>
      </c>
      <c r="E64" s="57">
        <v>18</v>
      </c>
      <c r="F64" s="57">
        <v>29</v>
      </c>
      <c r="G64" s="58">
        <v>0.621</v>
      </c>
    </row>
    <row r="65" spans="1:7">
      <c r="A65" s="57" t="s">
        <v>451</v>
      </c>
      <c r="B65" s="57" t="s">
        <v>446</v>
      </c>
      <c r="C65" s="57" t="s">
        <v>442</v>
      </c>
      <c r="D65" s="57" t="s">
        <v>441</v>
      </c>
      <c r="E65" s="57">
        <v>11</v>
      </c>
      <c r="F65" s="57">
        <v>28</v>
      </c>
      <c r="G65" s="58">
        <v>0.39300000000000002</v>
      </c>
    </row>
    <row r="66" spans="1:7">
      <c r="A66" s="57" t="s">
        <v>451</v>
      </c>
      <c r="B66" s="57" t="s">
        <v>447</v>
      </c>
      <c r="C66" s="57" t="s">
        <v>440</v>
      </c>
      <c r="D66" s="57" t="s">
        <v>441</v>
      </c>
      <c r="E66" s="57">
        <v>21</v>
      </c>
      <c r="F66" s="57">
        <v>38</v>
      </c>
      <c r="G66" s="58">
        <v>0.55300000000000005</v>
      </c>
    </row>
    <row r="67" spans="1:7">
      <c r="A67" s="57" t="s">
        <v>451</v>
      </c>
      <c r="B67" s="57" t="s">
        <v>447</v>
      </c>
      <c r="C67" s="57" t="s">
        <v>442</v>
      </c>
      <c r="D67" s="57" t="s">
        <v>441</v>
      </c>
      <c r="E67" s="57">
        <v>19</v>
      </c>
      <c r="F67" s="57">
        <v>37</v>
      </c>
      <c r="G67" s="58">
        <v>0.51400000000000001</v>
      </c>
    </row>
    <row r="68" spans="1:7">
      <c r="A68" s="57" t="s">
        <v>451</v>
      </c>
      <c r="B68" s="57" t="s">
        <v>447</v>
      </c>
      <c r="C68" s="57" t="s">
        <v>313</v>
      </c>
      <c r="D68" s="57" t="s">
        <v>441</v>
      </c>
      <c r="E68" s="57">
        <v>12</v>
      </c>
      <c r="F68" s="57">
        <v>37</v>
      </c>
      <c r="G68" s="58">
        <v>0.32400000000000001</v>
      </c>
    </row>
    <row r="69" spans="1:7">
      <c r="G69" s="58"/>
    </row>
    <row r="70" spans="1:7">
      <c r="A70" s="57" t="s">
        <v>452</v>
      </c>
      <c r="B70" s="57" t="s">
        <v>439</v>
      </c>
      <c r="C70" s="57" t="s">
        <v>440</v>
      </c>
      <c r="D70" s="57" t="s">
        <v>441</v>
      </c>
      <c r="E70" s="57" t="s">
        <v>347</v>
      </c>
      <c r="F70" s="57" t="s">
        <v>347</v>
      </c>
      <c r="G70" s="57" t="s">
        <v>347</v>
      </c>
    </row>
    <row r="71" spans="1:7">
      <c r="A71" s="57" t="s">
        <v>452</v>
      </c>
      <c r="B71" s="57" t="s">
        <v>439</v>
      </c>
      <c r="C71" s="57" t="s">
        <v>442</v>
      </c>
      <c r="D71" s="57" t="s">
        <v>441</v>
      </c>
      <c r="E71" s="57" t="s">
        <v>347</v>
      </c>
      <c r="F71" s="57" t="s">
        <v>347</v>
      </c>
      <c r="G71" s="57" t="s">
        <v>347</v>
      </c>
    </row>
    <row r="72" spans="1:7">
      <c r="A72" s="57" t="s">
        <v>452</v>
      </c>
      <c r="B72" s="57" t="s">
        <v>443</v>
      </c>
      <c r="C72" s="57" t="s">
        <v>440</v>
      </c>
      <c r="D72" s="57" t="s">
        <v>441</v>
      </c>
      <c r="E72" s="57" t="s">
        <v>347</v>
      </c>
      <c r="F72" s="57" t="s">
        <v>347</v>
      </c>
      <c r="G72" s="57" t="s">
        <v>347</v>
      </c>
    </row>
    <row r="73" spans="1:7">
      <c r="A73" s="57" t="s">
        <v>452</v>
      </c>
      <c r="B73" s="57" t="s">
        <v>443</v>
      </c>
      <c r="C73" s="57" t="s">
        <v>442</v>
      </c>
      <c r="D73" s="57" t="s">
        <v>441</v>
      </c>
      <c r="E73" s="57" t="s">
        <v>347</v>
      </c>
      <c r="F73" s="57" t="s">
        <v>347</v>
      </c>
      <c r="G73" s="57" t="s">
        <v>347</v>
      </c>
    </row>
    <row r="74" spans="1:7">
      <c r="A74" s="57" t="s">
        <v>452</v>
      </c>
      <c r="B74" s="57" t="s">
        <v>444</v>
      </c>
      <c r="C74" s="57" t="s">
        <v>440</v>
      </c>
      <c r="D74" s="57" t="s">
        <v>441</v>
      </c>
      <c r="E74" s="57" t="s">
        <v>347</v>
      </c>
      <c r="F74" s="57" t="s">
        <v>347</v>
      </c>
      <c r="G74" s="57" t="s">
        <v>347</v>
      </c>
    </row>
    <row r="75" spans="1:7">
      <c r="A75" s="57" t="s">
        <v>452</v>
      </c>
      <c r="B75" s="57" t="s">
        <v>444</v>
      </c>
      <c r="C75" s="57" t="s">
        <v>442</v>
      </c>
      <c r="D75" s="57" t="s">
        <v>441</v>
      </c>
      <c r="E75" s="57" t="s">
        <v>347</v>
      </c>
      <c r="F75" s="57" t="s">
        <v>347</v>
      </c>
      <c r="G75" s="57" t="s">
        <v>347</v>
      </c>
    </row>
    <row r="76" spans="1:7">
      <c r="A76" s="57" t="s">
        <v>452</v>
      </c>
      <c r="B76" s="57" t="s">
        <v>444</v>
      </c>
      <c r="C76" s="57" t="s">
        <v>313</v>
      </c>
      <c r="D76" s="57" t="s">
        <v>441</v>
      </c>
      <c r="F76" s="57" t="s">
        <v>347</v>
      </c>
    </row>
    <row r="77" spans="1:7">
      <c r="A77" s="57" t="s">
        <v>452</v>
      </c>
      <c r="B77" s="57" t="s">
        <v>445</v>
      </c>
      <c r="C77" s="57" t="s">
        <v>440</v>
      </c>
      <c r="D77" s="57" t="s">
        <v>441</v>
      </c>
      <c r="E77" s="57" t="s">
        <v>347</v>
      </c>
      <c r="F77" s="57" t="s">
        <v>347</v>
      </c>
      <c r="G77" s="57" t="s">
        <v>347</v>
      </c>
    </row>
    <row r="78" spans="1:7">
      <c r="A78" s="57" t="s">
        <v>452</v>
      </c>
      <c r="B78" s="57" t="s">
        <v>445</v>
      </c>
      <c r="C78" s="57" t="s">
        <v>442</v>
      </c>
      <c r="D78" s="57" t="s">
        <v>441</v>
      </c>
      <c r="F78" s="57" t="s">
        <v>347</v>
      </c>
    </row>
    <row r="79" spans="1:7">
      <c r="A79" s="57" t="s">
        <v>452</v>
      </c>
      <c r="B79" s="57" t="s">
        <v>446</v>
      </c>
      <c r="C79" s="57" t="s">
        <v>440</v>
      </c>
      <c r="D79" s="57" t="s">
        <v>441</v>
      </c>
      <c r="E79" s="57" t="s">
        <v>347</v>
      </c>
      <c r="F79" s="57" t="s">
        <v>347</v>
      </c>
      <c r="G79" s="57" t="s">
        <v>347</v>
      </c>
    </row>
    <row r="80" spans="1:7">
      <c r="A80" s="57" t="s">
        <v>452</v>
      </c>
      <c r="B80" s="57" t="s">
        <v>446</v>
      </c>
      <c r="C80" s="57" t="s">
        <v>442</v>
      </c>
      <c r="D80" s="57" t="s">
        <v>441</v>
      </c>
      <c r="E80" s="57" t="s">
        <v>347</v>
      </c>
      <c r="F80" s="57" t="s">
        <v>347</v>
      </c>
      <c r="G80" s="57" t="s">
        <v>347</v>
      </c>
    </row>
    <row r="81" spans="1:7">
      <c r="A81" s="57" t="s">
        <v>452</v>
      </c>
      <c r="B81" s="57" t="s">
        <v>447</v>
      </c>
      <c r="C81" s="57" t="s">
        <v>440</v>
      </c>
      <c r="D81" s="57" t="s">
        <v>441</v>
      </c>
      <c r="F81" s="57" t="s">
        <v>347</v>
      </c>
    </row>
    <row r="82" spans="1:7">
      <c r="A82" s="57" t="s">
        <v>452</v>
      </c>
      <c r="B82" s="57" t="s">
        <v>447</v>
      </c>
      <c r="C82" s="57" t="s">
        <v>442</v>
      </c>
      <c r="D82" s="57" t="s">
        <v>441</v>
      </c>
      <c r="F82" s="57" t="s">
        <v>347</v>
      </c>
    </row>
    <row r="83" spans="1:7">
      <c r="A83" s="57" t="s">
        <v>452</v>
      </c>
      <c r="B83" s="57" t="s">
        <v>447</v>
      </c>
      <c r="C83" s="57" t="s">
        <v>313</v>
      </c>
      <c r="D83" s="57" t="s">
        <v>441</v>
      </c>
      <c r="E83" s="57" t="s">
        <v>347</v>
      </c>
      <c r="F83" s="57" t="s">
        <v>347</v>
      </c>
      <c r="G83" s="57" t="s">
        <v>347</v>
      </c>
    </row>
    <row r="84" spans="1:7">
      <c r="A84" s="57" t="s">
        <v>452</v>
      </c>
      <c r="B84" s="57" t="s">
        <v>453</v>
      </c>
      <c r="C84" s="57" t="s">
        <v>454</v>
      </c>
      <c r="D84" s="57" t="s">
        <v>441</v>
      </c>
      <c r="F84" s="57">
        <v>14</v>
      </c>
    </row>
    <row r="85" spans="1:7">
      <c r="A85" s="57" t="s">
        <v>452</v>
      </c>
      <c r="B85" s="57" t="s">
        <v>453</v>
      </c>
      <c r="C85" s="57" t="s">
        <v>455</v>
      </c>
      <c r="D85" s="57" t="s">
        <v>441</v>
      </c>
      <c r="E85" s="57" t="s">
        <v>347</v>
      </c>
      <c r="F85" s="57">
        <v>14</v>
      </c>
      <c r="G85" s="57" t="s">
        <v>347</v>
      </c>
    </row>
    <row r="86" spans="1:7">
      <c r="A86" s="57" t="s">
        <v>452</v>
      </c>
      <c r="B86" s="57" t="s">
        <v>453</v>
      </c>
      <c r="C86" s="57" t="s">
        <v>456</v>
      </c>
      <c r="D86" s="57" t="s">
        <v>441</v>
      </c>
      <c r="E86" s="57" t="s">
        <v>347</v>
      </c>
      <c r="F86" s="57">
        <v>13</v>
      </c>
      <c r="G86" s="57" t="s">
        <v>347</v>
      </c>
    </row>
    <row r="87" spans="1:7">
      <c r="A87" s="57" t="s">
        <v>452</v>
      </c>
      <c r="B87" s="57" t="s">
        <v>453</v>
      </c>
      <c r="C87" s="57" t="s">
        <v>457</v>
      </c>
      <c r="D87" s="57" t="s">
        <v>441</v>
      </c>
      <c r="E87" s="57" t="s">
        <v>347</v>
      </c>
      <c r="F87" s="57">
        <v>14</v>
      </c>
      <c r="G87" s="57" t="s">
        <v>347</v>
      </c>
    </row>
    <row r="88" spans="1:7">
      <c r="A88" s="57" t="s">
        <v>452</v>
      </c>
      <c r="B88" s="57" t="s">
        <v>453</v>
      </c>
      <c r="C88" s="57" t="s">
        <v>458</v>
      </c>
      <c r="D88" s="57" t="s">
        <v>441</v>
      </c>
      <c r="E88" s="57" t="s">
        <v>347</v>
      </c>
      <c r="F88" s="57">
        <v>10</v>
      </c>
      <c r="G88" s="57" t="s">
        <v>347</v>
      </c>
    </row>
    <row r="89" spans="1:7">
      <c r="A89" s="57" t="s">
        <v>452</v>
      </c>
      <c r="B89" s="57" t="s">
        <v>453</v>
      </c>
      <c r="C89" s="57" t="s">
        <v>459</v>
      </c>
      <c r="D89" s="57" t="s">
        <v>441</v>
      </c>
      <c r="E89" s="57" t="s">
        <v>347</v>
      </c>
      <c r="F89" s="57">
        <v>14</v>
      </c>
      <c r="G89" s="57" t="s">
        <v>347</v>
      </c>
    </row>
    <row r="91" spans="1:7">
      <c r="A91" s="57" t="s">
        <v>460</v>
      </c>
      <c r="B91" s="57" t="s">
        <v>439</v>
      </c>
      <c r="C91" s="57" t="s">
        <v>440</v>
      </c>
      <c r="D91" s="57" t="s">
        <v>441</v>
      </c>
      <c r="E91" s="57">
        <v>35</v>
      </c>
      <c r="F91" s="57">
        <v>52</v>
      </c>
      <c r="G91" s="58">
        <v>0.67300000000000004</v>
      </c>
    </row>
    <row r="92" spans="1:7">
      <c r="A92" s="57" t="s">
        <v>460</v>
      </c>
      <c r="B92" s="57" t="s">
        <v>439</v>
      </c>
      <c r="C92" s="57" t="s">
        <v>442</v>
      </c>
      <c r="D92" s="57" t="s">
        <v>441</v>
      </c>
      <c r="E92" s="57">
        <v>26</v>
      </c>
      <c r="F92" s="57">
        <v>49</v>
      </c>
      <c r="G92" s="58">
        <v>0.53100000000000003</v>
      </c>
    </row>
    <row r="93" spans="1:7">
      <c r="A93" s="57" t="s">
        <v>460</v>
      </c>
      <c r="B93" s="57" t="s">
        <v>443</v>
      </c>
      <c r="C93" s="57" t="s">
        <v>440</v>
      </c>
      <c r="D93" s="57" t="s">
        <v>441</v>
      </c>
      <c r="E93" s="57">
        <v>32</v>
      </c>
      <c r="F93" s="57">
        <v>62</v>
      </c>
      <c r="G93" s="58">
        <v>0.51600000000000001</v>
      </c>
    </row>
    <row r="94" spans="1:7">
      <c r="A94" s="57" t="s">
        <v>460</v>
      </c>
      <c r="B94" s="57" t="s">
        <v>443</v>
      </c>
      <c r="C94" s="57" t="s">
        <v>442</v>
      </c>
      <c r="D94" s="57" t="s">
        <v>441</v>
      </c>
      <c r="E94" s="57">
        <v>41</v>
      </c>
      <c r="F94" s="57">
        <v>64</v>
      </c>
      <c r="G94" s="58">
        <v>0.64100000000000001</v>
      </c>
    </row>
    <row r="95" spans="1:7">
      <c r="A95" s="57" t="s">
        <v>460</v>
      </c>
      <c r="B95" s="57" t="s">
        <v>444</v>
      </c>
      <c r="C95" s="57" t="s">
        <v>440</v>
      </c>
      <c r="D95" s="57" t="s">
        <v>441</v>
      </c>
      <c r="E95" s="57">
        <v>26</v>
      </c>
      <c r="F95" s="57">
        <v>39</v>
      </c>
      <c r="G95" s="58">
        <v>0.66700000000000004</v>
      </c>
    </row>
    <row r="96" spans="1:7">
      <c r="A96" s="57" t="s">
        <v>460</v>
      </c>
      <c r="B96" s="57" t="s">
        <v>444</v>
      </c>
      <c r="C96" s="57" t="s">
        <v>442</v>
      </c>
      <c r="D96" s="57" t="s">
        <v>441</v>
      </c>
      <c r="E96" s="57" t="s">
        <v>347</v>
      </c>
      <c r="F96" s="57">
        <v>39</v>
      </c>
      <c r="G96" s="57" t="s">
        <v>347</v>
      </c>
    </row>
    <row r="97" spans="1:7">
      <c r="A97" s="57" t="s">
        <v>460</v>
      </c>
      <c r="B97" s="57" t="s">
        <v>444</v>
      </c>
      <c r="C97" s="57" t="s">
        <v>313</v>
      </c>
      <c r="D97" s="57" t="s">
        <v>441</v>
      </c>
      <c r="E97" s="57">
        <v>14</v>
      </c>
      <c r="F97" s="57">
        <v>39</v>
      </c>
      <c r="G97" s="58">
        <v>0.35899999999999999</v>
      </c>
    </row>
    <row r="98" spans="1:7">
      <c r="A98" s="57" t="s">
        <v>460</v>
      </c>
      <c r="B98" s="57" t="s">
        <v>445</v>
      </c>
      <c r="C98" s="57" t="s">
        <v>440</v>
      </c>
      <c r="D98" s="57" t="s">
        <v>441</v>
      </c>
      <c r="E98" s="57">
        <v>21</v>
      </c>
      <c r="F98" s="57">
        <v>52</v>
      </c>
      <c r="G98" s="58">
        <v>0.40400000000000003</v>
      </c>
    </row>
    <row r="99" spans="1:7">
      <c r="A99" s="57" t="s">
        <v>460</v>
      </c>
      <c r="B99" s="57" t="s">
        <v>445</v>
      </c>
      <c r="C99" s="57" t="s">
        <v>442</v>
      </c>
      <c r="D99" s="57" t="s">
        <v>441</v>
      </c>
      <c r="E99" s="57">
        <v>19</v>
      </c>
      <c r="F99" s="57">
        <v>52</v>
      </c>
      <c r="G99" s="58">
        <v>0.36499999999999999</v>
      </c>
    </row>
    <row r="100" spans="1:7">
      <c r="A100" s="57" t="s">
        <v>460</v>
      </c>
      <c r="B100" s="57" t="s">
        <v>446</v>
      </c>
      <c r="C100" s="57" t="s">
        <v>440</v>
      </c>
      <c r="D100" s="57" t="s">
        <v>441</v>
      </c>
      <c r="E100" s="57">
        <v>36</v>
      </c>
      <c r="F100" s="57">
        <v>51</v>
      </c>
      <c r="G100" s="58">
        <v>0.70599999999999996</v>
      </c>
    </row>
    <row r="101" spans="1:7">
      <c r="A101" s="57" t="s">
        <v>460</v>
      </c>
      <c r="B101" s="57" t="s">
        <v>446</v>
      </c>
      <c r="C101" s="57" t="s">
        <v>442</v>
      </c>
      <c r="D101" s="57" t="s">
        <v>441</v>
      </c>
      <c r="E101" s="57">
        <v>18</v>
      </c>
      <c r="F101" s="57">
        <v>51</v>
      </c>
      <c r="G101" s="58">
        <v>0.35299999999999998</v>
      </c>
    </row>
    <row r="102" spans="1:7">
      <c r="A102" s="57" t="s">
        <v>460</v>
      </c>
      <c r="B102" s="57" t="s">
        <v>447</v>
      </c>
      <c r="C102" s="57" t="s">
        <v>440</v>
      </c>
      <c r="D102" s="57" t="s">
        <v>441</v>
      </c>
      <c r="E102" s="57">
        <v>23</v>
      </c>
      <c r="F102" s="57">
        <v>48</v>
      </c>
      <c r="G102" s="58">
        <v>0.47899999999999998</v>
      </c>
    </row>
    <row r="103" spans="1:7">
      <c r="A103" s="57" t="s">
        <v>460</v>
      </c>
      <c r="B103" s="57" t="s">
        <v>447</v>
      </c>
      <c r="C103" s="57" t="s">
        <v>442</v>
      </c>
      <c r="D103" s="57" t="s">
        <v>441</v>
      </c>
      <c r="E103" s="57">
        <v>23</v>
      </c>
      <c r="F103" s="57">
        <v>45</v>
      </c>
      <c r="G103" s="58">
        <v>0.51100000000000001</v>
      </c>
    </row>
    <row r="104" spans="1:7">
      <c r="A104" s="57" t="s">
        <v>460</v>
      </c>
      <c r="B104" s="57" t="s">
        <v>447</v>
      </c>
      <c r="C104" s="57" t="s">
        <v>313</v>
      </c>
      <c r="D104" s="57" t="s">
        <v>441</v>
      </c>
      <c r="E104" s="57">
        <v>25</v>
      </c>
      <c r="F104" s="57">
        <v>47</v>
      </c>
      <c r="G104" s="58">
        <v>0.53200000000000003</v>
      </c>
    </row>
    <row r="105" spans="1:7">
      <c r="A105" s="57" t="s">
        <v>460</v>
      </c>
      <c r="B105" s="57" t="s">
        <v>453</v>
      </c>
      <c r="C105" s="57" t="s">
        <v>454</v>
      </c>
      <c r="D105" s="57" t="s">
        <v>441</v>
      </c>
      <c r="E105" s="57" t="s">
        <v>347</v>
      </c>
      <c r="F105" s="57">
        <v>15</v>
      </c>
      <c r="G105" s="57" t="s">
        <v>347</v>
      </c>
    </row>
    <row r="106" spans="1:7">
      <c r="A106" s="57" t="s">
        <v>460</v>
      </c>
      <c r="B106" s="57" t="s">
        <v>453</v>
      </c>
      <c r="C106" s="57" t="s">
        <v>461</v>
      </c>
      <c r="D106" s="57" t="s">
        <v>441</v>
      </c>
      <c r="E106" s="57" t="s">
        <v>347</v>
      </c>
      <c r="F106" s="57">
        <v>13</v>
      </c>
      <c r="G106" s="57" t="s">
        <v>347</v>
      </c>
    </row>
    <row r="107" spans="1:7">
      <c r="A107" s="57" t="s">
        <v>460</v>
      </c>
      <c r="B107" s="57" t="s">
        <v>453</v>
      </c>
      <c r="C107" s="57" t="s">
        <v>455</v>
      </c>
      <c r="D107" s="57" t="s">
        <v>441</v>
      </c>
      <c r="E107" s="57">
        <v>15</v>
      </c>
      <c r="F107" s="57">
        <v>17</v>
      </c>
      <c r="G107" s="58">
        <v>0.88200000000000001</v>
      </c>
    </row>
    <row r="108" spans="1:7">
      <c r="A108" s="57" t="s">
        <v>460</v>
      </c>
      <c r="B108" s="57" t="s">
        <v>453</v>
      </c>
      <c r="C108" s="57" t="s">
        <v>456</v>
      </c>
      <c r="D108" s="57" t="s">
        <v>441</v>
      </c>
      <c r="E108" s="57" t="s">
        <v>347</v>
      </c>
      <c r="F108" s="57">
        <v>15</v>
      </c>
      <c r="G108" s="57" t="s">
        <v>347</v>
      </c>
    </row>
    <row r="109" spans="1:7">
      <c r="A109" s="57" t="s">
        <v>460</v>
      </c>
      <c r="B109" s="57" t="s">
        <v>453</v>
      </c>
      <c r="C109" s="57" t="s">
        <v>457</v>
      </c>
      <c r="D109" s="57" t="s">
        <v>441</v>
      </c>
      <c r="E109" s="57" t="s">
        <v>347</v>
      </c>
      <c r="F109" s="57">
        <v>15</v>
      </c>
      <c r="G109" s="57" t="s">
        <v>347</v>
      </c>
    </row>
    <row r="110" spans="1:7">
      <c r="A110" s="57" t="s">
        <v>460</v>
      </c>
      <c r="B110" s="57" t="s">
        <v>453</v>
      </c>
      <c r="C110" s="57" t="s">
        <v>458</v>
      </c>
      <c r="D110" s="57" t="s">
        <v>441</v>
      </c>
      <c r="E110" s="57">
        <v>12</v>
      </c>
      <c r="F110" s="57">
        <v>16</v>
      </c>
      <c r="G110" s="58">
        <v>0.75</v>
      </c>
    </row>
    <row r="111" spans="1:7">
      <c r="A111" s="57" t="s">
        <v>460</v>
      </c>
      <c r="B111" s="57" t="s">
        <v>453</v>
      </c>
      <c r="C111" s="57" t="s">
        <v>459</v>
      </c>
      <c r="D111" s="57" t="s">
        <v>441</v>
      </c>
      <c r="E111" s="57" t="s">
        <v>347</v>
      </c>
      <c r="F111" s="57">
        <v>10</v>
      </c>
      <c r="G111" s="57" t="s">
        <v>347</v>
      </c>
    </row>
    <row r="112" spans="1:7">
      <c r="A112" s="57" t="s">
        <v>460</v>
      </c>
      <c r="B112" s="57" t="s">
        <v>453</v>
      </c>
      <c r="C112" s="57" t="s">
        <v>462</v>
      </c>
      <c r="D112" s="57" t="s">
        <v>441</v>
      </c>
      <c r="F112" s="57" t="s">
        <v>347</v>
      </c>
    </row>
    <row r="114" spans="1:7">
      <c r="A114" s="57" t="s">
        <v>463</v>
      </c>
      <c r="B114" s="57" t="s">
        <v>439</v>
      </c>
      <c r="C114" s="57" t="s">
        <v>440</v>
      </c>
      <c r="D114" s="57" t="s">
        <v>441</v>
      </c>
      <c r="E114" s="57">
        <v>22</v>
      </c>
      <c r="F114" s="57">
        <v>32</v>
      </c>
      <c r="G114" s="58">
        <v>0.68799999999999994</v>
      </c>
    </row>
    <row r="115" spans="1:7">
      <c r="A115" s="57" t="s">
        <v>463</v>
      </c>
      <c r="B115" s="57" t="s">
        <v>439</v>
      </c>
      <c r="C115" s="57" t="s">
        <v>442</v>
      </c>
      <c r="D115" s="57" t="s">
        <v>441</v>
      </c>
      <c r="E115" s="57">
        <v>11</v>
      </c>
      <c r="F115" s="57">
        <v>32</v>
      </c>
      <c r="G115" s="58">
        <v>0.34399999999999997</v>
      </c>
    </row>
    <row r="116" spans="1:7">
      <c r="A116" s="57" t="s">
        <v>463</v>
      </c>
      <c r="B116" s="57" t="s">
        <v>443</v>
      </c>
      <c r="C116" s="57" t="s">
        <v>440</v>
      </c>
      <c r="D116" s="57" t="s">
        <v>441</v>
      </c>
      <c r="E116" s="57">
        <v>30</v>
      </c>
      <c r="F116" s="57">
        <v>51</v>
      </c>
      <c r="G116" s="58">
        <v>0.58799999999999997</v>
      </c>
    </row>
    <row r="117" spans="1:7">
      <c r="A117" s="57" t="s">
        <v>463</v>
      </c>
      <c r="B117" s="57" t="s">
        <v>443</v>
      </c>
      <c r="C117" s="57" t="s">
        <v>442</v>
      </c>
      <c r="D117" s="57" t="s">
        <v>441</v>
      </c>
      <c r="E117" s="57">
        <v>30</v>
      </c>
      <c r="F117" s="57">
        <v>51</v>
      </c>
      <c r="G117" s="58">
        <v>0.58799999999999997</v>
      </c>
    </row>
    <row r="118" spans="1:7">
      <c r="A118" s="57" t="s">
        <v>463</v>
      </c>
      <c r="B118" s="57" t="s">
        <v>444</v>
      </c>
      <c r="C118" s="57" t="s">
        <v>440</v>
      </c>
      <c r="D118" s="57" t="s">
        <v>441</v>
      </c>
      <c r="E118" s="57">
        <v>24</v>
      </c>
      <c r="F118" s="57">
        <v>50</v>
      </c>
      <c r="G118" s="58">
        <v>0.48</v>
      </c>
    </row>
    <row r="119" spans="1:7">
      <c r="A119" s="57" t="s">
        <v>463</v>
      </c>
      <c r="B119" s="57" t="s">
        <v>444</v>
      </c>
      <c r="C119" s="57" t="s">
        <v>442</v>
      </c>
      <c r="D119" s="57" t="s">
        <v>441</v>
      </c>
      <c r="E119" s="57" t="s">
        <v>347</v>
      </c>
      <c r="F119" s="57">
        <v>50</v>
      </c>
      <c r="G119" s="57" t="s">
        <v>347</v>
      </c>
    </row>
    <row r="120" spans="1:7">
      <c r="A120" s="57" t="s">
        <v>463</v>
      </c>
      <c r="B120" s="57" t="s">
        <v>444</v>
      </c>
      <c r="C120" s="57" t="s">
        <v>313</v>
      </c>
      <c r="D120" s="57" t="s">
        <v>441</v>
      </c>
      <c r="E120" s="57">
        <v>13</v>
      </c>
      <c r="F120" s="57">
        <v>50</v>
      </c>
      <c r="G120" s="58">
        <v>0.26</v>
      </c>
    </row>
    <row r="121" spans="1:7">
      <c r="A121" s="57" t="s">
        <v>463</v>
      </c>
      <c r="B121" s="57" t="s">
        <v>445</v>
      </c>
      <c r="C121" s="57" t="s">
        <v>440</v>
      </c>
      <c r="D121" s="57" t="s">
        <v>441</v>
      </c>
      <c r="E121" s="57">
        <v>15</v>
      </c>
      <c r="F121" s="57">
        <v>49</v>
      </c>
      <c r="G121" s="58">
        <v>0.30599999999999999</v>
      </c>
    </row>
    <row r="122" spans="1:7">
      <c r="A122" s="57" t="s">
        <v>463</v>
      </c>
      <c r="B122" s="57" t="s">
        <v>445</v>
      </c>
      <c r="C122" s="57" t="s">
        <v>442</v>
      </c>
      <c r="D122" s="57" t="s">
        <v>441</v>
      </c>
      <c r="E122" s="57">
        <v>17</v>
      </c>
      <c r="F122" s="57">
        <v>49</v>
      </c>
      <c r="G122" s="58">
        <v>0.34699999999999998</v>
      </c>
    </row>
    <row r="123" spans="1:7">
      <c r="A123" s="57" t="s">
        <v>463</v>
      </c>
      <c r="B123" s="57" t="s">
        <v>446</v>
      </c>
      <c r="C123" s="57" t="s">
        <v>440</v>
      </c>
      <c r="D123" s="57" t="s">
        <v>441</v>
      </c>
      <c r="E123" s="57">
        <v>44</v>
      </c>
      <c r="F123" s="57">
        <v>55</v>
      </c>
      <c r="G123" s="58">
        <v>0.8</v>
      </c>
    </row>
    <row r="124" spans="1:7">
      <c r="A124" s="57" t="s">
        <v>463</v>
      </c>
      <c r="B124" s="57" t="s">
        <v>446</v>
      </c>
      <c r="C124" s="57" t="s">
        <v>442</v>
      </c>
      <c r="D124" s="57" t="s">
        <v>441</v>
      </c>
      <c r="E124" s="57">
        <v>24</v>
      </c>
      <c r="F124" s="57">
        <v>55</v>
      </c>
      <c r="G124" s="58">
        <v>0.436</v>
      </c>
    </row>
    <row r="125" spans="1:7">
      <c r="A125" s="57" t="s">
        <v>463</v>
      </c>
      <c r="B125" s="57" t="s">
        <v>447</v>
      </c>
      <c r="C125" s="57" t="s">
        <v>440</v>
      </c>
      <c r="D125" s="57" t="s">
        <v>441</v>
      </c>
      <c r="E125" s="57">
        <v>16</v>
      </c>
      <c r="F125" s="57">
        <v>40</v>
      </c>
      <c r="G125" s="58">
        <v>0.4</v>
      </c>
    </row>
    <row r="126" spans="1:7">
      <c r="A126" s="57" t="s">
        <v>463</v>
      </c>
      <c r="B126" s="57" t="s">
        <v>447</v>
      </c>
      <c r="C126" s="57" t="s">
        <v>442</v>
      </c>
      <c r="D126" s="57" t="s">
        <v>441</v>
      </c>
      <c r="E126" s="57">
        <v>31</v>
      </c>
      <c r="F126" s="57">
        <v>40</v>
      </c>
      <c r="G126" s="58">
        <v>0.77500000000000002</v>
      </c>
    </row>
    <row r="127" spans="1:7">
      <c r="A127" s="57" t="s">
        <v>463</v>
      </c>
      <c r="B127" s="57" t="s">
        <v>447</v>
      </c>
      <c r="C127" s="57" t="s">
        <v>313</v>
      </c>
      <c r="D127" s="57" t="s">
        <v>441</v>
      </c>
      <c r="E127" s="57">
        <v>25</v>
      </c>
      <c r="F127" s="57">
        <v>40</v>
      </c>
      <c r="G127" s="58">
        <v>0.625</v>
      </c>
    </row>
    <row r="128" spans="1:7">
      <c r="G128" s="58"/>
    </row>
    <row r="129" spans="1:7">
      <c r="A129" s="57" t="s">
        <v>464</v>
      </c>
      <c r="B129" s="57" t="s">
        <v>439</v>
      </c>
      <c r="C129" s="57" t="s">
        <v>440</v>
      </c>
      <c r="D129" s="57" t="s">
        <v>441</v>
      </c>
      <c r="E129" s="57">
        <v>78</v>
      </c>
      <c r="F129" s="57">
        <v>102</v>
      </c>
      <c r="G129" s="58">
        <v>0.76500000000000001</v>
      </c>
    </row>
    <row r="130" spans="1:7">
      <c r="A130" s="57" t="s">
        <v>464</v>
      </c>
      <c r="B130" s="57" t="s">
        <v>439</v>
      </c>
      <c r="C130" s="57" t="s">
        <v>442</v>
      </c>
      <c r="D130" s="57" t="s">
        <v>441</v>
      </c>
      <c r="E130" s="57">
        <v>72</v>
      </c>
      <c r="F130" s="57">
        <v>102</v>
      </c>
      <c r="G130" s="58">
        <v>0.70599999999999996</v>
      </c>
    </row>
    <row r="131" spans="1:7">
      <c r="A131" s="57" t="s">
        <v>464</v>
      </c>
      <c r="B131" s="57" t="s">
        <v>443</v>
      </c>
      <c r="C131" s="57" t="s">
        <v>440</v>
      </c>
      <c r="D131" s="57" t="s">
        <v>441</v>
      </c>
      <c r="E131" s="57">
        <v>64</v>
      </c>
      <c r="F131" s="57">
        <v>78</v>
      </c>
      <c r="G131" s="58">
        <v>0.82099999999999995</v>
      </c>
    </row>
    <row r="132" spans="1:7">
      <c r="A132" s="57" t="s">
        <v>464</v>
      </c>
      <c r="B132" s="57" t="s">
        <v>443</v>
      </c>
      <c r="C132" s="57" t="s">
        <v>442</v>
      </c>
      <c r="D132" s="57" t="s">
        <v>441</v>
      </c>
      <c r="E132" s="57">
        <v>65</v>
      </c>
      <c r="F132" s="57">
        <v>78</v>
      </c>
      <c r="G132" s="58">
        <v>0.83299999999999996</v>
      </c>
    </row>
    <row r="133" spans="1:7">
      <c r="A133" s="57" t="s">
        <v>464</v>
      </c>
      <c r="B133" s="57" t="s">
        <v>444</v>
      </c>
      <c r="C133" s="57" t="s">
        <v>440</v>
      </c>
      <c r="D133" s="57" t="s">
        <v>441</v>
      </c>
      <c r="E133" s="57">
        <v>59</v>
      </c>
      <c r="F133" s="57">
        <v>77</v>
      </c>
      <c r="G133" s="58">
        <v>0.76600000000000001</v>
      </c>
    </row>
    <row r="134" spans="1:7">
      <c r="A134" s="57" t="s">
        <v>464</v>
      </c>
      <c r="B134" s="57" t="s">
        <v>444</v>
      </c>
      <c r="C134" s="57" t="s">
        <v>442</v>
      </c>
      <c r="D134" s="57" t="s">
        <v>441</v>
      </c>
      <c r="E134" s="57">
        <v>47</v>
      </c>
      <c r="F134" s="57">
        <v>77</v>
      </c>
      <c r="G134" s="58">
        <v>0.61</v>
      </c>
    </row>
    <row r="135" spans="1:7">
      <c r="A135" s="57" t="s">
        <v>464</v>
      </c>
      <c r="B135" s="57" t="s">
        <v>444</v>
      </c>
      <c r="C135" s="57" t="s">
        <v>313</v>
      </c>
      <c r="D135" s="57" t="s">
        <v>441</v>
      </c>
      <c r="E135" s="57">
        <v>57</v>
      </c>
      <c r="F135" s="57">
        <v>77</v>
      </c>
      <c r="G135" s="58">
        <v>0.74</v>
      </c>
    </row>
    <row r="136" spans="1:7">
      <c r="A136" s="57" t="s">
        <v>464</v>
      </c>
      <c r="B136" s="57" t="s">
        <v>445</v>
      </c>
      <c r="C136" s="57" t="s">
        <v>440</v>
      </c>
      <c r="D136" s="57" t="s">
        <v>441</v>
      </c>
      <c r="E136" s="57">
        <v>46</v>
      </c>
      <c r="F136" s="57">
        <v>72</v>
      </c>
      <c r="G136" s="58">
        <v>0.63900000000000001</v>
      </c>
    </row>
    <row r="137" spans="1:7">
      <c r="A137" s="57" t="s">
        <v>464</v>
      </c>
      <c r="B137" s="57" t="s">
        <v>445</v>
      </c>
      <c r="C137" s="57" t="s">
        <v>442</v>
      </c>
      <c r="D137" s="57" t="s">
        <v>441</v>
      </c>
      <c r="E137" s="57">
        <v>58</v>
      </c>
      <c r="F137" s="57">
        <v>72</v>
      </c>
      <c r="G137" s="58">
        <v>0.80600000000000005</v>
      </c>
    </row>
    <row r="138" spans="1:7">
      <c r="A138" s="57" t="s">
        <v>464</v>
      </c>
      <c r="B138" s="57" t="s">
        <v>446</v>
      </c>
      <c r="C138" s="57" t="s">
        <v>440</v>
      </c>
      <c r="D138" s="57" t="s">
        <v>441</v>
      </c>
      <c r="E138" s="57">
        <v>37</v>
      </c>
      <c r="F138" s="57">
        <v>49</v>
      </c>
      <c r="G138" s="58">
        <v>0.755</v>
      </c>
    </row>
    <row r="139" spans="1:7">
      <c r="A139" s="57" t="s">
        <v>464</v>
      </c>
      <c r="B139" s="57" t="s">
        <v>446</v>
      </c>
      <c r="C139" s="57" t="s">
        <v>442</v>
      </c>
      <c r="D139" s="57" t="s">
        <v>441</v>
      </c>
      <c r="E139" s="57">
        <v>33</v>
      </c>
      <c r="F139" s="57">
        <v>49</v>
      </c>
      <c r="G139" s="58">
        <v>0.67300000000000004</v>
      </c>
    </row>
    <row r="140" spans="1:7">
      <c r="A140" s="57" t="s">
        <v>464</v>
      </c>
      <c r="B140" s="57" t="s">
        <v>447</v>
      </c>
      <c r="C140" s="57" t="s">
        <v>440</v>
      </c>
      <c r="D140" s="57" t="s">
        <v>441</v>
      </c>
      <c r="E140" s="57">
        <v>16</v>
      </c>
      <c r="F140" s="57">
        <v>35</v>
      </c>
      <c r="G140" s="58">
        <v>0.45700000000000002</v>
      </c>
    </row>
    <row r="141" spans="1:7">
      <c r="A141" s="57" t="s">
        <v>464</v>
      </c>
      <c r="B141" s="57" t="s">
        <v>447</v>
      </c>
      <c r="C141" s="57" t="s">
        <v>442</v>
      </c>
      <c r="D141" s="57" t="s">
        <v>441</v>
      </c>
      <c r="E141" s="57">
        <v>25</v>
      </c>
      <c r="F141" s="57">
        <v>35</v>
      </c>
      <c r="G141" s="58">
        <v>0.71399999999999997</v>
      </c>
    </row>
    <row r="142" spans="1:7">
      <c r="A142" s="57" t="s">
        <v>464</v>
      </c>
      <c r="B142" s="57" t="s">
        <v>447</v>
      </c>
      <c r="C142" s="57" t="s">
        <v>313</v>
      </c>
      <c r="D142" s="57" t="s">
        <v>441</v>
      </c>
      <c r="E142" s="57">
        <v>21</v>
      </c>
      <c r="F142" s="57">
        <v>35</v>
      </c>
      <c r="G142" s="58">
        <v>0.6</v>
      </c>
    </row>
    <row r="143" spans="1:7">
      <c r="G143" s="58"/>
    </row>
    <row r="144" spans="1:7">
      <c r="A144" s="57" t="s">
        <v>465</v>
      </c>
      <c r="B144" s="57" t="s">
        <v>439</v>
      </c>
      <c r="C144" s="57" t="s">
        <v>440</v>
      </c>
      <c r="D144" s="57" t="s">
        <v>441</v>
      </c>
      <c r="E144" s="57">
        <v>16</v>
      </c>
      <c r="F144" s="57">
        <v>47</v>
      </c>
      <c r="G144" s="58">
        <v>0.34</v>
      </c>
    </row>
    <row r="145" spans="1:7">
      <c r="A145" s="57" t="s">
        <v>465</v>
      </c>
      <c r="B145" s="57" t="s">
        <v>439</v>
      </c>
      <c r="C145" s="57" t="s">
        <v>442</v>
      </c>
      <c r="D145" s="57" t="s">
        <v>441</v>
      </c>
      <c r="E145" s="57">
        <v>18</v>
      </c>
      <c r="F145" s="57">
        <v>47</v>
      </c>
      <c r="G145" s="58">
        <v>0.38300000000000001</v>
      </c>
    </row>
    <row r="146" spans="1:7">
      <c r="A146" s="57" t="s">
        <v>465</v>
      </c>
      <c r="B146" s="57" t="s">
        <v>443</v>
      </c>
      <c r="C146" s="57" t="s">
        <v>440</v>
      </c>
      <c r="D146" s="57" t="s">
        <v>441</v>
      </c>
      <c r="E146" s="57" t="s">
        <v>347</v>
      </c>
      <c r="F146" s="57">
        <v>28</v>
      </c>
      <c r="G146" s="57" t="s">
        <v>347</v>
      </c>
    </row>
    <row r="147" spans="1:7">
      <c r="A147" s="57" t="s">
        <v>465</v>
      </c>
      <c r="B147" s="57" t="s">
        <v>443</v>
      </c>
      <c r="C147" s="57" t="s">
        <v>442</v>
      </c>
      <c r="D147" s="57" t="s">
        <v>441</v>
      </c>
      <c r="E147" s="57" t="s">
        <v>347</v>
      </c>
      <c r="F147" s="57">
        <v>27</v>
      </c>
      <c r="G147" s="57" t="s">
        <v>347</v>
      </c>
    </row>
    <row r="148" spans="1:7">
      <c r="A148" s="57" t="s">
        <v>465</v>
      </c>
      <c r="B148" s="57" t="s">
        <v>444</v>
      </c>
      <c r="C148" s="57" t="s">
        <v>440</v>
      </c>
      <c r="D148" s="57" t="s">
        <v>441</v>
      </c>
      <c r="E148" s="57" t="s">
        <v>347</v>
      </c>
      <c r="F148" s="57">
        <v>27</v>
      </c>
      <c r="G148" s="57" t="s">
        <v>347</v>
      </c>
    </row>
    <row r="149" spans="1:7">
      <c r="A149" s="57" t="s">
        <v>465</v>
      </c>
      <c r="B149" s="57" t="s">
        <v>444</v>
      </c>
      <c r="C149" s="57" t="s">
        <v>442</v>
      </c>
      <c r="D149" s="57" t="s">
        <v>441</v>
      </c>
      <c r="E149" s="57" t="s">
        <v>347</v>
      </c>
      <c r="F149" s="57">
        <v>27</v>
      </c>
      <c r="G149" s="57" t="s">
        <v>347</v>
      </c>
    </row>
    <row r="150" spans="1:7">
      <c r="A150" s="57" t="s">
        <v>465</v>
      </c>
      <c r="B150" s="57" t="s">
        <v>444</v>
      </c>
      <c r="C150" s="57" t="s">
        <v>313</v>
      </c>
      <c r="D150" s="57" t="s">
        <v>441</v>
      </c>
      <c r="E150" s="57" t="s">
        <v>347</v>
      </c>
      <c r="F150" s="57">
        <v>27</v>
      </c>
      <c r="G150" s="57" t="s">
        <v>347</v>
      </c>
    </row>
    <row r="151" spans="1:7">
      <c r="A151" s="57" t="s">
        <v>465</v>
      </c>
      <c r="B151" s="57" t="s">
        <v>445</v>
      </c>
      <c r="C151" s="57" t="s">
        <v>440</v>
      </c>
      <c r="D151" s="57" t="s">
        <v>441</v>
      </c>
      <c r="E151" s="57" t="s">
        <v>347</v>
      </c>
      <c r="F151" s="57">
        <v>28</v>
      </c>
      <c r="G151" s="57" t="s">
        <v>347</v>
      </c>
    </row>
    <row r="152" spans="1:7">
      <c r="A152" s="57" t="s">
        <v>465</v>
      </c>
      <c r="B152" s="57" t="s">
        <v>445</v>
      </c>
      <c r="C152" s="57" t="s">
        <v>442</v>
      </c>
      <c r="D152" s="57" t="s">
        <v>441</v>
      </c>
      <c r="E152" s="57" t="s">
        <v>347</v>
      </c>
      <c r="F152" s="57">
        <v>28</v>
      </c>
      <c r="G152" s="57" t="s">
        <v>347</v>
      </c>
    </row>
    <row r="153" spans="1:7">
      <c r="A153" s="57" t="s">
        <v>465</v>
      </c>
      <c r="B153" s="57" t="s">
        <v>446</v>
      </c>
      <c r="C153" s="57" t="s">
        <v>440</v>
      </c>
      <c r="D153" s="57" t="s">
        <v>441</v>
      </c>
      <c r="E153" s="57">
        <v>10</v>
      </c>
      <c r="F153" s="57">
        <v>25</v>
      </c>
      <c r="G153" s="58">
        <v>0.4</v>
      </c>
    </row>
    <row r="154" spans="1:7">
      <c r="A154" s="57" t="s">
        <v>465</v>
      </c>
      <c r="B154" s="57" t="s">
        <v>446</v>
      </c>
      <c r="C154" s="57" t="s">
        <v>442</v>
      </c>
      <c r="D154" s="57" t="s">
        <v>441</v>
      </c>
      <c r="E154" s="57" t="s">
        <v>347</v>
      </c>
      <c r="F154" s="57">
        <v>25</v>
      </c>
      <c r="G154" s="57" t="s">
        <v>347</v>
      </c>
    </row>
    <row r="155" spans="1:7">
      <c r="A155" s="57" t="s">
        <v>465</v>
      </c>
      <c r="B155" s="57" t="s">
        <v>447</v>
      </c>
      <c r="C155" s="57" t="s">
        <v>440</v>
      </c>
      <c r="D155" s="57" t="s">
        <v>441</v>
      </c>
      <c r="E155" s="57">
        <v>10</v>
      </c>
      <c r="F155" s="57">
        <v>26</v>
      </c>
      <c r="G155" s="58">
        <v>0.38500000000000001</v>
      </c>
    </row>
    <row r="156" spans="1:7">
      <c r="A156" s="57" t="s">
        <v>465</v>
      </c>
      <c r="B156" s="57" t="s">
        <v>447</v>
      </c>
      <c r="C156" s="57" t="s">
        <v>442</v>
      </c>
      <c r="D156" s="57" t="s">
        <v>441</v>
      </c>
      <c r="E156" s="57" t="s">
        <v>347</v>
      </c>
      <c r="F156" s="57">
        <v>25</v>
      </c>
      <c r="G156" s="57" t="s">
        <v>347</v>
      </c>
    </row>
    <row r="157" spans="1:7">
      <c r="A157" s="57" t="s">
        <v>465</v>
      </c>
      <c r="B157" s="57" t="s">
        <v>447</v>
      </c>
      <c r="C157" s="57" t="s">
        <v>313</v>
      </c>
      <c r="D157" s="57" t="s">
        <v>441</v>
      </c>
      <c r="E157" s="57" t="s">
        <v>347</v>
      </c>
      <c r="F157" s="57">
        <v>25</v>
      </c>
      <c r="G157" s="57" t="s">
        <v>347</v>
      </c>
    </row>
    <row r="159" spans="1:7">
      <c r="A159" s="57" t="s">
        <v>466</v>
      </c>
      <c r="B159" s="57" t="s">
        <v>439</v>
      </c>
      <c r="C159" s="57" t="s">
        <v>440</v>
      </c>
      <c r="D159" s="57" t="s">
        <v>441</v>
      </c>
      <c r="E159" s="57" t="s">
        <v>347</v>
      </c>
      <c r="F159" s="57">
        <v>22</v>
      </c>
      <c r="G159" s="57" t="s">
        <v>347</v>
      </c>
    </row>
    <row r="160" spans="1:7">
      <c r="A160" s="57" t="s">
        <v>466</v>
      </c>
      <c r="B160" s="57" t="s">
        <v>439</v>
      </c>
      <c r="C160" s="57" t="s">
        <v>442</v>
      </c>
      <c r="D160" s="57" t="s">
        <v>441</v>
      </c>
      <c r="E160" s="57" t="s">
        <v>347</v>
      </c>
      <c r="F160" s="57">
        <v>22</v>
      </c>
      <c r="G160" s="57" t="s">
        <v>347</v>
      </c>
    </row>
    <row r="161" spans="1:7">
      <c r="A161" s="57" t="s">
        <v>466</v>
      </c>
      <c r="B161" s="57" t="s">
        <v>443</v>
      </c>
      <c r="C161" s="57" t="s">
        <v>440</v>
      </c>
      <c r="D161" s="57" t="s">
        <v>441</v>
      </c>
      <c r="E161" s="57" t="s">
        <v>347</v>
      </c>
      <c r="F161" s="57">
        <v>17</v>
      </c>
      <c r="G161" s="57" t="s">
        <v>347</v>
      </c>
    </row>
    <row r="162" spans="1:7">
      <c r="A162" s="57" t="s">
        <v>466</v>
      </c>
      <c r="B162" s="57" t="s">
        <v>443</v>
      </c>
      <c r="C162" s="57" t="s">
        <v>442</v>
      </c>
      <c r="D162" s="57" t="s">
        <v>441</v>
      </c>
      <c r="E162" s="57" t="s">
        <v>347</v>
      </c>
      <c r="F162" s="57">
        <v>17</v>
      </c>
      <c r="G162" s="57" t="s">
        <v>347</v>
      </c>
    </row>
    <row r="163" spans="1:7">
      <c r="A163" s="57" t="s">
        <v>466</v>
      </c>
      <c r="B163" s="57" t="s">
        <v>444</v>
      </c>
      <c r="C163" s="57" t="s">
        <v>440</v>
      </c>
      <c r="D163" s="57" t="s">
        <v>441</v>
      </c>
      <c r="E163" s="57" t="s">
        <v>347</v>
      </c>
      <c r="F163" s="57">
        <v>10</v>
      </c>
      <c r="G163" s="57" t="s">
        <v>347</v>
      </c>
    </row>
    <row r="164" spans="1:7">
      <c r="A164" s="57" t="s">
        <v>466</v>
      </c>
      <c r="B164" s="57" t="s">
        <v>444</v>
      </c>
      <c r="C164" s="57" t="s">
        <v>442</v>
      </c>
      <c r="D164" s="57" t="s">
        <v>441</v>
      </c>
      <c r="E164" s="57" t="s">
        <v>347</v>
      </c>
      <c r="F164" s="57">
        <v>10</v>
      </c>
      <c r="G164" s="57" t="s">
        <v>347</v>
      </c>
    </row>
    <row r="165" spans="1:7">
      <c r="A165" s="57" t="s">
        <v>466</v>
      </c>
      <c r="B165" s="57" t="s">
        <v>444</v>
      </c>
      <c r="C165" s="57" t="s">
        <v>313</v>
      </c>
      <c r="D165" s="57" t="s">
        <v>441</v>
      </c>
      <c r="E165" s="57" t="s">
        <v>347</v>
      </c>
      <c r="F165" s="57">
        <v>10</v>
      </c>
      <c r="G165" s="57" t="s">
        <v>347</v>
      </c>
    </row>
    <row r="166" spans="1:7">
      <c r="A166" s="57" t="s">
        <v>466</v>
      </c>
      <c r="B166" s="57" t="s">
        <v>445</v>
      </c>
      <c r="C166" s="57" t="s">
        <v>440</v>
      </c>
      <c r="D166" s="57" t="s">
        <v>441</v>
      </c>
      <c r="F166" s="57" t="s">
        <v>347</v>
      </c>
    </row>
    <row r="167" spans="1:7">
      <c r="A167" s="57" t="s">
        <v>466</v>
      </c>
      <c r="B167" s="57" t="s">
        <v>445</v>
      </c>
      <c r="C167" s="57" t="s">
        <v>442</v>
      </c>
      <c r="D167" s="57" t="s">
        <v>441</v>
      </c>
      <c r="F167" s="57" t="s">
        <v>347</v>
      </c>
    </row>
    <row r="168" spans="1:7">
      <c r="A168" s="57" t="s">
        <v>466</v>
      </c>
      <c r="B168" s="57" t="s">
        <v>446</v>
      </c>
      <c r="C168" s="57" t="s">
        <v>440</v>
      </c>
      <c r="D168" s="57" t="s">
        <v>441</v>
      </c>
      <c r="E168" s="57" t="s">
        <v>347</v>
      </c>
      <c r="F168" s="57" t="s">
        <v>347</v>
      </c>
      <c r="G168" s="57" t="s">
        <v>347</v>
      </c>
    </row>
    <row r="169" spans="1:7">
      <c r="A169" s="57" t="s">
        <v>466</v>
      </c>
      <c r="B169" s="57" t="s">
        <v>446</v>
      </c>
      <c r="C169" s="57" t="s">
        <v>442</v>
      </c>
      <c r="D169" s="57" t="s">
        <v>441</v>
      </c>
      <c r="E169" s="57" t="s">
        <v>347</v>
      </c>
      <c r="F169" s="57" t="s">
        <v>347</v>
      </c>
      <c r="G169" s="57" t="s">
        <v>347</v>
      </c>
    </row>
    <row r="170" spans="1:7">
      <c r="A170" s="57" t="s">
        <v>466</v>
      </c>
      <c r="B170" s="57" t="s">
        <v>447</v>
      </c>
      <c r="C170" s="57" t="s">
        <v>440</v>
      </c>
      <c r="D170" s="57" t="s">
        <v>441</v>
      </c>
      <c r="E170" s="57" t="s">
        <v>347</v>
      </c>
      <c r="F170" s="57" t="s">
        <v>347</v>
      </c>
      <c r="G170" s="57" t="s">
        <v>347</v>
      </c>
    </row>
    <row r="171" spans="1:7">
      <c r="A171" s="57" t="s">
        <v>466</v>
      </c>
      <c r="B171" s="57" t="s">
        <v>447</v>
      </c>
      <c r="C171" s="57" t="s">
        <v>442</v>
      </c>
      <c r="D171" s="57" t="s">
        <v>441</v>
      </c>
      <c r="E171" s="57" t="s">
        <v>347</v>
      </c>
      <c r="F171" s="57" t="s">
        <v>347</v>
      </c>
      <c r="G171" s="57" t="s">
        <v>347</v>
      </c>
    </row>
    <row r="172" spans="1:7">
      <c r="A172" s="57" t="s">
        <v>466</v>
      </c>
      <c r="B172" s="57" t="s">
        <v>447</v>
      </c>
      <c r="C172" s="57" t="s">
        <v>313</v>
      </c>
      <c r="D172" s="57" t="s">
        <v>441</v>
      </c>
      <c r="E172" s="57" t="s">
        <v>347</v>
      </c>
      <c r="F172" s="57" t="s">
        <v>347</v>
      </c>
      <c r="G172" s="57" t="s">
        <v>347</v>
      </c>
    </row>
    <row r="174" spans="1:7">
      <c r="A174" s="57" t="s">
        <v>467</v>
      </c>
      <c r="B174" s="57" t="s">
        <v>439</v>
      </c>
      <c r="C174" s="57" t="s">
        <v>440</v>
      </c>
      <c r="D174" s="57" t="s">
        <v>441</v>
      </c>
      <c r="E174" s="57" t="s">
        <v>347</v>
      </c>
      <c r="F174" s="57">
        <v>28</v>
      </c>
      <c r="G174" s="57" t="s">
        <v>347</v>
      </c>
    </row>
    <row r="175" spans="1:7">
      <c r="A175" s="57" t="s">
        <v>467</v>
      </c>
      <c r="B175" s="57" t="s">
        <v>439</v>
      </c>
      <c r="C175" s="57" t="s">
        <v>442</v>
      </c>
      <c r="D175" s="57" t="s">
        <v>441</v>
      </c>
      <c r="E175" s="57" t="s">
        <v>347</v>
      </c>
      <c r="F175" s="57">
        <v>25</v>
      </c>
      <c r="G175" s="57" t="s">
        <v>347</v>
      </c>
    </row>
    <row r="176" spans="1:7">
      <c r="A176" s="57" t="s">
        <v>467</v>
      </c>
      <c r="B176" s="57" t="s">
        <v>443</v>
      </c>
      <c r="C176" s="57" t="s">
        <v>440</v>
      </c>
      <c r="D176" s="57" t="s">
        <v>441</v>
      </c>
      <c r="E176" s="57">
        <v>12</v>
      </c>
      <c r="F176" s="57">
        <v>28</v>
      </c>
      <c r="G176" s="58">
        <v>0.42899999999999999</v>
      </c>
    </row>
    <row r="177" spans="1:7">
      <c r="A177" s="57" t="s">
        <v>467</v>
      </c>
      <c r="B177" s="57" t="s">
        <v>443</v>
      </c>
      <c r="C177" s="57" t="s">
        <v>442</v>
      </c>
      <c r="D177" s="57" t="s">
        <v>441</v>
      </c>
      <c r="E177" s="57">
        <v>13</v>
      </c>
      <c r="F177" s="57">
        <v>29</v>
      </c>
      <c r="G177" s="58">
        <v>0.44800000000000001</v>
      </c>
    </row>
    <row r="178" spans="1:7">
      <c r="A178" s="57" t="s">
        <v>467</v>
      </c>
      <c r="B178" s="57" t="s">
        <v>444</v>
      </c>
      <c r="C178" s="57" t="s">
        <v>440</v>
      </c>
      <c r="D178" s="57" t="s">
        <v>441</v>
      </c>
      <c r="E178" s="57" t="s">
        <v>347</v>
      </c>
      <c r="F178" s="57">
        <v>19</v>
      </c>
      <c r="G178" s="57" t="s">
        <v>347</v>
      </c>
    </row>
    <row r="179" spans="1:7">
      <c r="A179" s="57" t="s">
        <v>467</v>
      </c>
      <c r="B179" s="57" t="s">
        <v>444</v>
      </c>
      <c r="C179" s="57" t="s">
        <v>442</v>
      </c>
      <c r="D179" s="57" t="s">
        <v>441</v>
      </c>
      <c r="E179" s="57" t="s">
        <v>347</v>
      </c>
      <c r="F179" s="57">
        <v>20</v>
      </c>
      <c r="G179" s="57" t="s">
        <v>347</v>
      </c>
    </row>
    <row r="180" spans="1:7">
      <c r="A180" s="57" t="s">
        <v>467</v>
      </c>
      <c r="B180" s="57" t="s">
        <v>444</v>
      </c>
      <c r="C180" s="57" t="s">
        <v>313</v>
      </c>
      <c r="D180" s="57" t="s">
        <v>441</v>
      </c>
      <c r="E180" s="57" t="s">
        <v>347</v>
      </c>
      <c r="F180" s="57">
        <v>21</v>
      </c>
      <c r="G180" s="57" t="s">
        <v>347</v>
      </c>
    </row>
    <row r="181" spans="1:7">
      <c r="A181" s="57" t="s">
        <v>467</v>
      </c>
      <c r="B181" s="57" t="s">
        <v>445</v>
      </c>
      <c r="C181" s="57" t="s">
        <v>440</v>
      </c>
      <c r="D181" s="57" t="s">
        <v>441</v>
      </c>
      <c r="E181" s="57" t="s">
        <v>347</v>
      </c>
      <c r="F181" s="57">
        <v>28</v>
      </c>
      <c r="G181" s="57" t="s">
        <v>347</v>
      </c>
    </row>
    <row r="182" spans="1:7">
      <c r="A182" s="57" t="s">
        <v>467</v>
      </c>
      <c r="B182" s="57" t="s">
        <v>445</v>
      </c>
      <c r="C182" s="57" t="s">
        <v>442</v>
      </c>
      <c r="D182" s="57" t="s">
        <v>441</v>
      </c>
      <c r="E182" s="57" t="s">
        <v>347</v>
      </c>
      <c r="F182" s="57">
        <v>28</v>
      </c>
      <c r="G182" s="57" t="s">
        <v>347</v>
      </c>
    </row>
    <row r="183" spans="1:7">
      <c r="A183" s="57" t="s">
        <v>467</v>
      </c>
      <c r="B183" s="57" t="s">
        <v>446</v>
      </c>
      <c r="C183" s="57" t="s">
        <v>440</v>
      </c>
      <c r="D183" s="57" t="s">
        <v>441</v>
      </c>
      <c r="E183" s="57" t="s">
        <v>347</v>
      </c>
      <c r="F183" s="57">
        <v>26</v>
      </c>
      <c r="G183" s="57" t="s">
        <v>347</v>
      </c>
    </row>
    <row r="184" spans="1:7">
      <c r="A184" s="57" t="s">
        <v>467</v>
      </c>
      <c r="B184" s="57" t="s">
        <v>446</v>
      </c>
      <c r="C184" s="57" t="s">
        <v>442</v>
      </c>
      <c r="D184" s="57" t="s">
        <v>441</v>
      </c>
      <c r="E184" s="57" t="s">
        <v>347</v>
      </c>
      <c r="F184" s="57">
        <v>26</v>
      </c>
      <c r="G184" s="57" t="s">
        <v>347</v>
      </c>
    </row>
    <row r="185" spans="1:7">
      <c r="A185" s="57" t="s">
        <v>467</v>
      </c>
      <c r="B185" s="57" t="s">
        <v>447</v>
      </c>
      <c r="C185" s="57" t="s">
        <v>440</v>
      </c>
      <c r="D185" s="57" t="s">
        <v>441</v>
      </c>
      <c r="E185" s="57" t="s">
        <v>347</v>
      </c>
      <c r="F185" s="57">
        <v>16</v>
      </c>
      <c r="G185" s="57" t="s">
        <v>347</v>
      </c>
    </row>
    <row r="186" spans="1:7">
      <c r="A186" s="57" t="s">
        <v>467</v>
      </c>
      <c r="B186" s="57" t="s">
        <v>447</v>
      </c>
      <c r="C186" s="57" t="s">
        <v>442</v>
      </c>
      <c r="D186" s="57" t="s">
        <v>441</v>
      </c>
      <c r="E186" s="57" t="s">
        <v>347</v>
      </c>
      <c r="F186" s="57">
        <v>16</v>
      </c>
      <c r="G186" s="57" t="s">
        <v>347</v>
      </c>
    </row>
    <row r="187" spans="1:7">
      <c r="A187" s="57" t="s">
        <v>467</v>
      </c>
      <c r="B187" s="57" t="s">
        <v>447</v>
      </c>
      <c r="C187" s="57" t="s">
        <v>313</v>
      </c>
      <c r="D187" s="57" t="s">
        <v>441</v>
      </c>
      <c r="E187" s="57" t="s">
        <v>347</v>
      </c>
      <c r="F187" s="57">
        <v>16</v>
      </c>
      <c r="G187" s="57" t="s">
        <v>347</v>
      </c>
    </row>
    <row r="189" spans="1:7">
      <c r="A189" s="57" t="s">
        <v>468</v>
      </c>
      <c r="B189" s="57" t="s">
        <v>439</v>
      </c>
      <c r="C189" s="57" t="s">
        <v>440</v>
      </c>
      <c r="D189" s="57" t="s">
        <v>441</v>
      </c>
      <c r="E189" s="57" t="s">
        <v>347</v>
      </c>
      <c r="F189" s="57">
        <v>24</v>
      </c>
      <c r="G189" s="57" t="s">
        <v>347</v>
      </c>
    </row>
    <row r="190" spans="1:7">
      <c r="A190" s="57" t="s">
        <v>468</v>
      </c>
      <c r="B190" s="57" t="s">
        <v>439</v>
      </c>
      <c r="C190" s="57" t="s">
        <v>442</v>
      </c>
      <c r="D190" s="57" t="s">
        <v>441</v>
      </c>
      <c r="E190" s="57" t="s">
        <v>347</v>
      </c>
      <c r="F190" s="57">
        <v>23</v>
      </c>
      <c r="G190" s="57" t="s">
        <v>347</v>
      </c>
    </row>
    <row r="191" spans="1:7">
      <c r="A191" s="57" t="s">
        <v>468</v>
      </c>
      <c r="B191" s="57" t="s">
        <v>443</v>
      </c>
      <c r="C191" s="57" t="s">
        <v>440</v>
      </c>
      <c r="D191" s="57" t="s">
        <v>441</v>
      </c>
      <c r="E191" s="57" t="s">
        <v>347</v>
      </c>
      <c r="F191" s="57">
        <v>14</v>
      </c>
      <c r="G191" s="57" t="s">
        <v>347</v>
      </c>
    </row>
    <row r="192" spans="1:7">
      <c r="A192" s="57" t="s">
        <v>468</v>
      </c>
      <c r="B192" s="57" t="s">
        <v>443</v>
      </c>
      <c r="C192" s="57" t="s">
        <v>442</v>
      </c>
      <c r="D192" s="57" t="s">
        <v>441</v>
      </c>
      <c r="E192" s="57" t="s">
        <v>347</v>
      </c>
      <c r="F192" s="57">
        <v>15</v>
      </c>
      <c r="G192" s="57" t="s">
        <v>347</v>
      </c>
    </row>
    <row r="193" spans="1:7">
      <c r="A193" s="57" t="s">
        <v>468</v>
      </c>
      <c r="B193" s="57" t="s">
        <v>444</v>
      </c>
      <c r="C193" s="57" t="s">
        <v>440</v>
      </c>
      <c r="D193" s="57" t="s">
        <v>441</v>
      </c>
      <c r="E193" s="57" t="s">
        <v>347</v>
      </c>
      <c r="F193" s="57">
        <v>27</v>
      </c>
      <c r="G193" s="57" t="s">
        <v>347</v>
      </c>
    </row>
    <row r="194" spans="1:7">
      <c r="A194" s="57" t="s">
        <v>468</v>
      </c>
      <c r="B194" s="57" t="s">
        <v>444</v>
      </c>
      <c r="C194" s="57" t="s">
        <v>442</v>
      </c>
      <c r="D194" s="57" t="s">
        <v>441</v>
      </c>
      <c r="E194" s="57" t="s">
        <v>347</v>
      </c>
      <c r="F194" s="57">
        <v>27</v>
      </c>
      <c r="G194" s="57" t="s">
        <v>347</v>
      </c>
    </row>
    <row r="195" spans="1:7">
      <c r="A195" s="57" t="s">
        <v>468</v>
      </c>
      <c r="B195" s="57" t="s">
        <v>444</v>
      </c>
      <c r="C195" s="57" t="s">
        <v>313</v>
      </c>
      <c r="D195" s="57" t="s">
        <v>441</v>
      </c>
      <c r="E195" s="57" t="s">
        <v>347</v>
      </c>
      <c r="F195" s="57">
        <v>27</v>
      </c>
      <c r="G195" s="57" t="s">
        <v>347</v>
      </c>
    </row>
    <row r="196" spans="1:7">
      <c r="A196" s="57" t="s">
        <v>468</v>
      </c>
      <c r="B196" s="57" t="s">
        <v>445</v>
      </c>
      <c r="C196" s="57" t="s">
        <v>440</v>
      </c>
      <c r="D196" s="57" t="s">
        <v>441</v>
      </c>
      <c r="E196" s="57" t="s">
        <v>347</v>
      </c>
      <c r="F196" s="57">
        <v>26</v>
      </c>
      <c r="G196" s="57" t="s">
        <v>347</v>
      </c>
    </row>
    <row r="197" spans="1:7">
      <c r="A197" s="57" t="s">
        <v>468</v>
      </c>
      <c r="B197" s="57" t="s">
        <v>445</v>
      </c>
      <c r="C197" s="57" t="s">
        <v>442</v>
      </c>
      <c r="D197" s="57" t="s">
        <v>441</v>
      </c>
      <c r="E197" s="57" t="s">
        <v>347</v>
      </c>
      <c r="F197" s="57">
        <v>26</v>
      </c>
      <c r="G197" s="57" t="s">
        <v>347</v>
      </c>
    </row>
    <row r="198" spans="1:7">
      <c r="A198" s="57" t="s">
        <v>468</v>
      </c>
      <c r="B198" s="57" t="s">
        <v>446</v>
      </c>
      <c r="C198" s="57" t="s">
        <v>440</v>
      </c>
      <c r="D198" s="57" t="s">
        <v>441</v>
      </c>
      <c r="E198" s="57">
        <v>12</v>
      </c>
      <c r="F198" s="57">
        <v>24</v>
      </c>
      <c r="G198" s="58">
        <v>0.5</v>
      </c>
    </row>
    <row r="199" spans="1:7">
      <c r="A199" s="57" t="s">
        <v>468</v>
      </c>
      <c r="B199" s="57" t="s">
        <v>446</v>
      </c>
      <c r="C199" s="57" t="s">
        <v>442</v>
      </c>
      <c r="D199" s="57" t="s">
        <v>441</v>
      </c>
      <c r="E199" s="57" t="s">
        <v>347</v>
      </c>
      <c r="F199" s="57">
        <v>24</v>
      </c>
      <c r="G199" s="57" t="s">
        <v>347</v>
      </c>
    </row>
    <row r="200" spans="1:7">
      <c r="A200" s="57" t="s">
        <v>468</v>
      </c>
      <c r="B200" s="57" t="s">
        <v>447</v>
      </c>
      <c r="C200" s="57" t="s">
        <v>440</v>
      </c>
      <c r="D200" s="57" t="s">
        <v>441</v>
      </c>
      <c r="E200" s="57" t="s">
        <v>347</v>
      </c>
      <c r="F200" s="57">
        <v>21</v>
      </c>
      <c r="G200" s="57" t="s">
        <v>347</v>
      </c>
    </row>
    <row r="201" spans="1:7">
      <c r="A201" s="57" t="s">
        <v>468</v>
      </c>
      <c r="B201" s="57" t="s">
        <v>447</v>
      </c>
      <c r="C201" s="57" t="s">
        <v>442</v>
      </c>
      <c r="D201" s="57" t="s">
        <v>441</v>
      </c>
      <c r="E201" s="57" t="s">
        <v>347</v>
      </c>
      <c r="F201" s="57">
        <v>21</v>
      </c>
      <c r="G201" s="57" t="s">
        <v>347</v>
      </c>
    </row>
    <row r="202" spans="1:7">
      <c r="A202" s="57" t="s">
        <v>468</v>
      </c>
      <c r="B202" s="57" t="s">
        <v>447</v>
      </c>
      <c r="C202" s="57" t="s">
        <v>313</v>
      </c>
      <c r="D202" s="57" t="s">
        <v>441</v>
      </c>
      <c r="E202" s="57" t="s">
        <v>347</v>
      </c>
      <c r="F202" s="57">
        <v>21</v>
      </c>
      <c r="G202" s="57" t="s">
        <v>347</v>
      </c>
    </row>
    <row r="204" spans="1:7">
      <c r="A204" s="57" t="s">
        <v>469</v>
      </c>
      <c r="B204" s="57" t="s">
        <v>439</v>
      </c>
      <c r="C204" s="57" t="s">
        <v>440</v>
      </c>
      <c r="D204" s="57" t="s">
        <v>441</v>
      </c>
      <c r="E204" s="57">
        <v>28</v>
      </c>
      <c r="F204" s="57">
        <v>49</v>
      </c>
      <c r="G204" s="58">
        <v>0.57099999999999995</v>
      </c>
    </row>
    <row r="205" spans="1:7">
      <c r="A205" s="57" t="s">
        <v>469</v>
      </c>
      <c r="B205" s="57" t="s">
        <v>439</v>
      </c>
      <c r="C205" s="57" t="s">
        <v>442</v>
      </c>
      <c r="D205" s="57" t="s">
        <v>441</v>
      </c>
      <c r="E205" s="57">
        <v>28</v>
      </c>
      <c r="F205" s="57">
        <v>49</v>
      </c>
      <c r="G205" s="58">
        <v>0.57099999999999995</v>
      </c>
    </row>
    <row r="206" spans="1:7">
      <c r="A206" s="57" t="s">
        <v>469</v>
      </c>
      <c r="B206" s="57" t="s">
        <v>443</v>
      </c>
      <c r="C206" s="57" t="s">
        <v>440</v>
      </c>
      <c r="D206" s="57" t="s">
        <v>441</v>
      </c>
      <c r="E206" s="57">
        <v>15</v>
      </c>
      <c r="F206" s="57">
        <v>40</v>
      </c>
      <c r="G206" s="58">
        <v>0.375</v>
      </c>
    </row>
    <row r="207" spans="1:7">
      <c r="A207" s="57" t="s">
        <v>469</v>
      </c>
      <c r="B207" s="57" t="s">
        <v>443</v>
      </c>
      <c r="C207" s="57" t="s">
        <v>442</v>
      </c>
      <c r="D207" s="57" t="s">
        <v>441</v>
      </c>
      <c r="E207" s="57">
        <v>20</v>
      </c>
      <c r="F207" s="57">
        <v>40</v>
      </c>
      <c r="G207" s="58">
        <v>0.5</v>
      </c>
    </row>
    <row r="208" spans="1:7">
      <c r="A208" s="57" t="s">
        <v>469</v>
      </c>
      <c r="B208" s="57" t="s">
        <v>444</v>
      </c>
      <c r="C208" s="57" t="s">
        <v>440</v>
      </c>
      <c r="D208" s="57" t="s">
        <v>441</v>
      </c>
      <c r="E208" s="57">
        <v>21</v>
      </c>
      <c r="F208" s="57">
        <v>43</v>
      </c>
      <c r="G208" s="58">
        <v>0.48799999999999999</v>
      </c>
    </row>
    <row r="209" spans="1:7">
      <c r="A209" s="57" t="s">
        <v>469</v>
      </c>
      <c r="B209" s="57" t="s">
        <v>444</v>
      </c>
      <c r="C209" s="57" t="s">
        <v>442</v>
      </c>
      <c r="D209" s="57" t="s">
        <v>441</v>
      </c>
      <c r="E209" s="57">
        <v>25</v>
      </c>
      <c r="F209" s="57">
        <v>43</v>
      </c>
      <c r="G209" s="58">
        <v>0.58099999999999996</v>
      </c>
    </row>
    <row r="210" spans="1:7">
      <c r="A210" s="57" t="s">
        <v>469</v>
      </c>
      <c r="B210" s="57" t="s">
        <v>444</v>
      </c>
      <c r="C210" s="57" t="s">
        <v>313</v>
      </c>
      <c r="D210" s="57" t="s">
        <v>441</v>
      </c>
      <c r="E210" s="57">
        <v>22</v>
      </c>
      <c r="F210" s="57">
        <v>43</v>
      </c>
      <c r="G210" s="58">
        <v>0.51200000000000001</v>
      </c>
    </row>
    <row r="211" spans="1:7">
      <c r="A211" s="57" t="s">
        <v>469</v>
      </c>
      <c r="B211" s="57" t="s">
        <v>445</v>
      </c>
      <c r="C211" s="57" t="s">
        <v>440</v>
      </c>
      <c r="D211" s="57" t="s">
        <v>441</v>
      </c>
      <c r="E211" s="57" t="s">
        <v>347</v>
      </c>
      <c r="F211" s="57">
        <v>32</v>
      </c>
      <c r="G211" s="57" t="s">
        <v>347</v>
      </c>
    </row>
    <row r="212" spans="1:7">
      <c r="A212" s="57" t="s">
        <v>469</v>
      </c>
      <c r="B212" s="57" t="s">
        <v>445</v>
      </c>
      <c r="C212" s="57" t="s">
        <v>442</v>
      </c>
      <c r="D212" s="57" t="s">
        <v>441</v>
      </c>
      <c r="E212" s="57">
        <v>16</v>
      </c>
      <c r="F212" s="57">
        <v>32</v>
      </c>
      <c r="G212" s="58">
        <v>0.5</v>
      </c>
    </row>
    <row r="213" spans="1:7">
      <c r="A213" s="57" t="s">
        <v>469</v>
      </c>
      <c r="B213" s="57" t="s">
        <v>446</v>
      </c>
      <c r="C213" s="57" t="s">
        <v>440</v>
      </c>
      <c r="D213" s="57" t="s">
        <v>441</v>
      </c>
      <c r="E213" s="57">
        <v>12</v>
      </c>
      <c r="F213" s="57">
        <v>31</v>
      </c>
      <c r="G213" s="58">
        <v>0.38700000000000001</v>
      </c>
    </row>
    <row r="214" spans="1:7">
      <c r="A214" s="57" t="s">
        <v>469</v>
      </c>
      <c r="B214" s="57" t="s">
        <v>446</v>
      </c>
      <c r="C214" s="57" t="s">
        <v>442</v>
      </c>
      <c r="D214" s="57" t="s">
        <v>441</v>
      </c>
      <c r="E214" s="57">
        <v>10</v>
      </c>
      <c r="F214" s="57">
        <v>31</v>
      </c>
      <c r="G214" s="58">
        <v>0.32300000000000001</v>
      </c>
    </row>
    <row r="215" spans="1:7">
      <c r="A215" s="57" t="s">
        <v>469</v>
      </c>
      <c r="B215" s="57" t="s">
        <v>447</v>
      </c>
      <c r="C215" s="57" t="s">
        <v>440</v>
      </c>
      <c r="D215" s="57" t="s">
        <v>441</v>
      </c>
      <c r="E215" s="57" t="s">
        <v>347</v>
      </c>
      <c r="F215" s="57">
        <v>23</v>
      </c>
      <c r="G215" s="57" t="s">
        <v>347</v>
      </c>
    </row>
    <row r="216" spans="1:7">
      <c r="A216" s="57" t="s">
        <v>469</v>
      </c>
      <c r="B216" s="57" t="s">
        <v>447</v>
      </c>
      <c r="C216" s="57" t="s">
        <v>442</v>
      </c>
      <c r="D216" s="57" t="s">
        <v>441</v>
      </c>
      <c r="E216" s="57">
        <v>11</v>
      </c>
      <c r="F216" s="57">
        <v>23</v>
      </c>
      <c r="G216" s="58">
        <v>0.47799999999999998</v>
      </c>
    </row>
    <row r="217" spans="1:7">
      <c r="A217" s="57" t="s">
        <v>469</v>
      </c>
      <c r="B217" s="57" t="s">
        <v>447</v>
      </c>
      <c r="C217" s="57" t="s">
        <v>313</v>
      </c>
      <c r="D217" s="57" t="s">
        <v>441</v>
      </c>
      <c r="E217" s="57">
        <v>12</v>
      </c>
      <c r="F217" s="57">
        <v>23</v>
      </c>
      <c r="G217" s="58">
        <v>0.52200000000000002</v>
      </c>
    </row>
    <row r="218" spans="1:7">
      <c r="G218" s="58"/>
    </row>
    <row r="219" spans="1:7" ht="14.1" customHeight="1">
      <c r="A219" s="57" t="s">
        <v>470</v>
      </c>
      <c r="B219" s="57" t="s">
        <v>439</v>
      </c>
      <c r="C219" s="57" t="s">
        <v>440</v>
      </c>
      <c r="D219" s="57" t="s">
        <v>441</v>
      </c>
      <c r="E219" s="57">
        <v>12</v>
      </c>
      <c r="F219" s="57">
        <v>30</v>
      </c>
      <c r="G219" s="58">
        <v>0.4</v>
      </c>
    </row>
    <row r="220" spans="1:7">
      <c r="A220" s="57" t="s">
        <v>470</v>
      </c>
      <c r="B220" s="57" t="s">
        <v>439</v>
      </c>
      <c r="C220" s="57" t="s">
        <v>442</v>
      </c>
      <c r="D220" s="57" t="s">
        <v>441</v>
      </c>
      <c r="E220" s="57" t="s">
        <v>347</v>
      </c>
      <c r="F220" s="57">
        <v>30</v>
      </c>
      <c r="G220" s="57" t="s">
        <v>347</v>
      </c>
    </row>
    <row r="221" spans="1:7">
      <c r="A221" s="57" t="s">
        <v>470</v>
      </c>
      <c r="B221" s="57" t="s">
        <v>443</v>
      </c>
      <c r="C221" s="57" t="s">
        <v>440</v>
      </c>
      <c r="D221" s="57" t="s">
        <v>441</v>
      </c>
      <c r="E221" s="57" t="s">
        <v>347</v>
      </c>
      <c r="F221" s="57">
        <v>34</v>
      </c>
      <c r="G221" s="57" t="s">
        <v>347</v>
      </c>
    </row>
    <row r="222" spans="1:7">
      <c r="A222" s="57" t="s">
        <v>470</v>
      </c>
      <c r="B222" s="57" t="s">
        <v>443</v>
      </c>
      <c r="C222" s="57" t="s">
        <v>442</v>
      </c>
      <c r="D222" s="57" t="s">
        <v>441</v>
      </c>
      <c r="E222" s="57">
        <v>12</v>
      </c>
      <c r="F222" s="57">
        <v>34</v>
      </c>
      <c r="G222" s="58">
        <v>0.35299999999999998</v>
      </c>
    </row>
    <row r="223" spans="1:7">
      <c r="A223" s="57" t="s">
        <v>470</v>
      </c>
      <c r="B223" s="57" t="s">
        <v>444</v>
      </c>
      <c r="C223" s="57" t="s">
        <v>440</v>
      </c>
      <c r="D223" s="57" t="s">
        <v>441</v>
      </c>
      <c r="E223" s="57" t="s">
        <v>347</v>
      </c>
      <c r="F223" s="57">
        <v>22</v>
      </c>
      <c r="G223" s="57" t="s">
        <v>347</v>
      </c>
    </row>
    <row r="224" spans="1:7">
      <c r="A224" s="57" t="s">
        <v>470</v>
      </c>
      <c r="B224" s="57" t="s">
        <v>444</v>
      </c>
      <c r="C224" s="57" t="s">
        <v>442</v>
      </c>
      <c r="D224" s="57" t="s">
        <v>441</v>
      </c>
      <c r="E224" s="57" t="s">
        <v>347</v>
      </c>
      <c r="F224" s="57">
        <v>22</v>
      </c>
      <c r="G224" s="57" t="s">
        <v>347</v>
      </c>
    </row>
    <row r="225" spans="1:7">
      <c r="A225" s="57" t="s">
        <v>470</v>
      </c>
      <c r="B225" s="57" t="s">
        <v>444</v>
      </c>
      <c r="C225" s="57" t="s">
        <v>313</v>
      </c>
      <c r="D225" s="57" t="s">
        <v>441</v>
      </c>
      <c r="E225" s="57" t="s">
        <v>347</v>
      </c>
      <c r="F225" s="57">
        <v>22</v>
      </c>
      <c r="G225" s="57" t="s">
        <v>347</v>
      </c>
    </row>
    <row r="226" spans="1:7">
      <c r="A226" s="57" t="s">
        <v>470</v>
      </c>
      <c r="B226" s="57" t="s">
        <v>445</v>
      </c>
      <c r="C226" s="57" t="s">
        <v>440</v>
      </c>
      <c r="D226" s="57" t="s">
        <v>441</v>
      </c>
      <c r="E226" s="57" t="s">
        <v>347</v>
      </c>
      <c r="F226" s="57">
        <v>39</v>
      </c>
      <c r="G226" s="57" t="s">
        <v>347</v>
      </c>
    </row>
    <row r="227" spans="1:7">
      <c r="A227" s="57" t="s">
        <v>470</v>
      </c>
      <c r="B227" s="57" t="s">
        <v>445</v>
      </c>
      <c r="C227" s="57" t="s">
        <v>442</v>
      </c>
      <c r="D227" s="57" t="s">
        <v>441</v>
      </c>
      <c r="E227" s="57" t="s">
        <v>347</v>
      </c>
      <c r="F227" s="57">
        <v>39</v>
      </c>
      <c r="G227" s="57" t="s">
        <v>347</v>
      </c>
    </row>
    <row r="228" spans="1:7">
      <c r="A228" s="57" t="s">
        <v>470</v>
      </c>
      <c r="B228" s="57" t="s">
        <v>446</v>
      </c>
      <c r="C228" s="57" t="s">
        <v>440</v>
      </c>
      <c r="D228" s="57" t="s">
        <v>441</v>
      </c>
      <c r="E228" s="57">
        <v>10</v>
      </c>
      <c r="F228" s="57">
        <v>32</v>
      </c>
      <c r="G228" s="58">
        <v>0.313</v>
      </c>
    </row>
    <row r="229" spans="1:7">
      <c r="A229" s="57" t="s">
        <v>470</v>
      </c>
      <c r="B229" s="57" t="s">
        <v>446</v>
      </c>
      <c r="C229" s="57" t="s">
        <v>442</v>
      </c>
      <c r="D229" s="57" t="s">
        <v>441</v>
      </c>
      <c r="E229" s="57" t="s">
        <v>347</v>
      </c>
      <c r="F229" s="57">
        <v>32</v>
      </c>
      <c r="G229" s="57" t="s">
        <v>347</v>
      </c>
    </row>
    <row r="230" spans="1:7">
      <c r="A230" s="57" t="s">
        <v>470</v>
      </c>
      <c r="B230" s="57" t="s">
        <v>447</v>
      </c>
      <c r="C230" s="57" t="s">
        <v>440</v>
      </c>
      <c r="D230" s="57" t="s">
        <v>441</v>
      </c>
      <c r="E230" s="57" t="s">
        <v>347</v>
      </c>
      <c r="F230" s="57">
        <v>31</v>
      </c>
      <c r="G230" s="57" t="s">
        <v>347</v>
      </c>
    </row>
    <row r="231" spans="1:7">
      <c r="A231" s="57" t="s">
        <v>470</v>
      </c>
      <c r="B231" s="57" t="s">
        <v>447</v>
      </c>
      <c r="C231" s="57" t="s">
        <v>442</v>
      </c>
      <c r="D231" s="57" t="s">
        <v>441</v>
      </c>
      <c r="E231" s="57" t="s">
        <v>347</v>
      </c>
      <c r="F231" s="57">
        <v>31</v>
      </c>
      <c r="G231" s="57" t="s">
        <v>347</v>
      </c>
    </row>
    <row r="232" spans="1:7">
      <c r="A232" s="57" t="s">
        <v>470</v>
      </c>
      <c r="B232" s="57" t="s">
        <v>447</v>
      </c>
      <c r="C232" s="57" t="s">
        <v>313</v>
      </c>
      <c r="D232" s="57" t="s">
        <v>441</v>
      </c>
      <c r="E232" s="57" t="s">
        <v>347</v>
      </c>
      <c r="F232" s="57">
        <v>31</v>
      </c>
      <c r="G232" s="57" t="s">
        <v>347</v>
      </c>
    </row>
    <row r="234" spans="1:7">
      <c r="A234" s="57" t="s">
        <v>471</v>
      </c>
      <c r="B234" s="57" t="s">
        <v>439</v>
      </c>
      <c r="C234" s="57" t="s">
        <v>440</v>
      </c>
      <c r="D234" s="57" t="s">
        <v>441</v>
      </c>
      <c r="E234" s="57">
        <v>14</v>
      </c>
      <c r="F234" s="57">
        <v>20</v>
      </c>
      <c r="G234" s="58">
        <v>0.7</v>
      </c>
    </row>
    <row r="235" spans="1:7">
      <c r="A235" s="57" t="s">
        <v>471</v>
      </c>
      <c r="B235" s="57" t="s">
        <v>439</v>
      </c>
      <c r="C235" s="57" t="s">
        <v>442</v>
      </c>
      <c r="D235" s="57" t="s">
        <v>441</v>
      </c>
      <c r="E235" s="57">
        <v>11</v>
      </c>
      <c r="F235" s="57">
        <v>20</v>
      </c>
      <c r="G235" s="58">
        <v>0.55000000000000004</v>
      </c>
    </row>
    <row r="236" spans="1:7">
      <c r="A236" s="57" t="s">
        <v>471</v>
      </c>
      <c r="B236" s="57" t="s">
        <v>443</v>
      </c>
      <c r="C236" s="57" t="s">
        <v>440</v>
      </c>
      <c r="D236" s="57" t="s">
        <v>441</v>
      </c>
      <c r="E236" s="57">
        <v>11</v>
      </c>
      <c r="F236" s="57">
        <v>27</v>
      </c>
      <c r="G236" s="58">
        <v>0.40699999999999997</v>
      </c>
    </row>
    <row r="237" spans="1:7">
      <c r="A237" s="57" t="s">
        <v>471</v>
      </c>
      <c r="B237" s="57" t="s">
        <v>443</v>
      </c>
      <c r="C237" s="57" t="s">
        <v>442</v>
      </c>
      <c r="D237" s="57" t="s">
        <v>441</v>
      </c>
      <c r="E237" s="57">
        <v>17</v>
      </c>
      <c r="F237" s="57">
        <v>27</v>
      </c>
      <c r="G237" s="58">
        <v>0.63</v>
      </c>
    </row>
    <row r="238" spans="1:7">
      <c r="A238" s="57" t="s">
        <v>471</v>
      </c>
      <c r="B238" s="57" t="s">
        <v>444</v>
      </c>
      <c r="C238" s="57" t="s">
        <v>440</v>
      </c>
      <c r="D238" s="57" t="s">
        <v>441</v>
      </c>
      <c r="E238" s="57">
        <v>12</v>
      </c>
      <c r="F238" s="57">
        <v>28</v>
      </c>
      <c r="G238" s="58">
        <v>0.42899999999999999</v>
      </c>
    </row>
    <row r="239" spans="1:7">
      <c r="A239" s="57" t="s">
        <v>471</v>
      </c>
      <c r="B239" s="57" t="s">
        <v>444</v>
      </c>
      <c r="C239" s="57" t="s">
        <v>442</v>
      </c>
      <c r="D239" s="57" t="s">
        <v>441</v>
      </c>
      <c r="E239" s="57">
        <v>19</v>
      </c>
      <c r="F239" s="57">
        <v>28</v>
      </c>
      <c r="G239" s="58">
        <v>0.67900000000000005</v>
      </c>
    </row>
    <row r="240" spans="1:7">
      <c r="A240" s="57" t="s">
        <v>471</v>
      </c>
      <c r="B240" s="57" t="s">
        <v>444</v>
      </c>
      <c r="C240" s="57" t="s">
        <v>313</v>
      </c>
      <c r="D240" s="57" t="s">
        <v>441</v>
      </c>
      <c r="E240" s="57">
        <v>12</v>
      </c>
      <c r="F240" s="57">
        <v>28</v>
      </c>
      <c r="G240" s="58">
        <v>0.42899999999999999</v>
      </c>
    </row>
    <row r="241" spans="1:7">
      <c r="A241" s="57" t="s">
        <v>471</v>
      </c>
      <c r="B241" s="57" t="s">
        <v>445</v>
      </c>
      <c r="C241" s="57" t="s">
        <v>440</v>
      </c>
      <c r="D241" s="57" t="s">
        <v>441</v>
      </c>
      <c r="E241" s="57" t="s">
        <v>347</v>
      </c>
      <c r="F241" s="57">
        <v>21</v>
      </c>
      <c r="G241" s="57" t="s">
        <v>347</v>
      </c>
    </row>
    <row r="242" spans="1:7">
      <c r="A242" s="57" t="s">
        <v>471</v>
      </c>
      <c r="B242" s="57" t="s">
        <v>445</v>
      </c>
      <c r="C242" s="57" t="s">
        <v>442</v>
      </c>
      <c r="D242" s="57" t="s">
        <v>441</v>
      </c>
      <c r="E242" s="57">
        <v>10</v>
      </c>
      <c r="F242" s="57">
        <v>21</v>
      </c>
      <c r="G242" s="58">
        <v>0.47599999999999998</v>
      </c>
    </row>
    <row r="243" spans="1:7">
      <c r="A243" s="57" t="s">
        <v>471</v>
      </c>
      <c r="B243" s="57" t="s">
        <v>446</v>
      </c>
      <c r="C243" s="57" t="s">
        <v>440</v>
      </c>
      <c r="D243" s="57" t="s">
        <v>441</v>
      </c>
      <c r="E243" s="57">
        <v>15</v>
      </c>
      <c r="F243" s="57">
        <v>25</v>
      </c>
      <c r="G243" s="58">
        <v>0.6</v>
      </c>
    </row>
    <row r="244" spans="1:7">
      <c r="A244" s="57" t="s">
        <v>471</v>
      </c>
      <c r="B244" s="57" t="s">
        <v>446</v>
      </c>
      <c r="C244" s="57" t="s">
        <v>442</v>
      </c>
      <c r="D244" s="57" t="s">
        <v>441</v>
      </c>
      <c r="E244" s="57">
        <v>12</v>
      </c>
      <c r="F244" s="57">
        <v>25</v>
      </c>
      <c r="G244" s="58">
        <v>0.48</v>
      </c>
    </row>
    <row r="245" spans="1:7">
      <c r="A245" s="57" t="s">
        <v>471</v>
      </c>
      <c r="B245" s="57" t="s">
        <v>447</v>
      </c>
      <c r="C245" s="57" t="s">
        <v>440</v>
      </c>
      <c r="D245" s="57" t="s">
        <v>441</v>
      </c>
      <c r="E245" s="57" t="s">
        <v>347</v>
      </c>
      <c r="F245" s="57">
        <v>21</v>
      </c>
      <c r="G245" s="57" t="s">
        <v>347</v>
      </c>
    </row>
    <row r="246" spans="1:7">
      <c r="A246" s="57" t="s">
        <v>471</v>
      </c>
      <c r="B246" s="57" t="s">
        <v>447</v>
      </c>
      <c r="C246" s="57" t="s">
        <v>442</v>
      </c>
      <c r="D246" s="57" t="s">
        <v>441</v>
      </c>
      <c r="E246" s="57" t="s">
        <v>347</v>
      </c>
      <c r="F246" s="57">
        <v>21</v>
      </c>
      <c r="G246" s="57" t="s">
        <v>347</v>
      </c>
    </row>
    <row r="247" spans="1:7">
      <c r="A247" s="57" t="s">
        <v>471</v>
      </c>
      <c r="B247" s="57" t="s">
        <v>447</v>
      </c>
      <c r="C247" s="57" t="s">
        <v>313</v>
      </c>
      <c r="D247" s="57" t="s">
        <v>441</v>
      </c>
      <c r="E247" s="57" t="s">
        <v>347</v>
      </c>
      <c r="F247" s="57">
        <v>21</v>
      </c>
      <c r="G247" s="57" t="s">
        <v>347</v>
      </c>
    </row>
    <row r="249" spans="1:7">
      <c r="A249" s="57" t="s">
        <v>472</v>
      </c>
      <c r="B249" s="57" t="s">
        <v>439</v>
      </c>
      <c r="C249" s="57" t="s">
        <v>440</v>
      </c>
      <c r="D249" s="57" t="s">
        <v>441</v>
      </c>
      <c r="E249" s="57">
        <v>11</v>
      </c>
      <c r="F249" s="57">
        <v>18</v>
      </c>
      <c r="G249" s="58">
        <v>0.61099999999999999</v>
      </c>
    </row>
    <row r="250" spans="1:7">
      <c r="A250" s="57" t="s">
        <v>472</v>
      </c>
      <c r="B250" s="57" t="s">
        <v>439</v>
      </c>
      <c r="C250" s="57" t="s">
        <v>442</v>
      </c>
      <c r="D250" s="57" t="s">
        <v>441</v>
      </c>
      <c r="E250" s="57">
        <v>13</v>
      </c>
      <c r="F250" s="57">
        <v>18</v>
      </c>
      <c r="G250" s="58">
        <v>0.72199999999999998</v>
      </c>
    </row>
    <row r="251" spans="1:7">
      <c r="A251" s="57" t="s">
        <v>472</v>
      </c>
      <c r="B251" s="57" t="s">
        <v>443</v>
      </c>
      <c r="C251" s="57" t="s">
        <v>440</v>
      </c>
      <c r="D251" s="57" t="s">
        <v>441</v>
      </c>
      <c r="E251" s="57" t="s">
        <v>347</v>
      </c>
      <c r="F251" s="57">
        <v>31</v>
      </c>
      <c r="G251" s="57" t="s">
        <v>347</v>
      </c>
    </row>
    <row r="252" spans="1:7">
      <c r="A252" s="57" t="s">
        <v>472</v>
      </c>
      <c r="B252" s="57" t="s">
        <v>443</v>
      </c>
      <c r="C252" s="57" t="s">
        <v>442</v>
      </c>
      <c r="D252" s="57" t="s">
        <v>441</v>
      </c>
      <c r="E252" s="57" t="s">
        <v>347</v>
      </c>
      <c r="F252" s="57">
        <v>31</v>
      </c>
      <c r="G252" s="57" t="s">
        <v>347</v>
      </c>
    </row>
    <row r="253" spans="1:7">
      <c r="A253" s="57" t="s">
        <v>472</v>
      </c>
      <c r="B253" s="57" t="s">
        <v>444</v>
      </c>
      <c r="C253" s="57" t="s">
        <v>440</v>
      </c>
      <c r="D253" s="57" t="s">
        <v>441</v>
      </c>
      <c r="E253" s="57" t="s">
        <v>347</v>
      </c>
      <c r="F253" s="57">
        <v>16</v>
      </c>
      <c r="G253" s="57" t="s">
        <v>347</v>
      </c>
    </row>
    <row r="254" spans="1:7">
      <c r="A254" s="57" t="s">
        <v>472</v>
      </c>
      <c r="B254" s="57" t="s">
        <v>444</v>
      </c>
      <c r="C254" s="57" t="s">
        <v>442</v>
      </c>
      <c r="D254" s="57" t="s">
        <v>441</v>
      </c>
      <c r="E254" s="57" t="s">
        <v>347</v>
      </c>
      <c r="F254" s="57">
        <v>16</v>
      </c>
      <c r="G254" s="57" t="s">
        <v>347</v>
      </c>
    </row>
    <row r="255" spans="1:7">
      <c r="A255" s="57" t="s">
        <v>472</v>
      </c>
      <c r="B255" s="57" t="s">
        <v>444</v>
      </c>
      <c r="C255" s="57" t="s">
        <v>313</v>
      </c>
      <c r="D255" s="57" t="s">
        <v>441</v>
      </c>
      <c r="F255" s="57">
        <v>16</v>
      </c>
    </row>
    <row r="256" spans="1:7">
      <c r="A256" s="57" t="s">
        <v>472</v>
      </c>
      <c r="B256" s="57" t="s">
        <v>445</v>
      </c>
      <c r="C256" s="57" t="s">
        <v>440</v>
      </c>
      <c r="D256" s="57" t="s">
        <v>441</v>
      </c>
      <c r="E256" s="57" t="s">
        <v>347</v>
      </c>
      <c r="F256" s="57">
        <v>26</v>
      </c>
      <c r="G256" s="57" t="s">
        <v>347</v>
      </c>
    </row>
    <row r="257" spans="1:7">
      <c r="A257" s="57" t="s">
        <v>472</v>
      </c>
      <c r="B257" s="57" t="s">
        <v>445</v>
      </c>
      <c r="C257" s="57" t="s">
        <v>442</v>
      </c>
      <c r="D257" s="57" t="s">
        <v>441</v>
      </c>
      <c r="E257" s="57" t="s">
        <v>347</v>
      </c>
      <c r="F257" s="57">
        <v>26</v>
      </c>
      <c r="G257" s="57" t="s">
        <v>347</v>
      </c>
    </row>
    <row r="258" spans="1:7">
      <c r="A258" s="57" t="s">
        <v>472</v>
      </c>
      <c r="B258" s="57" t="s">
        <v>446</v>
      </c>
      <c r="C258" s="57" t="s">
        <v>440</v>
      </c>
      <c r="D258" s="57" t="s">
        <v>441</v>
      </c>
      <c r="E258" s="57" t="s">
        <v>347</v>
      </c>
      <c r="F258" s="57">
        <v>15</v>
      </c>
      <c r="G258" s="57" t="s">
        <v>347</v>
      </c>
    </row>
    <row r="259" spans="1:7">
      <c r="A259" s="57" t="s">
        <v>472</v>
      </c>
      <c r="B259" s="57" t="s">
        <v>446</v>
      </c>
      <c r="C259" s="57" t="s">
        <v>442</v>
      </c>
      <c r="D259" s="57" t="s">
        <v>441</v>
      </c>
      <c r="E259" s="57" t="s">
        <v>347</v>
      </c>
      <c r="F259" s="57">
        <v>15</v>
      </c>
      <c r="G259" s="57" t="s">
        <v>347</v>
      </c>
    </row>
    <row r="260" spans="1:7">
      <c r="A260" s="57" t="s">
        <v>472</v>
      </c>
      <c r="B260" s="57" t="s">
        <v>447</v>
      </c>
      <c r="C260" s="57" t="s">
        <v>440</v>
      </c>
      <c r="D260" s="57" t="s">
        <v>441</v>
      </c>
      <c r="E260" s="57" t="s">
        <v>347</v>
      </c>
      <c r="F260" s="57">
        <v>23</v>
      </c>
      <c r="G260" s="57" t="s">
        <v>347</v>
      </c>
    </row>
    <row r="261" spans="1:7">
      <c r="A261" s="57" t="s">
        <v>472</v>
      </c>
      <c r="B261" s="57" t="s">
        <v>447</v>
      </c>
      <c r="C261" s="57" t="s">
        <v>442</v>
      </c>
      <c r="D261" s="57" t="s">
        <v>441</v>
      </c>
      <c r="E261" s="57" t="s">
        <v>347</v>
      </c>
      <c r="F261" s="57">
        <v>23</v>
      </c>
      <c r="G261" s="57" t="s">
        <v>347</v>
      </c>
    </row>
    <row r="262" spans="1:7">
      <c r="A262" s="57" t="s">
        <v>472</v>
      </c>
      <c r="B262" s="57" t="s">
        <v>447</v>
      </c>
      <c r="C262" s="57" t="s">
        <v>313</v>
      </c>
      <c r="D262" s="57" t="s">
        <v>441</v>
      </c>
      <c r="E262" s="57" t="s">
        <v>347</v>
      </c>
      <c r="F262" s="57">
        <v>23</v>
      </c>
      <c r="G262" s="57" t="s">
        <v>347</v>
      </c>
    </row>
    <row r="264" spans="1:7">
      <c r="A264" s="57" t="s">
        <v>473</v>
      </c>
      <c r="B264" s="57" t="s">
        <v>439</v>
      </c>
      <c r="C264" s="57" t="s">
        <v>440</v>
      </c>
      <c r="D264" s="57" t="s">
        <v>441</v>
      </c>
      <c r="E264" s="57">
        <v>13</v>
      </c>
      <c r="F264" s="57">
        <v>47</v>
      </c>
      <c r="G264" s="58">
        <v>0.27700000000000002</v>
      </c>
    </row>
    <row r="265" spans="1:7">
      <c r="A265" s="57" t="s">
        <v>473</v>
      </c>
      <c r="B265" s="57" t="s">
        <v>439</v>
      </c>
      <c r="C265" s="57" t="s">
        <v>442</v>
      </c>
      <c r="D265" s="57" t="s">
        <v>441</v>
      </c>
      <c r="E265" s="57">
        <v>23</v>
      </c>
      <c r="F265" s="57">
        <v>47</v>
      </c>
      <c r="G265" s="58">
        <v>0.48899999999999999</v>
      </c>
    </row>
    <row r="266" spans="1:7">
      <c r="A266" s="57" t="s">
        <v>473</v>
      </c>
      <c r="B266" s="57" t="s">
        <v>443</v>
      </c>
      <c r="C266" s="57" t="s">
        <v>440</v>
      </c>
      <c r="D266" s="57" t="s">
        <v>441</v>
      </c>
      <c r="E266" s="57">
        <v>13</v>
      </c>
      <c r="F266" s="57">
        <v>41</v>
      </c>
      <c r="G266" s="58">
        <v>0.317</v>
      </c>
    </row>
    <row r="267" spans="1:7">
      <c r="A267" s="57" t="s">
        <v>473</v>
      </c>
      <c r="B267" s="57" t="s">
        <v>443</v>
      </c>
      <c r="C267" s="57" t="s">
        <v>442</v>
      </c>
      <c r="D267" s="57" t="s">
        <v>441</v>
      </c>
      <c r="E267" s="57">
        <v>13</v>
      </c>
      <c r="F267" s="57">
        <v>41</v>
      </c>
      <c r="G267" s="58">
        <v>0.317</v>
      </c>
    </row>
    <row r="268" spans="1:7">
      <c r="A268" s="57" t="s">
        <v>473</v>
      </c>
      <c r="B268" s="57" t="s">
        <v>444</v>
      </c>
      <c r="C268" s="57" t="s">
        <v>440</v>
      </c>
      <c r="D268" s="57" t="s">
        <v>441</v>
      </c>
      <c r="E268" s="57">
        <v>14</v>
      </c>
      <c r="F268" s="57">
        <v>32</v>
      </c>
      <c r="G268" s="58">
        <v>0.438</v>
      </c>
    </row>
    <row r="269" spans="1:7">
      <c r="A269" s="57" t="s">
        <v>473</v>
      </c>
      <c r="B269" s="57" t="s">
        <v>444</v>
      </c>
      <c r="C269" s="57" t="s">
        <v>442</v>
      </c>
      <c r="D269" s="57" t="s">
        <v>441</v>
      </c>
      <c r="E269" s="57">
        <v>12</v>
      </c>
      <c r="F269" s="57">
        <v>32</v>
      </c>
      <c r="G269" s="58">
        <v>0.375</v>
      </c>
    </row>
    <row r="270" spans="1:7">
      <c r="A270" s="57" t="s">
        <v>473</v>
      </c>
      <c r="B270" s="57" t="s">
        <v>444</v>
      </c>
      <c r="C270" s="57" t="s">
        <v>313</v>
      </c>
      <c r="D270" s="57" t="s">
        <v>441</v>
      </c>
      <c r="E270" s="57" t="s">
        <v>347</v>
      </c>
      <c r="F270" s="57">
        <v>32</v>
      </c>
      <c r="G270" s="57" t="s">
        <v>347</v>
      </c>
    </row>
    <row r="271" spans="1:7">
      <c r="A271" s="57" t="s">
        <v>473</v>
      </c>
      <c r="B271" s="57" t="s">
        <v>445</v>
      </c>
      <c r="C271" s="57" t="s">
        <v>440</v>
      </c>
      <c r="D271" s="57" t="s">
        <v>441</v>
      </c>
      <c r="E271" s="57">
        <v>11</v>
      </c>
      <c r="F271" s="57">
        <v>51</v>
      </c>
      <c r="G271" s="58">
        <v>0.216</v>
      </c>
    </row>
    <row r="272" spans="1:7">
      <c r="A272" s="57" t="s">
        <v>473</v>
      </c>
      <c r="B272" s="57" t="s">
        <v>445</v>
      </c>
      <c r="C272" s="57" t="s">
        <v>442</v>
      </c>
      <c r="D272" s="57" t="s">
        <v>441</v>
      </c>
      <c r="E272" s="57" t="s">
        <v>347</v>
      </c>
      <c r="F272" s="57">
        <v>51</v>
      </c>
      <c r="G272" s="57" t="s">
        <v>347</v>
      </c>
    </row>
    <row r="273" spans="1:7">
      <c r="A273" s="57" t="s">
        <v>473</v>
      </c>
      <c r="B273" s="57" t="s">
        <v>446</v>
      </c>
      <c r="C273" s="57" t="s">
        <v>440</v>
      </c>
      <c r="D273" s="57" t="s">
        <v>441</v>
      </c>
      <c r="E273" s="57">
        <v>13</v>
      </c>
      <c r="F273" s="57">
        <v>39</v>
      </c>
      <c r="G273" s="58">
        <v>0.33300000000000002</v>
      </c>
    </row>
    <row r="274" spans="1:7">
      <c r="A274" s="57" t="s">
        <v>473</v>
      </c>
      <c r="B274" s="57" t="s">
        <v>446</v>
      </c>
      <c r="C274" s="57" t="s">
        <v>442</v>
      </c>
      <c r="D274" s="57" t="s">
        <v>441</v>
      </c>
      <c r="E274" s="57" t="s">
        <v>347</v>
      </c>
      <c r="F274" s="57">
        <v>39</v>
      </c>
      <c r="G274" s="57" t="s">
        <v>347</v>
      </c>
    </row>
    <row r="275" spans="1:7">
      <c r="A275" s="57" t="s">
        <v>473</v>
      </c>
      <c r="B275" s="57" t="s">
        <v>447</v>
      </c>
      <c r="C275" s="57" t="s">
        <v>440</v>
      </c>
      <c r="D275" s="57" t="s">
        <v>441</v>
      </c>
      <c r="E275" s="57" t="s">
        <v>347</v>
      </c>
      <c r="F275" s="57">
        <v>41</v>
      </c>
      <c r="G275" s="57" t="s">
        <v>347</v>
      </c>
    </row>
    <row r="276" spans="1:7">
      <c r="A276" s="57" t="s">
        <v>473</v>
      </c>
      <c r="B276" s="57" t="s">
        <v>447</v>
      </c>
      <c r="C276" s="57" t="s">
        <v>442</v>
      </c>
      <c r="D276" s="57" t="s">
        <v>441</v>
      </c>
      <c r="E276" s="57" t="s">
        <v>347</v>
      </c>
      <c r="F276" s="57">
        <v>41</v>
      </c>
      <c r="G276" s="57" t="s">
        <v>347</v>
      </c>
    </row>
    <row r="277" spans="1:7">
      <c r="A277" s="57" t="s">
        <v>473</v>
      </c>
      <c r="B277" s="57" t="s">
        <v>447</v>
      </c>
      <c r="C277" s="57" t="s">
        <v>313</v>
      </c>
      <c r="D277" s="57" t="s">
        <v>441</v>
      </c>
      <c r="E277" s="57" t="s">
        <v>347</v>
      </c>
      <c r="F277" s="57">
        <v>41</v>
      </c>
      <c r="G277" s="57" t="s">
        <v>347</v>
      </c>
    </row>
    <row r="279" spans="1:7">
      <c r="A279" s="57" t="s">
        <v>474</v>
      </c>
      <c r="B279" s="57" t="s">
        <v>439</v>
      </c>
      <c r="C279" s="57" t="s">
        <v>440</v>
      </c>
      <c r="D279" s="57" t="s">
        <v>441</v>
      </c>
      <c r="E279" s="57" t="s">
        <v>347</v>
      </c>
      <c r="F279" s="57" t="s">
        <v>347</v>
      </c>
      <c r="G279" s="57" t="s">
        <v>347</v>
      </c>
    </row>
    <row r="280" spans="1:7">
      <c r="A280" s="57" t="s">
        <v>474</v>
      </c>
      <c r="B280" s="57" t="s">
        <v>439</v>
      </c>
      <c r="C280" s="57" t="s">
        <v>442</v>
      </c>
      <c r="D280" s="57" t="s">
        <v>441</v>
      </c>
      <c r="E280" s="57" t="s">
        <v>347</v>
      </c>
      <c r="F280" s="57" t="s">
        <v>347</v>
      </c>
      <c r="G280" s="57" t="s">
        <v>347</v>
      </c>
    </row>
    <row r="281" spans="1:7">
      <c r="A281" s="57" t="s">
        <v>474</v>
      </c>
      <c r="B281" s="57" t="s">
        <v>443</v>
      </c>
      <c r="C281" s="57" t="s">
        <v>440</v>
      </c>
      <c r="D281" s="57" t="s">
        <v>441</v>
      </c>
      <c r="E281" s="57" t="s">
        <v>347</v>
      </c>
      <c r="F281" s="57">
        <v>11</v>
      </c>
      <c r="G281" s="57" t="s">
        <v>347</v>
      </c>
    </row>
    <row r="282" spans="1:7">
      <c r="A282" s="57" t="s">
        <v>474</v>
      </c>
      <c r="B282" s="57" t="s">
        <v>443</v>
      </c>
      <c r="C282" s="57" t="s">
        <v>442</v>
      </c>
      <c r="D282" s="57" t="s">
        <v>441</v>
      </c>
      <c r="E282" s="57" t="s">
        <v>347</v>
      </c>
      <c r="F282" s="57">
        <v>11</v>
      </c>
      <c r="G282" s="57" t="s">
        <v>347</v>
      </c>
    </row>
    <row r="283" spans="1:7">
      <c r="A283" s="57" t="s">
        <v>474</v>
      </c>
      <c r="B283" s="57" t="s">
        <v>444</v>
      </c>
      <c r="C283" s="57" t="s">
        <v>440</v>
      </c>
      <c r="D283" s="57" t="s">
        <v>441</v>
      </c>
      <c r="E283" s="57" t="s">
        <v>347</v>
      </c>
      <c r="F283" s="57" t="s">
        <v>347</v>
      </c>
      <c r="G283" s="57" t="s">
        <v>347</v>
      </c>
    </row>
    <row r="284" spans="1:7">
      <c r="A284" s="57" t="s">
        <v>474</v>
      </c>
      <c r="B284" s="57" t="s">
        <v>444</v>
      </c>
      <c r="C284" s="57" t="s">
        <v>442</v>
      </c>
      <c r="D284" s="57" t="s">
        <v>441</v>
      </c>
      <c r="E284" s="57" t="s">
        <v>347</v>
      </c>
      <c r="F284" s="57" t="s">
        <v>347</v>
      </c>
      <c r="G284" s="57" t="s">
        <v>347</v>
      </c>
    </row>
    <row r="285" spans="1:7">
      <c r="A285" s="57" t="s">
        <v>474</v>
      </c>
      <c r="B285" s="57" t="s">
        <v>444</v>
      </c>
      <c r="C285" s="57" t="s">
        <v>313</v>
      </c>
      <c r="D285" s="57" t="s">
        <v>441</v>
      </c>
      <c r="F285" s="57" t="s">
        <v>347</v>
      </c>
    </row>
    <row r="286" spans="1:7">
      <c r="A286" s="57" t="s">
        <v>474</v>
      </c>
      <c r="B286" s="57" t="s">
        <v>445</v>
      </c>
      <c r="C286" s="57" t="s">
        <v>440</v>
      </c>
      <c r="D286" s="57" t="s">
        <v>441</v>
      </c>
      <c r="E286" s="57" t="s">
        <v>347</v>
      </c>
      <c r="F286" s="57" t="s">
        <v>347</v>
      </c>
      <c r="G286" s="57" t="s">
        <v>347</v>
      </c>
    </row>
    <row r="287" spans="1:7">
      <c r="A287" s="57" t="s">
        <v>474</v>
      </c>
      <c r="B287" s="57" t="s">
        <v>445</v>
      </c>
      <c r="C287" s="57" t="s">
        <v>442</v>
      </c>
      <c r="D287" s="57" t="s">
        <v>441</v>
      </c>
      <c r="E287" s="57" t="s">
        <v>347</v>
      </c>
      <c r="F287" s="57" t="s">
        <v>347</v>
      </c>
      <c r="G287" s="57" t="s">
        <v>347</v>
      </c>
    </row>
    <row r="289" spans="1:7">
      <c r="A289" s="57" t="s">
        <v>475</v>
      </c>
      <c r="B289" s="57" t="s">
        <v>439</v>
      </c>
      <c r="C289" s="57" t="s">
        <v>440</v>
      </c>
      <c r="D289" s="57" t="s">
        <v>441</v>
      </c>
      <c r="E289" s="57">
        <v>37</v>
      </c>
      <c r="F289" s="57">
        <v>72</v>
      </c>
      <c r="G289" s="58">
        <v>0.51400000000000001</v>
      </c>
    </row>
    <row r="290" spans="1:7">
      <c r="A290" s="57" t="s">
        <v>475</v>
      </c>
      <c r="B290" s="57" t="s">
        <v>439</v>
      </c>
      <c r="C290" s="57" t="s">
        <v>442</v>
      </c>
      <c r="D290" s="57" t="s">
        <v>441</v>
      </c>
      <c r="E290" s="57">
        <v>28</v>
      </c>
      <c r="F290" s="57">
        <v>72</v>
      </c>
      <c r="G290" s="58">
        <v>0.38900000000000001</v>
      </c>
    </row>
    <row r="291" spans="1:7">
      <c r="A291" s="57" t="s">
        <v>475</v>
      </c>
      <c r="B291" s="57" t="s">
        <v>443</v>
      </c>
      <c r="C291" s="57" t="s">
        <v>440</v>
      </c>
      <c r="D291" s="57" t="s">
        <v>441</v>
      </c>
      <c r="E291" s="57">
        <v>25</v>
      </c>
      <c r="F291" s="57">
        <v>48</v>
      </c>
      <c r="G291" s="58">
        <v>0.52100000000000002</v>
      </c>
    </row>
    <row r="292" spans="1:7">
      <c r="A292" s="57" t="s">
        <v>475</v>
      </c>
      <c r="B292" s="57" t="s">
        <v>443</v>
      </c>
      <c r="C292" s="57" t="s">
        <v>442</v>
      </c>
      <c r="D292" s="57" t="s">
        <v>441</v>
      </c>
      <c r="E292" s="57">
        <v>33</v>
      </c>
      <c r="F292" s="57">
        <v>48</v>
      </c>
      <c r="G292" s="58">
        <v>0.68799999999999994</v>
      </c>
    </row>
    <row r="293" spans="1:7">
      <c r="A293" s="57" t="s">
        <v>475</v>
      </c>
      <c r="B293" s="57" t="s">
        <v>444</v>
      </c>
      <c r="C293" s="57" t="s">
        <v>440</v>
      </c>
      <c r="D293" s="57" t="s">
        <v>441</v>
      </c>
      <c r="E293" s="57">
        <v>40</v>
      </c>
      <c r="F293" s="57">
        <v>66</v>
      </c>
      <c r="G293" s="58">
        <v>0.60599999999999998</v>
      </c>
    </row>
    <row r="294" spans="1:7">
      <c r="A294" s="57" t="s">
        <v>475</v>
      </c>
      <c r="B294" s="57" t="s">
        <v>444</v>
      </c>
      <c r="C294" s="57" t="s">
        <v>442</v>
      </c>
      <c r="D294" s="57" t="s">
        <v>441</v>
      </c>
      <c r="E294" s="57">
        <v>30</v>
      </c>
      <c r="F294" s="57">
        <v>67</v>
      </c>
      <c r="G294" s="58">
        <v>0.44800000000000001</v>
      </c>
    </row>
    <row r="295" spans="1:7">
      <c r="A295" s="57" t="s">
        <v>475</v>
      </c>
      <c r="B295" s="57" t="s">
        <v>444</v>
      </c>
      <c r="C295" s="57" t="s">
        <v>313</v>
      </c>
      <c r="D295" s="57" t="s">
        <v>441</v>
      </c>
      <c r="E295" s="57">
        <v>21</v>
      </c>
      <c r="F295" s="57">
        <v>67</v>
      </c>
      <c r="G295" s="58">
        <v>0.313</v>
      </c>
    </row>
    <row r="296" spans="1:7">
      <c r="A296" s="57" t="s">
        <v>475</v>
      </c>
      <c r="B296" s="57" t="s">
        <v>445</v>
      </c>
      <c r="C296" s="57" t="s">
        <v>440</v>
      </c>
      <c r="D296" s="57" t="s">
        <v>441</v>
      </c>
      <c r="E296" s="57">
        <v>12</v>
      </c>
      <c r="F296" s="57">
        <v>60</v>
      </c>
      <c r="G296" s="58">
        <v>0.2</v>
      </c>
    </row>
    <row r="297" spans="1:7">
      <c r="A297" s="57" t="s">
        <v>475</v>
      </c>
      <c r="B297" s="57" t="s">
        <v>445</v>
      </c>
      <c r="C297" s="57" t="s">
        <v>442</v>
      </c>
      <c r="D297" s="57" t="s">
        <v>441</v>
      </c>
      <c r="E297" s="57">
        <v>13</v>
      </c>
      <c r="F297" s="57">
        <v>60</v>
      </c>
      <c r="G297" s="58">
        <v>0.217</v>
      </c>
    </row>
    <row r="298" spans="1:7">
      <c r="A298" s="57" t="s">
        <v>475</v>
      </c>
      <c r="B298" s="57" t="s">
        <v>446</v>
      </c>
      <c r="C298" s="57" t="s">
        <v>440</v>
      </c>
      <c r="D298" s="57" t="s">
        <v>441</v>
      </c>
      <c r="E298" s="57">
        <v>18</v>
      </c>
      <c r="F298" s="57">
        <v>42</v>
      </c>
      <c r="G298" s="58">
        <v>0.42899999999999999</v>
      </c>
    </row>
    <row r="299" spans="1:7">
      <c r="A299" s="57" t="s">
        <v>475</v>
      </c>
      <c r="B299" s="57" t="s">
        <v>446</v>
      </c>
      <c r="C299" s="57" t="s">
        <v>442</v>
      </c>
      <c r="D299" s="57" t="s">
        <v>441</v>
      </c>
      <c r="E299" s="57">
        <v>15</v>
      </c>
      <c r="F299" s="57">
        <v>42</v>
      </c>
      <c r="G299" s="58">
        <v>0.35699999999999998</v>
      </c>
    </row>
    <row r="300" spans="1:7">
      <c r="A300" s="57" t="s">
        <v>475</v>
      </c>
      <c r="B300" s="57" t="s">
        <v>447</v>
      </c>
      <c r="C300" s="57" t="s">
        <v>440</v>
      </c>
      <c r="D300" s="57" t="s">
        <v>441</v>
      </c>
      <c r="E300" s="57">
        <v>11</v>
      </c>
      <c r="F300" s="57">
        <v>31</v>
      </c>
      <c r="G300" s="58">
        <v>0.35499999999999998</v>
      </c>
    </row>
    <row r="301" spans="1:7">
      <c r="A301" s="57" t="s">
        <v>475</v>
      </c>
      <c r="B301" s="57" t="s">
        <v>447</v>
      </c>
      <c r="C301" s="57" t="s">
        <v>442</v>
      </c>
      <c r="D301" s="57" t="s">
        <v>441</v>
      </c>
      <c r="E301" s="57">
        <v>14</v>
      </c>
      <c r="F301" s="57">
        <v>31</v>
      </c>
      <c r="G301" s="58">
        <v>0.45200000000000001</v>
      </c>
    </row>
    <row r="302" spans="1:7">
      <c r="A302" s="57" t="s">
        <v>475</v>
      </c>
      <c r="B302" s="57" t="s">
        <v>447</v>
      </c>
      <c r="C302" s="57" t="s">
        <v>313</v>
      </c>
      <c r="D302" s="57" t="s">
        <v>441</v>
      </c>
      <c r="E302" s="57" t="s">
        <v>347</v>
      </c>
      <c r="F302" s="57">
        <v>31</v>
      </c>
      <c r="G302" s="57" t="s">
        <v>347</v>
      </c>
    </row>
    <row r="304" spans="1:7">
      <c r="A304" s="57" t="s">
        <v>476</v>
      </c>
      <c r="B304" s="57" t="s">
        <v>439</v>
      </c>
      <c r="C304" s="57" t="s">
        <v>440</v>
      </c>
      <c r="D304" s="57" t="s">
        <v>441</v>
      </c>
      <c r="E304" s="57" t="s">
        <v>347</v>
      </c>
      <c r="F304" s="57">
        <v>25</v>
      </c>
      <c r="G304" s="57" t="s">
        <v>347</v>
      </c>
    </row>
    <row r="305" spans="1:7">
      <c r="A305" s="57" t="s">
        <v>476</v>
      </c>
      <c r="B305" s="57" t="s">
        <v>439</v>
      </c>
      <c r="C305" s="57" t="s">
        <v>442</v>
      </c>
      <c r="D305" s="57" t="s">
        <v>441</v>
      </c>
      <c r="E305" s="57" t="s">
        <v>347</v>
      </c>
      <c r="F305" s="57">
        <v>25</v>
      </c>
      <c r="G305" s="57" t="s">
        <v>347</v>
      </c>
    </row>
    <row r="306" spans="1:7">
      <c r="A306" s="57" t="s">
        <v>476</v>
      </c>
      <c r="B306" s="57" t="s">
        <v>443</v>
      </c>
      <c r="C306" s="57" t="s">
        <v>440</v>
      </c>
      <c r="D306" s="57" t="s">
        <v>441</v>
      </c>
      <c r="E306" s="57" t="s">
        <v>347</v>
      </c>
      <c r="F306" s="57">
        <v>22</v>
      </c>
      <c r="G306" s="57" t="s">
        <v>347</v>
      </c>
    </row>
    <row r="307" spans="1:7">
      <c r="A307" s="57" t="s">
        <v>476</v>
      </c>
      <c r="B307" s="57" t="s">
        <v>443</v>
      </c>
      <c r="C307" s="57" t="s">
        <v>442</v>
      </c>
      <c r="D307" s="57" t="s">
        <v>441</v>
      </c>
      <c r="E307" s="57" t="s">
        <v>347</v>
      </c>
      <c r="F307" s="57">
        <v>22</v>
      </c>
      <c r="G307" s="57" t="s">
        <v>347</v>
      </c>
    </row>
    <row r="308" spans="1:7">
      <c r="A308" s="57" t="s">
        <v>476</v>
      </c>
      <c r="B308" s="57" t="s">
        <v>444</v>
      </c>
      <c r="C308" s="57" t="s">
        <v>440</v>
      </c>
      <c r="D308" s="57" t="s">
        <v>441</v>
      </c>
      <c r="E308" s="57" t="s">
        <v>347</v>
      </c>
      <c r="F308" s="57">
        <v>25</v>
      </c>
      <c r="G308" s="57" t="s">
        <v>347</v>
      </c>
    </row>
    <row r="309" spans="1:7">
      <c r="A309" s="57" t="s">
        <v>476</v>
      </c>
      <c r="B309" s="57" t="s">
        <v>444</v>
      </c>
      <c r="C309" s="57" t="s">
        <v>442</v>
      </c>
      <c r="D309" s="57" t="s">
        <v>441</v>
      </c>
      <c r="E309" s="57" t="s">
        <v>347</v>
      </c>
      <c r="F309" s="57">
        <v>25</v>
      </c>
      <c r="G309" s="57" t="s">
        <v>347</v>
      </c>
    </row>
    <row r="310" spans="1:7">
      <c r="A310" s="57" t="s">
        <v>476</v>
      </c>
      <c r="B310" s="57" t="s">
        <v>444</v>
      </c>
      <c r="C310" s="57" t="s">
        <v>313</v>
      </c>
      <c r="D310" s="57" t="s">
        <v>441</v>
      </c>
      <c r="E310" s="57" t="s">
        <v>347</v>
      </c>
      <c r="F310" s="57">
        <v>25</v>
      </c>
      <c r="G310" s="57" t="s">
        <v>347</v>
      </c>
    </row>
    <row r="311" spans="1:7">
      <c r="A311" s="57" t="s">
        <v>476</v>
      </c>
      <c r="B311" s="57" t="s">
        <v>445</v>
      </c>
      <c r="C311" s="57" t="s">
        <v>440</v>
      </c>
      <c r="D311" s="57" t="s">
        <v>441</v>
      </c>
      <c r="E311" s="57" t="s">
        <v>347</v>
      </c>
      <c r="F311" s="57">
        <v>24</v>
      </c>
      <c r="G311" s="57" t="s">
        <v>347</v>
      </c>
    </row>
    <row r="312" spans="1:7">
      <c r="A312" s="57" t="s">
        <v>476</v>
      </c>
      <c r="B312" s="57" t="s">
        <v>445</v>
      </c>
      <c r="C312" s="57" t="s">
        <v>442</v>
      </c>
      <c r="D312" s="57" t="s">
        <v>441</v>
      </c>
      <c r="F312" s="57">
        <v>24</v>
      </c>
    </row>
    <row r="313" spans="1:7">
      <c r="A313" s="57" t="s">
        <v>476</v>
      </c>
      <c r="B313" s="57" t="s">
        <v>446</v>
      </c>
      <c r="C313" s="57" t="s">
        <v>440</v>
      </c>
      <c r="D313" s="57" t="s">
        <v>441</v>
      </c>
      <c r="E313" s="57" t="s">
        <v>347</v>
      </c>
      <c r="F313" s="57">
        <v>15</v>
      </c>
      <c r="G313" s="57" t="s">
        <v>347</v>
      </c>
    </row>
    <row r="314" spans="1:7">
      <c r="A314" s="57" t="s">
        <v>476</v>
      </c>
      <c r="B314" s="57" t="s">
        <v>446</v>
      </c>
      <c r="C314" s="57" t="s">
        <v>442</v>
      </c>
      <c r="D314" s="57" t="s">
        <v>441</v>
      </c>
      <c r="E314" s="57" t="s">
        <v>347</v>
      </c>
      <c r="F314" s="57">
        <v>15</v>
      </c>
      <c r="G314" s="57" t="s">
        <v>347</v>
      </c>
    </row>
    <row r="315" spans="1:7">
      <c r="A315" s="57" t="s">
        <v>476</v>
      </c>
      <c r="B315" s="57" t="s">
        <v>447</v>
      </c>
      <c r="C315" s="57" t="s">
        <v>440</v>
      </c>
      <c r="D315" s="57" t="s">
        <v>441</v>
      </c>
      <c r="E315" s="57" t="s">
        <v>347</v>
      </c>
      <c r="F315" s="57">
        <v>22</v>
      </c>
      <c r="G315" s="57" t="s">
        <v>347</v>
      </c>
    </row>
    <row r="316" spans="1:7">
      <c r="A316" s="57" t="s">
        <v>476</v>
      </c>
      <c r="B316" s="57" t="s">
        <v>447</v>
      </c>
      <c r="C316" s="57" t="s">
        <v>442</v>
      </c>
      <c r="D316" s="57" t="s">
        <v>441</v>
      </c>
      <c r="E316" s="57" t="s">
        <v>347</v>
      </c>
      <c r="F316" s="57">
        <v>22</v>
      </c>
      <c r="G316" s="57" t="s">
        <v>347</v>
      </c>
    </row>
    <row r="317" spans="1:7">
      <c r="A317" s="57" t="s">
        <v>476</v>
      </c>
      <c r="B317" s="57" t="s">
        <v>447</v>
      </c>
      <c r="C317" s="57" t="s">
        <v>313</v>
      </c>
      <c r="D317" s="57" t="s">
        <v>441</v>
      </c>
      <c r="E317" s="57" t="s">
        <v>347</v>
      </c>
      <c r="F317" s="57">
        <v>21</v>
      </c>
      <c r="G317" s="57" t="s">
        <v>347</v>
      </c>
    </row>
    <row r="319" spans="1:7">
      <c r="A319" s="57" t="s">
        <v>477</v>
      </c>
      <c r="B319" s="57" t="s">
        <v>439</v>
      </c>
      <c r="C319" s="57" t="s">
        <v>440</v>
      </c>
      <c r="D319" s="57" t="s">
        <v>441</v>
      </c>
      <c r="E319" s="57">
        <v>12</v>
      </c>
      <c r="F319" s="57">
        <v>21</v>
      </c>
      <c r="G319" s="58">
        <v>0.57099999999999995</v>
      </c>
    </row>
    <row r="320" spans="1:7">
      <c r="A320" s="57" t="s">
        <v>477</v>
      </c>
      <c r="B320" s="57" t="s">
        <v>439</v>
      </c>
      <c r="C320" s="57" t="s">
        <v>442</v>
      </c>
      <c r="D320" s="57" t="s">
        <v>441</v>
      </c>
      <c r="E320" s="57" t="s">
        <v>347</v>
      </c>
      <c r="F320" s="57">
        <v>20</v>
      </c>
      <c r="G320" s="57" t="s">
        <v>347</v>
      </c>
    </row>
    <row r="321" spans="1:7">
      <c r="A321" s="57" t="s">
        <v>477</v>
      </c>
      <c r="B321" s="57" t="s">
        <v>443</v>
      </c>
      <c r="C321" s="57" t="s">
        <v>440</v>
      </c>
      <c r="D321" s="57" t="s">
        <v>441</v>
      </c>
      <c r="E321" s="57" t="s">
        <v>347</v>
      </c>
      <c r="F321" s="57">
        <v>16</v>
      </c>
      <c r="G321" s="57" t="s">
        <v>347</v>
      </c>
    </row>
    <row r="322" spans="1:7">
      <c r="A322" s="57" t="s">
        <v>477</v>
      </c>
      <c r="B322" s="57" t="s">
        <v>443</v>
      </c>
      <c r="C322" s="57" t="s">
        <v>442</v>
      </c>
      <c r="D322" s="57" t="s">
        <v>441</v>
      </c>
      <c r="E322" s="57" t="s">
        <v>347</v>
      </c>
      <c r="F322" s="57">
        <v>16</v>
      </c>
      <c r="G322" s="57" t="s">
        <v>347</v>
      </c>
    </row>
    <row r="323" spans="1:7">
      <c r="A323" s="57" t="s">
        <v>477</v>
      </c>
      <c r="B323" s="57" t="s">
        <v>444</v>
      </c>
      <c r="C323" s="57" t="s">
        <v>440</v>
      </c>
      <c r="D323" s="57" t="s">
        <v>441</v>
      </c>
      <c r="E323" s="57" t="s">
        <v>347</v>
      </c>
      <c r="F323" s="57">
        <v>14</v>
      </c>
      <c r="G323" s="57" t="s">
        <v>347</v>
      </c>
    </row>
    <row r="324" spans="1:7">
      <c r="A324" s="57" t="s">
        <v>477</v>
      </c>
      <c r="B324" s="57" t="s">
        <v>444</v>
      </c>
      <c r="C324" s="57" t="s">
        <v>442</v>
      </c>
      <c r="D324" s="57" t="s">
        <v>441</v>
      </c>
      <c r="E324" s="57" t="s">
        <v>347</v>
      </c>
      <c r="F324" s="57">
        <v>14</v>
      </c>
      <c r="G324" s="57" t="s">
        <v>347</v>
      </c>
    </row>
    <row r="325" spans="1:7">
      <c r="A325" s="57" t="s">
        <v>477</v>
      </c>
      <c r="B325" s="57" t="s">
        <v>444</v>
      </c>
      <c r="C325" s="57" t="s">
        <v>313</v>
      </c>
      <c r="D325" s="57" t="s">
        <v>441</v>
      </c>
      <c r="E325" s="57" t="s">
        <v>347</v>
      </c>
      <c r="F325" s="57">
        <v>14</v>
      </c>
      <c r="G325" s="57" t="s">
        <v>347</v>
      </c>
    </row>
    <row r="326" spans="1:7">
      <c r="A326" s="57" t="s">
        <v>477</v>
      </c>
      <c r="B326" s="57" t="s">
        <v>445</v>
      </c>
      <c r="C326" s="57" t="s">
        <v>440</v>
      </c>
      <c r="D326" s="57" t="s">
        <v>441</v>
      </c>
      <c r="E326" s="57" t="s">
        <v>347</v>
      </c>
      <c r="F326" s="57">
        <v>33</v>
      </c>
      <c r="G326" s="57" t="s">
        <v>347</v>
      </c>
    </row>
    <row r="327" spans="1:7">
      <c r="A327" s="57" t="s">
        <v>477</v>
      </c>
      <c r="B327" s="57" t="s">
        <v>445</v>
      </c>
      <c r="C327" s="57" t="s">
        <v>442</v>
      </c>
      <c r="D327" s="57" t="s">
        <v>441</v>
      </c>
      <c r="E327" s="57" t="s">
        <v>347</v>
      </c>
      <c r="F327" s="57">
        <v>33</v>
      </c>
      <c r="G327" s="57" t="s">
        <v>347</v>
      </c>
    </row>
    <row r="328" spans="1:7">
      <c r="A328" s="57" t="s">
        <v>477</v>
      </c>
      <c r="B328" s="57" t="s">
        <v>446</v>
      </c>
      <c r="C328" s="57" t="s">
        <v>440</v>
      </c>
      <c r="D328" s="57" t="s">
        <v>441</v>
      </c>
      <c r="E328" s="57" t="s">
        <v>347</v>
      </c>
      <c r="F328" s="57">
        <v>22</v>
      </c>
      <c r="G328" s="57" t="s">
        <v>347</v>
      </c>
    </row>
    <row r="329" spans="1:7">
      <c r="A329" s="57" t="s">
        <v>477</v>
      </c>
      <c r="B329" s="57" t="s">
        <v>446</v>
      </c>
      <c r="C329" s="57" t="s">
        <v>442</v>
      </c>
      <c r="D329" s="57" t="s">
        <v>441</v>
      </c>
      <c r="E329" s="57" t="s">
        <v>347</v>
      </c>
      <c r="F329" s="57">
        <v>22</v>
      </c>
      <c r="G329" s="57" t="s">
        <v>347</v>
      </c>
    </row>
    <row r="330" spans="1:7">
      <c r="A330" s="57" t="s">
        <v>477</v>
      </c>
      <c r="B330" s="57" t="s">
        <v>447</v>
      </c>
      <c r="C330" s="57" t="s">
        <v>440</v>
      </c>
      <c r="D330" s="57" t="s">
        <v>441</v>
      </c>
      <c r="E330" s="57">
        <v>12</v>
      </c>
      <c r="F330" s="57">
        <v>33</v>
      </c>
      <c r="G330" s="58">
        <v>0.36399999999999999</v>
      </c>
    </row>
    <row r="331" spans="1:7">
      <c r="A331" s="57" t="s">
        <v>477</v>
      </c>
      <c r="B331" s="57" t="s">
        <v>447</v>
      </c>
      <c r="C331" s="57" t="s">
        <v>442</v>
      </c>
      <c r="D331" s="57" t="s">
        <v>441</v>
      </c>
      <c r="E331" s="57" t="s">
        <v>347</v>
      </c>
      <c r="F331" s="57">
        <v>33</v>
      </c>
      <c r="G331" s="57" t="s">
        <v>347</v>
      </c>
    </row>
    <row r="332" spans="1:7">
      <c r="A332" s="57" t="s">
        <v>477</v>
      </c>
      <c r="B332" s="57" t="s">
        <v>447</v>
      </c>
      <c r="C332" s="57" t="s">
        <v>313</v>
      </c>
      <c r="D332" s="57" t="s">
        <v>441</v>
      </c>
      <c r="E332" s="57">
        <v>13</v>
      </c>
      <c r="F332" s="57">
        <v>33</v>
      </c>
      <c r="G332" s="58">
        <v>0.39400000000000002</v>
      </c>
    </row>
    <row r="333" spans="1:7">
      <c r="A333" s="57" t="s">
        <v>477</v>
      </c>
      <c r="B333" s="57" t="s">
        <v>453</v>
      </c>
      <c r="C333" s="57" t="s">
        <v>454</v>
      </c>
      <c r="D333" s="57" t="s">
        <v>441</v>
      </c>
      <c r="E333" s="57">
        <v>12</v>
      </c>
      <c r="F333" s="57">
        <v>45</v>
      </c>
      <c r="G333" s="58">
        <v>0.26700000000000002</v>
      </c>
    </row>
    <row r="334" spans="1:7">
      <c r="A334" s="57" t="s">
        <v>477</v>
      </c>
      <c r="B334" s="57" t="s">
        <v>453</v>
      </c>
      <c r="C334" s="57" t="s">
        <v>461</v>
      </c>
      <c r="D334" s="57" t="s">
        <v>441</v>
      </c>
      <c r="E334" s="57">
        <v>35</v>
      </c>
      <c r="F334" s="57">
        <v>46</v>
      </c>
      <c r="G334" s="58">
        <v>0.76100000000000001</v>
      </c>
    </row>
    <row r="335" spans="1:7">
      <c r="A335" s="57" t="s">
        <v>477</v>
      </c>
      <c r="B335" s="57" t="s">
        <v>453</v>
      </c>
      <c r="C335" s="57" t="s">
        <v>455</v>
      </c>
      <c r="D335" s="57" t="s">
        <v>441</v>
      </c>
      <c r="E335" s="57">
        <v>32</v>
      </c>
      <c r="F335" s="57">
        <v>56</v>
      </c>
      <c r="G335" s="58">
        <v>0.57099999999999995</v>
      </c>
    </row>
    <row r="336" spans="1:7">
      <c r="A336" s="57" t="s">
        <v>477</v>
      </c>
      <c r="B336" s="57" t="s">
        <v>453</v>
      </c>
      <c r="C336" s="57" t="s">
        <v>456</v>
      </c>
      <c r="D336" s="57" t="s">
        <v>441</v>
      </c>
      <c r="E336" s="57">
        <v>23</v>
      </c>
      <c r="F336" s="57">
        <v>46</v>
      </c>
      <c r="G336" s="58">
        <v>0.5</v>
      </c>
    </row>
    <row r="337" spans="1:7">
      <c r="A337" s="57" t="s">
        <v>477</v>
      </c>
      <c r="B337" s="57" t="s">
        <v>453</v>
      </c>
      <c r="C337" s="57" t="s">
        <v>457</v>
      </c>
      <c r="D337" s="57" t="s">
        <v>441</v>
      </c>
      <c r="E337" s="57">
        <v>22</v>
      </c>
      <c r="F337" s="57">
        <v>48</v>
      </c>
      <c r="G337" s="58">
        <v>0.45800000000000002</v>
      </c>
    </row>
    <row r="338" spans="1:7">
      <c r="A338" s="57" t="s">
        <v>477</v>
      </c>
      <c r="B338" s="57" t="s">
        <v>453</v>
      </c>
      <c r="C338" s="57" t="s">
        <v>458</v>
      </c>
      <c r="D338" s="57" t="s">
        <v>441</v>
      </c>
      <c r="E338" s="57">
        <v>26</v>
      </c>
      <c r="F338" s="57">
        <v>51</v>
      </c>
      <c r="G338" s="58">
        <v>0.51</v>
      </c>
    </row>
    <row r="339" spans="1:7">
      <c r="A339" s="57" t="s">
        <v>477</v>
      </c>
      <c r="B339" s="57" t="s">
        <v>453</v>
      </c>
      <c r="C339" s="57" t="s">
        <v>459</v>
      </c>
      <c r="D339" s="57" t="s">
        <v>441</v>
      </c>
      <c r="E339" s="57" t="s">
        <v>347</v>
      </c>
      <c r="F339" s="57">
        <v>38</v>
      </c>
      <c r="G339" s="57" t="s">
        <v>347</v>
      </c>
    </row>
    <row r="341" spans="1:7">
      <c r="A341" s="57" t="s">
        <v>478</v>
      </c>
      <c r="B341" s="57" t="s">
        <v>439</v>
      </c>
      <c r="C341" s="57" t="s">
        <v>440</v>
      </c>
      <c r="D341" s="57" t="s">
        <v>441</v>
      </c>
      <c r="E341" s="57">
        <v>30</v>
      </c>
      <c r="F341" s="57">
        <v>41</v>
      </c>
      <c r="G341" s="58">
        <v>0.73199999999999998</v>
      </c>
    </row>
    <row r="342" spans="1:7">
      <c r="A342" s="57" t="s">
        <v>478</v>
      </c>
      <c r="B342" s="57" t="s">
        <v>439</v>
      </c>
      <c r="C342" s="57" t="s">
        <v>442</v>
      </c>
      <c r="D342" s="57" t="s">
        <v>441</v>
      </c>
      <c r="E342" s="57">
        <v>23</v>
      </c>
      <c r="F342" s="57">
        <v>38</v>
      </c>
      <c r="G342" s="58">
        <v>0.60499999999999998</v>
      </c>
    </row>
    <row r="343" spans="1:7">
      <c r="A343" s="57" t="s">
        <v>478</v>
      </c>
      <c r="B343" s="57" t="s">
        <v>443</v>
      </c>
      <c r="C343" s="57" t="s">
        <v>440</v>
      </c>
      <c r="D343" s="57" t="s">
        <v>441</v>
      </c>
      <c r="E343" s="57">
        <v>11</v>
      </c>
      <c r="F343" s="57">
        <v>27</v>
      </c>
      <c r="G343" s="58">
        <v>0.40699999999999997</v>
      </c>
    </row>
    <row r="344" spans="1:7">
      <c r="A344" s="57" t="s">
        <v>478</v>
      </c>
      <c r="B344" s="57" t="s">
        <v>443</v>
      </c>
      <c r="C344" s="57" t="s">
        <v>442</v>
      </c>
      <c r="D344" s="57" t="s">
        <v>441</v>
      </c>
      <c r="E344" s="57">
        <v>17</v>
      </c>
      <c r="F344" s="57">
        <v>29</v>
      </c>
      <c r="G344" s="58">
        <v>0.58599999999999997</v>
      </c>
    </row>
    <row r="345" spans="1:7">
      <c r="A345" s="57" t="s">
        <v>478</v>
      </c>
      <c r="B345" s="57" t="s">
        <v>444</v>
      </c>
      <c r="C345" s="57" t="s">
        <v>440</v>
      </c>
      <c r="D345" s="57" t="s">
        <v>441</v>
      </c>
      <c r="E345" s="57" t="s">
        <v>347</v>
      </c>
      <c r="F345" s="57">
        <v>31</v>
      </c>
      <c r="G345" s="57" t="s">
        <v>347</v>
      </c>
    </row>
    <row r="346" spans="1:7">
      <c r="A346" s="57" t="s">
        <v>478</v>
      </c>
      <c r="B346" s="57" t="s">
        <v>444</v>
      </c>
      <c r="C346" s="57" t="s">
        <v>442</v>
      </c>
      <c r="D346" s="57" t="s">
        <v>441</v>
      </c>
      <c r="E346" s="57" t="s">
        <v>347</v>
      </c>
      <c r="F346" s="57">
        <v>31</v>
      </c>
      <c r="G346" s="57" t="s">
        <v>347</v>
      </c>
    </row>
    <row r="347" spans="1:7">
      <c r="A347" s="57" t="s">
        <v>478</v>
      </c>
      <c r="B347" s="57" t="s">
        <v>444</v>
      </c>
      <c r="C347" s="57" t="s">
        <v>313</v>
      </c>
      <c r="D347" s="57" t="s">
        <v>441</v>
      </c>
      <c r="E347" s="57" t="s">
        <v>347</v>
      </c>
      <c r="F347" s="57">
        <v>31</v>
      </c>
      <c r="G347" s="57" t="s">
        <v>347</v>
      </c>
    </row>
    <row r="348" spans="1:7">
      <c r="A348" s="57" t="s">
        <v>478</v>
      </c>
      <c r="B348" s="57" t="s">
        <v>445</v>
      </c>
      <c r="C348" s="57" t="s">
        <v>440</v>
      </c>
      <c r="D348" s="57" t="s">
        <v>441</v>
      </c>
      <c r="E348" s="57" t="s">
        <v>347</v>
      </c>
      <c r="F348" s="57">
        <v>30</v>
      </c>
      <c r="G348" s="57" t="s">
        <v>347</v>
      </c>
    </row>
    <row r="349" spans="1:7">
      <c r="A349" s="57" t="s">
        <v>478</v>
      </c>
      <c r="B349" s="57" t="s">
        <v>445</v>
      </c>
      <c r="C349" s="57" t="s">
        <v>442</v>
      </c>
      <c r="D349" s="57" t="s">
        <v>441</v>
      </c>
      <c r="E349" s="57">
        <v>12</v>
      </c>
      <c r="F349" s="57">
        <v>29</v>
      </c>
      <c r="G349" s="58">
        <v>0.41399999999999998</v>
      </c>
    </row>
    <row r="350" spans="1:7">
      <c r="A350" s="57" t="s">
        <v>478</v>
      </c>
      <c r="B350" s="57" t="s">
        <v>446</v>
      </c>
      <c r="C350" s="57" t="s">
        <v>440</v>
      </c>
      <c r="D350" s="57" t="s">
        <v>441</v>
      </c>
      <c r="E350" s="57" t="s">
        <v>347</v>
      </c>
      <c r="F350" s="57">
        <v>24</v>
      </c>
      <c r="G350" s="57" t="s">
        <v>347</v>
      </c>
    </row>
    <row r="351" spans="1:7">
      <c r="A351" s="57" t="s">
        <v>478</v>
      </c>
      <c r="B351" s="57" t="s">
        <v>446</v>
      </c>
      <c r="C351" s="57" t="s">
        <v>442</v>
      </c>
      <c r="D351" s="57" t="s">
        <v>441</v>
      </c>
      <c r="E351" s="57" t="s">
        <v>347</v>
      </c>
      <c r="F351" s="57">
        <v>24</v>
      </c>
      <c r="G351" s="57" t="s">
        <v>347</v>
      </c>
    </row>
    <row r="352" spans="1:7">
      <c r="A352" s="57" t="s">
        <v>478</v>
      </c>
      <c r="B352" s="57" t="s">
        <v>447</v>
      </c>
      <c r="C352" s="57" t="s">
        <v>440</v>
      </c>
      <c r="D352" s="57" t="s">
        <v>441</v>
      </c>
      <c r="E352" s="57" t="s">
        <v>347</v>
      </c>
      <c r="F352" s="57">
        <v>33</v>
      </c>
      <c r="G352" s="57" t="s">
        <v>347</v>
      </c>
    </row>
    <row r="353" spans="1:7">
      <c r="A353" s="57" t="s">
        <v>478</v>
      </c>
      <c r="B353" s="57" t="s">
        <v>447</v>
      </c>
      <c r="C353" s="57" t="s">
        <v>442</v>
      </c>
      <c r="D353" s="57" t="s">
        <v>441</v>
      </c>
      <c r="E353" s="57" t="s">
        <v>347</v>
      </c>
      <c r="F353" s="57">
        <v>33</v>
      </c>
      <c r="G353" s="57" t="s">
        <v>347</v>
      </c>
    </row>
    <row r="354" spans="1:7">
      <c r="A354" s="57" t="s">
        <v>478</v>
      </c>
      <c r="B354" s="57" t="s">
        <v>447</v>
      </c>
      <c r="C354" s="57" t="s">
        <v>313</v>
      </c>
      <c r="D354" s="57" t="s">
        <v>441</v>
      </c>
      <c r="E354" s="57" t="s">
        <v>347</v>
      </c>
      <c r="F354" s="57">
        <v>33</v>
      </c>
      <c r="G354" s="57" t="s">
        <v>347</v>
      </c>
    </row>
    <row r="356" spans="1:7">
      <c r="A356" s="57" t="s">
        <v>479</v>
      </c>
      <c r="B356" s="57" t="s">
        <v>439</v>
      </c>
      <c r="C356" s="57" t="s">
        <v>440</v>
      </c>
      <c r="D356" s="57" t="s">
        <v>441</v>
      </c>
      <c r="E356" s="57" t="s">
        <v>347</v>
      </c>
      <c r="F356" s="57">
        <v>22</v>
      </c>
      <c r="G356" s="57" t="s">
        <v>347</v>
      </c>
    </row>
    <row r="357" spans="1:7">
      <c r="A357" s="57" t="s">
        <v>479</v>
      </c>
      <c r="B357" s="57" t="s">
        <v>439</v>
      </c>
      <c r="C357" s="57" t="s">
        <v>442</v>
      </c>
      <c r="D357" s="57" t="s">
        <v>441</v>
      </c>
      <c r="E357" s="57" t="s">
        <v>347</v>
      </c>
      <c r="F357" s="57">
        <v>21</v>
      </c>
      <c r="G357" s="57" t="s">
        <v>347</v>
      </c>
    </row>
    <row r="358" spans="1:7">
      <c r="A358" s="57" t="s">
        <v>479</v>
      </c>
      <c r="B358" s="57" t="s">
        <v>443</v>
      </c>
      <c r="C358" s="57" t="s">
        <v>440</v>
      </c>
      <c r="D358" s="57" t="s">
        <v>441</v>
      </c>
      <c r="E358" s="57" t="s">
        <v>347</v>
      </c>
      <c r="F358" s="57">
        <v>14</v>
      </c>
      <c r="G358" s="57" t="s">
        <v>347</v>
      </c>
    </row>
    <row r="359" spans="1:7">
      <c r="A359" s="57" t="s">
        <v>479</v>
      </c>
      <c r="B359" s="57" t="s">
        <v>443</v>
      </c>
      <c r="C359" s="57" t="s">
        <v>442</v>
      </c>
      <c r="D359" s="57" t="s">
        <v>441</v>
      </c>
      <c r="E359" s="57" t="s">
        <v>347</v>
      </c>
      <c r="F359" s="57">
        <v>14</v>
      </c>
      <c r="G359" s="57" t="s">
        <v>347</v>
      </c>
    </row>
    <row r="360" spans="1:7">
      <c r="A360" s="57" t="s">
        <v>479</v>
      </c>
      <c r="B360" s="57" t="s">
        <v>444</v>
      </c>
      <c r="C360" s="57" t="s">
        <v>440</v>
      </c>
      <c r="D360" s="57" t="s">
        <v>441</v>
      </c>
      <c r="E360" s="57" t="s">
        <v>347</v>
      </c>
      <c r="F360" s="57">
        <v>20</v>
      </c>
      <c r="G360" s="57" t="s">
        <v>347</v>
      </c>
    </row>
    <row r="361" spans="1:7">
      <c r="A361" s="57" t="s">
        <v>479</v>
      </c>
      <c r="B361" s="57" t="s">
        <v>444</v>
      </c>
      <c r="C361" s="57" t="s">
        <v>442</v>
      </c>
      <c r="D361" s="57" t="s">
        <v>441</v>
      </c>
      <c r="E361" s="57" t="s">
        <v>347</v>
      </c>
      <c r="F361" s="57">
        <v>21</v>
      </c>
      <c r="G361" s="57" t="s">
        <v>347</v>
      </c>
    </row>
    <row r="362" spans="1:7">
      <c r="A362" s="57" t="s">
        <v>479</v>
      </c>
      <c r="B362" s="57" t="s">
        <v>444</v>
      </c>
      <c r="C362" s="57" t="s">
        <v>313</v>
      </c>
      <c r="D362" s="57" t="s">
        <v>441</v>
      </c>
      <c r="E362" s="57" t="s">
        <v>347</v>
      </c>
      <c r="F362" s="57">
        <v>21</v>
      </c>
      <c r="G362" s="57" t="s">
        <v>347</v>
      </c>
    </row>
    <row r="363" spans="1:7">
      <c r="A363" s="57" t="s">
        <v>479</v>
      </c>
      <c r="B363" s="57" t="s">
        <v>445</v>
      </c>
      <c r="C363" s="57" t="s">
        <v>440</v>
      </c>
      <c r="D363" s="57" t="s">
        <v>441</v>
      </c>
      <c r="E363" s="57" t="s">
        <v>347</v>
      </c>
      <c r="F363" s="57">
        <v>25</v>
      </c>
      <c r="G363" s="57" t="s">
        <v>347</v>
      </c>
    </row>
    <row r="364" spans="1:7">
      <c r="A364" s="57" t="s">
        <v>479</v>
      </c>
      <c r="B364" s="57" t="s">
        <v>445</v>
      </c>
      <c r="C364" s="57" t="s">
        <v>442</v>
      </c>
      <c r="D364" s="57" t="s">
        <v>441</v>
      </c>
      <c r="E364" s="57" t="s">
        <v>347</v>
      </c>
      <c r="F364" s="57">
        <v>25</v>
      </c>
      <c r="G364" s="57" t="s">
        <v>347</v>
      </c>
    </row>
    <row r="365" spans="1:7">
      <c r="A365" s="57" t="s">
        <v>479</v>
      </c>
      <c r="B365" s="57" t="s">
        <v>446</v>
      </c>
      <c r="C365" s="57" t="s">
        <v>440</v>
      </c>
      <c r="D365" s="57" t="s">
        <v>441</v>
      </c>
      <c r="E365" s="57" t="s">
        <v>347</v>
      </c>
      <c r="F365" s="57">
        <v>21</v>
      </c>
      <c r="G365" s="57" t="s">
        <v>347</v>
      </c>
    </row>
    <row r="366" spans="1:7">
      <c r="A366" s="57" t="s">
        <v>479</v>
      </c>
      <c r="B366" s="57" t="s">
        <v>446</v>
      </c>
      <c r="C366" s="57" t="s">
        <v>442</v>
      </c>
      <c r="D366" s="57" t="s">
        <v>441</v>
      </c>
      <c r="E366" s="57" t="s">
        <v>347</v>
      </c>
      <c r="F366" s="57">
        <v>23</v>
      </c>
      <c r="G366" s="57" t="s">
        <v>347</v>
      </c>
    </row>
    <row r="367" spans="1:7">
      <c r="A367" s="57" t="s">
        <v>479</v>
      </c>
      <c r="B367" s="57" t="s">
        <v>447</v>
      </c>
      <c r="C367" s="57" t="s">
        <v>440</v>
      </c>
      <c r="D367" s="57" t="s">
        <v>441</v>
      </c>
      <c r="E367" s="57" t="s">
        <v>347</v>
      </c>
      <c r="F367" s="57">
        <v>17</v>
      </c>
      <c r="G367" s="57" t="s">
        <v>347</v>
      </c>
    </row>
    <row r="368" spans="1:7">
      <c r="A368" s="57" t="s">
        <v>479</v>
      </c>
      <c r="B368" s="57" t="s">
        <v>447</v>
      </c>
      <c r="C368" s="57" t="s">
        <v>442</v>
      </c>
      <c r="D368" s="57" t="s">
        <v>441</v>
      </c>
      <c r="E368" s="57" t="s">
        <v>347</v>
      </c>
      <c r="F368" s="57">
        <v>17</v>
      </c>
      <c r="G368" s="57" t="s">
        <v>347</v>
      </c>
    </row>
    <row r="369" spans="1:7">
      <c r="A369" s="57" t="s">
        <v>479</v>
      </c>
      <c r="B369" s="57" t="s">
        <v>447</v>
      </c>
      <c r="C369" s="57" t="s">
        <v>313</v>
      </c>
      <c r="D369" s="57" t="s">
        <v>441</v>
      </c>
      <c r="E369" s="57" t="s">
        <v>347</v>
      </c>
      <c r="F369" s="57">
        <v>17</v>
      </c>
      <c r="G369" s="57" t="s">
        <v>347</v>
      </c>
    </row>
    <row r="371" spans="1:7">
      <c r="A371" s="57" t="s">
        <v>480</v>
      </c>
      <c r="B371" s="57" t="s">
        <v>439</v>
      </c>
      <c r="C371" s="57" t="s">
        <v>440</v>
      </c>
      <c r="D371" s="57" t="s">
        <v>441</v>
      </c>
      <c r="E371" s="57">
        <v>13</v>
      </c>
      <c r="F371" s="57">
        <v>20</v>
      </c>
      <c r="G371" s="58">
        <v>0.65</v>
      </c>
    </row>
    <row r="372" spans="1:7">
      <c r="A372" s="57" t="s">
        <v>480</v>
      </c>
      <c r="B372" s="57" t="s">
        <v>439</v>
      </c>
      <c r="C372" s="57" t="s">
        <v>442</v>
      </c>
      <c r="D372" s="57" t="s">
        <v>441</v>
      </c>
      <c r="E372" s="57">
        <v>15</v>
      </c>
      <c r="F372" s="57">
        <v>20</v>
      </c>
      <c r="G372" s="58">
        <v>0.75</v>
      </c>
    </row>
    <row r="373" spans="1:7">
      <c r="A373" s="57" t="s">
        <v>480</v>
      </c>
      <c r="B373" s="57" t="s">
        <v>443</v>
      </c>
      <c r="C373" s="57" t="s">
        <v>440</v>
      </c>
      <c r="D373" s="57" t="s">
        <v>441</v>
      </c>
      <c r="E373" s="57" t="s">
        <v>347</v>
      </c>
      <c r="F373" s="57">
        <v>12</v>
      </c>
      <c r="G373" s="57" t="s">
        <v>347</v>
      </c>
    </row>
    <row r="374" spans="1:7">
      <c r="A374" s="57" t="s">
        <v>480</v>
      </c>
      <c r="B374" s="57" t="s">
        <v>443</v>
      </c>
      <c r="C374" s="57" t="s">
        <v>442</v>
      </c>
      <c r="D374" s="57" t="s">
        <v>441</v>
      </c>
      <c r="E374" s="57" t="s">
        <v>347</v>
      </c>
      <c r="F374" s="57">
        <v>12</v>
      </c>
      <c r="G374" s="57" t="s">
        <v>347</v>
      </c>
    </row>
    <row r="375" spans="1:7">
      <c r="A375" s="57" t="s">
        <v>480</v>
      </c>
      <c r="B375" s="57" t="s">
        <v>444</v>
      </c>
      <c r="C375" s="57" t="s">
        <v>440</v>
      </c>
      <c r="D375" s="57" t="s">
        <v>441</v>
      </c>
      <c r="E375" s="57">
        <v>15</v>
      </c>
      <c r="F375" s="57">
        <v>17</v>
      </c>
      <c r="G375" s="58">
        <v>0.88200000000000001</v>
      </c>
    </row>
    <row r="376" spans="1:7">
      <c r="A376" s="57" t="s">
        <v>480</v>
      </c>
      <c r="B376" s="57" t="s">
        <v>444</v>
      </c>
      <c r="C376" s="57" t="s">
        <v>442</v>
      </c>
      <c r="D376" s="57" t="s">
        <v>441</v>
      </c>
      <c r="E376" s="57" t="s">
        <v>347</v>
      </c>
      <c r="F376" s="57">
        <v>17</v>
      </c>
      <c r="G376" s="57" t="s">
        <v>347</v>
      </c>
    </row>
    <row r="377" spans="1:7">
      <c r="A377" s="57" t="s">
        <v>480</v>
      </c>
      <c r="B377" s="57" t="s">
        <v>444</v>
      </c>
      <c r="C377" s="57" t="s">
        <v>313</v>
      </c>
      <c r="D377" s="57" t="s">
        <v>441</v>
      </c>
      <c r="E377" s="57">
        <v>10</v>
      </c>
      <c r="F377" s="57">
        <v>17</v>
      </c>
      <c r="G377" s="58">
        <v>0.58799999999999997</v>
      </c>
    </row>
    <row r="378" spans="1:7">
      <c r="G378" s="58"/>
    </row>
    <row r="379" spans="1:7">
      <c r="A379" s="57" t="s">
        <v>481</v>
      </c>
      <c r="B379" s="57" t="s">
        <v>439</v>
      </c>
      <c r="C379" s="57" t="s">
        <v>440</v>
      </c>
      <c r="D379" s="57" t="s">
        <v>441</v>
      </c>
      <c r="E379" s="57">
        <v>14</v>
      </c>
      <c r="F379" s="57">
        <v>41</v>
      </c>
      <c r="G379" s="58">
        <v>0.34100000000000003</v>
      </c>
    </row>
    <row r="380" spans="1:7">
      <c r="A380" s="57" t="s">
        <v>481</v>
      </c>
      <c r="B380" s="57" t="s">
        <v>439</v>
      </c>
      <c r="C380" s="57" t="s">
        <v>442</v>
      </c>
      <c r="D380" s="57" t="s">
        <v>441</v>
      </c>
      <c r="E380" s="57">
        <v>12</v>
      </c>
      <c r="F380" s="57">
        <v>41</v>
      </c>
      <c r="G380" s="58">
        <v>0.29299999999999998</v>
      </c>
    </row>
    <row r="381" spans="1:7">
      <c r="A381" s="57" t="s">
        <v>481</v>
      </c>
      <c r="B381" s="57" t="s">
        <v>443</v>
      </c>
      <c r="C381" s="57" t="s">
        <v>440</v>
      </c>
      <c r="D381" s="57" t="s">
        <v>441</v>
      </c>
      <c r="E381" s="57" t="s">
        <v>347</v>
      </c>
      <c r="F381" s="57">
        <v>18</v>
      </c>
      <c r="G381" s="57" t="s">
        <v>347</v>
      </c>
    </row>
    <row r="382" spans="1:7">
      <c r="A382" s="57" t="s">
        <v>481</v>
      </c>
      <c r="B382" s="57" t="s">
        <v>443</v>
      </c>
      <c r="C382" s="57" t="s">
        <v>442</v>
      </c>
      <c r="D382" s="57" t="s">
        <v>441</v>
      </c>
      <c r="E382" s="57" t="s">
        <v>347</v>
      </c>
      <c r="F382" s="57">
        <v>18</v>
      </c>
      <c r="G382" s="57" t="s">
        <v>347</v>
      </c>
    </row>
    <row r="383" spans="1:7">
      <c r="A383" s="57" t="s">
        <v>481</v>
      </c>
      <c r="B383" s="57" t="s">
        <v>444</v>
      </c>
      <c r="C383" s="57" t="s">
        <v>440</v>
      </c>
      <c r="D383" s="57" t="s">
        <v>441</v>
      </c>
      <c r="E383" s="57" t="s">
        <v>347</v>
      </c>
      <c r="F383" s="57">
        <v>19</v>
      </c>
      <c r="G383" s="57" t="s">
        <v>347</v>
      </c>
    </row>
    <row r="384" spans="1:7">
      <c r="A384" s="57" t="s">
        <v>481</v>
      </c>
      <c r="B384" s="57" t="s">
        <v>444</v>
      </c>
      <c r="C384" s="57" t="s">
        <v>442</v>
      </c>
      <c r="D384" s="57" t="s">
        <v>441</v>
      </c>
      <c r="E384" s="57" t="s">
        <v>347</v>
      </c>
      <c r="F384" s="57">
        <v>19</v>
      </c>
      <c r="G384" s="57" t="s">
        <v>347</v>
      </c>
    </row>
    <row r="385" spans="1:7">
      <c r="A385" s="57" t="s">
        <v>481</v>
      </c>
      <c r="B385" s="57" t="s">
        <v>444</v>
      </c>
      <c r="C385" s="57" t="s">
        <v>313</v>
      </c>
      <c r="D385" s="57" t="s">
        <v>441</v>
      </c>
      <c r="E385" s="57" t="s">
        <v>347</v>
      </c>
      <c r="F385" s="57">
        <v>19</v>
      </c>
      <c r="G385" s="57" t="s">
        <v>347</v>
      </c>
    </row>
    <row r="386" spans="1:7">
      <c r="A386" s="57" t="s">
        <v>481</v>
      </c>
      <c r="B386" s="57" t="s">
        <v>445</v>
      </c>
      <c r="C386" s="57" t="s">
        <v>440</v>
      </c>
      <c r="D386" s="57" t="s">
        <v>441</v>
      </c>
      <c r="E386" s="57" t="s">
        <v>347</v>
      </c>
      <c r="F386" s="57">
        <v>20</v>
      </c>
      <c r="G386" s="57" t="s">
        <v>347</v>
      </c>
    </row>
    <row r="387" spans="1:7">
      <c r="A387" s="57" t="s">
        <v>481</v>
      </c>
      <c r="B387" s="57" t="s">
        <v>445</v>
      </c>
      <c r="C387" s="57" t="s">
        <v>442</v>
      </c>
      <c r="D387" s="57" t="s">
        <v>441</v>
      </c>
      <c r="E387" s="57" t="s">
        <v>347</v>
      </c>
      <c r="F387" s="57">
        <v>20</v>
      </c>
      <c r="G387" s="57" t="s">
        <v>347</v>
      </c>
    </row>
    <row r="388" spans="1:7">
      <c r="A388" s="57" t="s">
        <v>481</v>
      </c>
      <c r="B388" s="57" t="s">
        <v>446</v>
      </c>
      <c r="C388" s="57" t="s">
        <v>440</v>
      </c>
      <c r="D388" s="57" t="s">
        <v>441</v>
      </c>
      <c r="E388" s="57" t="s">
        <v>347</v>
      </c>
      <c r="F388" s="57">
        <v>13</v>
      </c>
      <c r="G388" s="57" t="s">
        <v>347</v>
      </c>
    </row>
    <row r="389" spans="1:7">
      <c r="A389" s="57" t="s">
        <v>481</v>
      </c>
      <c r="B389" s="57" t="s">
        <v>446</v>
      </c>
      <c r="C389" s="57" t="s">
        <v>442</v>
      </c>
      <c r="D389" s="57" t="s">
        <v>441</v>
      </c>
      <c r="E389" s="57" t="s">
        <v>347</v>
      </c>
      <c r="F389" s="57">
        <v>13</v>
      </c>
      <c r="G389" s="57" t="s">
        <v>347</v>
      </c>
    </row>
    <row r="390" spans="1:7">
      <c r="A390" s="57" t="s">
        <v>481</v>
      </c>
      <c r="B390" s="57" t="s">
        <v>447</v>
      </c>
      <c r="C390" s="57" t="s">
        <v>440</v>
      </c>
      <c r="D390" s="57" t="s">
        <v>441</v>
      </c>
      <c r="E390" s="57" t="s">
        <v>347</v>
      </c>
      <c r="F390" s="57" t="s">
        <v>347</v>
      </c>
      <c r="G390" s="57" t="s">
        <v>347</v>
      </c>
    </row>
    <row r="391" spans="1:7">
      <c r="A391" s="57" t="s">
        <v>481</v>
      </c>
      <c r="B391" s="57" t="s">
        <v>447</v>
      </c>
      <c r="C391" s="57" t="s">
        <v>442</v>
      </c>
      <c r="D391" s="57" t="s">
        <v>441</v>
      </c>
      <c r="E391" s="57" t="s">
        <v>347</v>
      </c>
      <c r="F391" s="57" t="s">
        <v>347</v>
      </c>
      <c r="G391" s="57" t="s">
        <v>347</v>
      </c>
    </row>
    <row r="392" spans="1:7">
      <c r="A392" s="57" t="s">
        <v>481</v>
      </c>
      <c r="B392" s="57" t="s">
        <v>447</v>
      </c>
      <c r="C392" s="57" t="s">
        <v>313</v>
      </c>
      <c r="D392" s="57" t="s">
        <v>441</v>
      </c>
      <c r="E392" s="57" t="s">
        <v>347</v>
      </c>
      <c r="F392" s="57" t="s">
        <v>347</v>
      </c>
      <c r="G392" s="57" t="s">
        <v>347</v>
      </c>
    </row>
    <row r="394" spans="1:7">
      <c r="A394" s="57" t="s">
        <v>482</v>
      </c>
      <c r="B394" s="57" t="s">
        <v>439</v>
      </c>
      <c r="C394" s="57" t="s">
        <v>440</v>
      </c>
      <c r="D394" s="57" t="s">
        <v>441</v>
      </c>
      <c r="E394" s="57">
        <v>10</v>
      </c>
      <c r="F394" s="57">
        <v>27</v>
      </c>
      <c r="G394" s="58">
        <v>0.37</v>
      </c>
    </row>
    <row r="395" spans="1:7">
      <c r="A395" s="57" t="s">
        <v>482</v>
      </c>
      <c r="B395" s="57" t="s">
        <v>439</v>
      </c>
      <c r="C395" s="57" t="s">
        <v>442</v>
      </c>
      <c r="D395" s="57" t="s">
        <v>441</v>
      </c>
      <c r="E395" s="57">
        <v>10</v>
      </c>
      <c r="F395" s="57">
        <v>26</v>
      </c>
      <c r="G395" s="58">
        <v>0.38500000000000001</v>
      </c>
    </row>
    <row r="396" spans="1:7">
      <c r="A396" s="57" t="s">
        <v>482</v>
      </c>
      <c r="B396" s="57" t="s">
        <v>443</v>
      </c>
      <c r="C396" s="57" t="s">
        <v>440</v>
      </c>
      <c r="D396" s="57" t="s">
        <v>441</v>
      </c>
      <c r="E396" s="57">
        <v>10</v>
      </c>
      <c r="F396" s="57">
        <v>32</v>
      </c>
      <c r="G396" s="58">
        <v>0.313</v>
      </c>
    </row>
    <row r="397" spans="1:7">
      <c r="A397" s="57" t="s">
        <v>482</v>
      </c>
      <c r="B397" s="57" t="s">
        <v>443</v>
      </c>
      <c r="C397" s="57" t="s">
        <v>442</v>
      </c>
      <c r="D397" s="57" t="s">
        <v>441</v>
      </c>
      <c r="E397" s="57">
        <v>12</v>
      </c>
      <c r="F397" s="57">
        <v>32</v>
      </c>
      <c r="G397" s="58">
        <v>0.375</v>
      </c>
    </row>
    <row r="398" spans="1:7">
      <c r="A398" s="57" t="s">
        <v>482</v>
      </c>
      <c r="B398" s="57" t="s">
        <v>444</v>
      </c>
      <c r="C398" s="57" t="s">
        <v>440</v>
      </c>
      <c r="D398" s="57" t="s">
        <v>441</v>
      </c>
      <c r="E398" s="57" t="s">
        <v>347</v>
      </c>
      <c r="F398" s="57">
        <v>19</v>
      </c>
      <c r="G398" s="57" t="s">
        <v>347</v>
      </c>
    </row>
    <row r="399" spans="1:7">
      <c r="A399" s="57" t="s">
        <v>482</v>
      </c>
      <c r="B399" s="57" t="s">
        <v>444</v>
      </c>
      <c r="C399" s="57" t="s">
        <v>442</v>
      </c>
      <c r="D399" s="57" t="s">
        <v>441</v>
      </c>
      <c r="E399" s="57" t="s">
        <v>347</v>
      </c>
      <c r="F399" s="57">
        <v>19</v>
      </c>
      <c r="G399" s="57" t="s">
        <v>347</v>
      </c>
    </row>
    <row r="400" spans="1:7">
      <c r="A400" s="57" t="s">
        <v>482</v>
      </c>
      <c r="B400" s="57" t="s">
        <v>444</v>
      </c>
      <c r="C400" s="57" t="s">
        <v>313</v>
      </c>
      <c r="D400" s="57" t="s">
        <v>441</v>
      </c>
      <c r="E400" s="57" t="s">
        <v>347</v>
      </c>
      <c r="F400" s="57">
        <v>19</v>
      </c>
      <c r="G400" s="57" t="s">
        <v>347</v>
      </c>
    </row>
    <row r="401" spans="1:7">
      <c r="A401" s="57" t="s">
        <v>482</v>
      </c>
      <c r="B401" s="57" t="s">
        <v>445</v>
      </c>
      <c r="C401" s="57" t="s">
        <v>440</v>
      </c>
      <c r="D401" s="57" t="s">
        <v>441</v>
      </c>
      <c r="E401" s="57" t="s">
        <v>347</v>
      </c>
      <c r="F401" s="57">
        <v>20</v>
      </c>
      <c r="G401" s="57" t="s">
        <v>347</v>
      </c>
    </row>
    <row r="402" spans="1:7">
      <c r="A402" s="57" t="s">
        <v>482</v>
      </c>
      <c r="B402" s="57" t="s">
        <v>445</v>
      </c>
      <c r="C402" s="57" t="s">
        <v>442</v>
      </c>
      <c r="D402" s="57" t="s">
        <v>441</v>
      </c>
      <c r="E402" s="57" t="s">
        <v>347</v>
      </c>
      <c r="F402" s="57">
        <v>20</v>
      </c>
      <c r="G402" s="57" t="s">
        <v>347</v>
      </c>
    </row>
    <row r="403" spans="1:7">
      <c r="A403" s="57" t="s">
        <v>482</v>
      </c>
      <c r="B403" s="57" t="s">
        <v>446</v>
      </c>
      <c r="C403" s="57" t="s">
        <v>440</v>
      </c>
      <c r="D403" s="57" t="s">
        <v>441</v>
      </c>
      <c r="E403" s="57" t="s">
        <v>347</v>
      </c>
      <c r="F403" s="57">
        <v>13</v>
      </c>
      <c r="G403" s="57" t="s">
        <v>347</v>
      </c>
    </row>
    <row r="404" spans="1:7">
      <c r="A404" s="57" t="s">
        <v>482</v>
      </c>
      <c r="B404" s="57" t="s">
        <v>446</v>
      </c>
      <c r="C404" s="57" t="s">
        <v>442</v>
      </c>
      <c r="D404" s="57" t="s">
        <v>441</v>
      </c>
      <c r="E404" s="57" t="s">
        <v>347</v>
      </c>
      <c r="F404" s="57">
        <v>13</v>
      </c>
      <c r="G404" s="57" t="s">
        <v>347</v>
      </c>
    </row>
    <row r="405" spans="1:7">
      <c r="A405" s="57" t="s">
        <v>482</v>
      </c>
      <c r="B405" s="57" t="s">
        <v>447</v>
      </c>
      <c r="C405" s="57" t="s">
        <v>440</v>
      </c>
      <c r="D405" s="57" t="s">
        <v>441</v>
      </c>
      <c r="F405" s="57" t="s">
        <v>347</v>
      </c>
    </row>
    <row r="406" spans="1:7">
      <c r="A406" s="57" t="s">
        <v>482</v>
      </c>
      <c r="B406" s="57" t="s">
        <v>447</v>
      </c>
      <c r="C406" s="57" t="s">
        <v>442</v>
      </c>
      <c r="D406" s="57" t="s">
        <v>441</v>
      </c>
      <c r="F406" s="57" t="s">
        <v>347</v>
      </c>
    </row>
    <row r="407" spans="1:7">
      <c r="A407" s="57" t="s">
        <v>482</v>
      </c>
      <c r="B407" s="57" t="s">
        <v>447</v>
      </c>
      <c r="C407" s="57" t="s">
        <v>313</v>
      </c>
      <c r="D407" s="57" t="s">
        <v>441</v>
      </c>
      <c r="F407" s="57" t="s">
        <v>347</v>
      </c>
    </row>
    <row r="409" spans="1:7">
      <c r="A409" s="57" t="s">
        <v>483</v>
      </c>
      <c r="B409" s="57" t="s">
        <v>439</v>
      </c>
      <c r="C409" s="57" t="s">
        <v>440</v>
      </c>
      <c r="D409" s="57" t="s">
        <v>441</v>
      </c>
      <c r="E409" s="57">
        <v>10</v>
      </c>
      <c r="F409" s="57">
        <v>41</v>
      </c>
      <c r="G409" s="58">
        <v>0.24399999999999999</v>
      </c>
    </row>
    <row r="410" spans="1:7">
      <c r="A410" s="57" t="s">
        <v>483</v>
      </c>
      <c r="B410" s="57" t="s">
        <v>439</v>
      </c>
      <c r="C410" s="57" t="s">
        <v>442</v>
      </c>
      <c r="D410" s="57" t="s">
        <v>441</v>
      </c>
      <c r="E410" s="57" t="s">
        <v>347</v>
      </c>
      <c r="F410" s="57">
        <v>40</v>
      </c>
      <c r="G410" s="57" t="s">
        <v>347</v>
      </c>
    </row>
    <row r="411" spans="1:7">
      <c r="A411" s="57" t="s">
        <v>483</v>
      </c>
      <c r="B411" s="57" t="s">
        <v>443</v>
      </c>
      <c r="C411" s="57" t="s">
        <v>440</v>
      </c>
      <c r="D411" s="57" t="s">
        <v>441</v>
      </c>
      <c r="E411" s="57" t="s">
        <v>347</v>
      </c>
      <c r="F411" s="57">
        <v>33</v>
      </c>
      <c r="G411" s="57" t="s">
        <v>347</v>
      </c>
    </row>
    <row r="412" spans="1:7">
      <c r="A412" s="57" t="s">
        <v>483</v>
      </c>
      <c r="B412" s="57" t="s">
        <v>443</v>
      </c>
      <c r="C412" s="57" t="s">
        <v>442</v>
      </c>
      <c r="D412" s="57" t="s">
        <v>441</v>
      </c>
      <c r="E412" s="57" t="s">
        <v>347</v>
      </c>
      <c r="F412" s="57">
        <v>32</v>
      </c>
      <c r="G412" s="57" t="s">
        <v>347</v>
      </c>
    </row>
    <row r="413" spans="1:7">
      <c r="A413" s="57" t="s">
        <v>483</v>
      </c>
      <c r="B413" s="57" t="s">
        <v>444</v>
      </c>
      <c r="C413" s="57" t="s">
        <v>440</v>
      </c>
      <c r="D413" s="57" t="s">
        <v>441</v>
      </c>
      <c r="E413" s="57">
        <v>12</v>
      </c>
      <c r="F413" s="57">
        <v>24</v>
      </c>
      <c r="G413" s="58">
        <v>0.5</v>
      </c>
    </row>
    <row r="414" spans="1:7">
      <c r="A414" s="57" t="s">
        <v>483</v>
      </c>
      <c r="B414" s="57" t="s">
        <v>444</v>
      </c>
      <c r="C414" s="57" t="s">
        <v>442</v>
      </c>
      <c r="D414" s="57" t="s">
        <v>441</v>
      </c>
      <c r="E414" s="57" t="s">
        <v>347</v>
      </c>
      <c r="F414" s="57">
        <v>24</v>
      </c>
      <c r="G414" s="57" t="s">
        <v>347</v>
      </c>
    </row>
    <row r="415" spans="1:7">
      <c r="A415" s="57" t="s">
        <v>483</v>
      </c>
      <c r="B415" s="57" t="s">
        <v>444</v>
      </c>
      <c r="C415" s="57" t="s">
        <v>313</v>
      </c>
      <c r="D415" s="57" t="s">
        <v>441</v>
      </c>
      <c r="E415" s="57" t="s">
        <v>347</v>
      </c>
      <c r="F415" s="57">
        <v>24</v>
      </c>
      <c r="G415" s="57" t="s">
        <v>347</v>
      </c>
    </row>
    <row r="416" spans="1:7">
      <c r="A416" s="57" t="s">
        <v>483</v>
      </c>
      <c r="B416" s="57" t="s">
        <v>445</v>
      </c>
      <c r="C416" s="57" t="s">
        <v>440</v>
      </c>
      <c r="D416" s="57" t="s">
        <v>441</v>
      </c>
      <c r="E416" s="57" t="s">
        <v>347</v>
      </c>
      <c r="F416" s="57">
        <v>16</v>
      </c>
      <c r="G416" s="57" t="s">
        <v>347</v>
      </c>
    </row>
    <row r="417" spans="1:7">
      <c r="A417" s="57" t="s">
        <v>483</v>
      </c>
      <c r="B417" s="57" t="s">
        <v>445</v>
      </c>
      <c r="C417" s="57" t="s">
        <v>442</v>
      </c>
      <c r="D417" s="57" t="s">
        <v>441</v>
      </c>
      <c r="E417" s="57" t="s">
        <v>347</v>
      </c>
      <c r="F417" s="57">
        <v>16</v>
      </c>
      <c r="G417" s="57" t="s">
        <v>347</v>
      </c>
    </row>
    <row r="418" spans="1:7">
      <c r="A418" s="57" t="s">
        <v>483</v>
      </c>
      <c r="B418" s="57" t="s">
        <v>446</v>
      </c>
      <c r="C418" s="57" t="s">
        <v>440</v>
      </c>
      <c r="D418" s="57" t="s">
        <v>441</v>
      </c>
      <c r="E418" s="57">
        <v>12</v>
      </c>
      <c r="F418" s="57">
        <v>23</v>
      </c>
      <c r="G418" s="58">
        <v>0.52200000000000002</v>
      </c>
    </row>
    <row r="419" spans="1:7">
      <c r="A419" s="57" t="s">
        <v>483</v>
      </c>
      <c r="B419" s="57" t="s">
        <v>446</v>
      </c>
      <c r="C419" s="57" t="s">
        <v>442</v>
      </c>
      <c r="D419" s="57" t="s">
        <v>441</v>
      </c>
      <c r="E419" s="57" t="s">
        <v>347</v>
      </c>
      <c r="F419" s="57">
        <v>23</v>
      </c>
      <c r="G419" s="57" t="s">
        <v>347</v>
      </c>
    </row>
    <row r="420" spans="1:7">
      <c r="A420" s="57" t="s">
        <v>483</v>
      </c>
      <c r="B420" s="57" t="s">
        <v>447</v>
      </c>
      <c r="C420" s="57" t="s">
        <v>440</v>
      </c>
      <c r="D420" s="57" t="s">
        <v>441</v>
      </c>
      <c r="E420" s="57" t="s">
        <v>347</v>
      </c>
      <c r="F420" s="57">
        <v>21</v>
      </c>
      <c r="G420" s="57" t="s">
        <v>347</v>
      </c>
    </row>
    <row r="421" spans="1:7">
      <c r="A421" s="57" t="s">
        <v>483</v>
      </c>
      <c r="B421" s="57" t="s">
        <v>447</v>
      </c>
      <c r="C421" s="57" t="s">
        <v>442</v>
      </c>
      <c r="D421" s="57" t="s">
        <v>441</v>
      </c>
      <c r="E421" s="57" t="s">
        <v>347</v>
      </c>
      <c r="F421" s="57">
        <v>21</v>
      </c>
      <c r="G421" s="57" t="s">
        <v>347</v>
      </c>
    </row>
    <row r="422" spans="1:7">
      <c r="A422" s="57" t="s">
        <v>483</v>
      </c>
      <c r="B422" s="57" t="s">
        <v>447</v>
      </c>
      <c r="C422" s="57" t="s">
        <v>313</v>
      </c>
      <c r="D422" s="57" t="s">
        <v>441</v>
      </c>
      <c r="E422" s="57" t="s">
        <v>347</v>
      </c>
      <c r="F422" s="57">
        <v>21</v>
      </c>
      <c r="G422" s="57" t="s">
        <v>347</v>
      </c>
    </row>
    <row r="424" spans="1:7">
      <c r="A424" s="57" t="s">
        <v>484</v>
      </c>
      <c r="B424" s="57" t="s">
        <v>439</v>
      </c>
      <c r="C424" s="57" t="s">
        <v>440</v>
      </c>
      <c r="D424" s="57" t="s">
        <v>441</v>
      </c>
      <c r="E424" s="57" t="s">
        <v>347</v>
      </c>
      <c r="F424" s="57">
        <v>20</v>
      </c>
      <c r="G424" s="57" t="s">
        <v>347</v>
      </c>
    </row>
    <row r="425" spans="1:7">
      <c r="A425" s="57" t="s">
        <v>484</v>
      </c>
      <c r="B425" s="57" t="s">
        <v>439</v>
      </c>
      <c r="C425" s="57" t="s">
        <v>442</v>
      </c>
      <c r="D425" s="57" t="s">
        <v>441</v>
      </c>
      <c r="E425" s="57" t="s">
        <v>347</v>
      </c>
      <c r="F425" s="57">
        <v>20</v>
      </c>
      <c r="G425" s="57" t="s">
        <v>347</v>
      </c>
    </row>
    <row r="426" spans="1:7">
      <c r="A426" s="57" t="s">
        <v>484</v>
      </c>
      <c r="B426" s="57" t="s">
        <v>443</v>
      </c>
      <c r="C426" s="57" t="s">
        <v>440</v>
      </c>
      <c r="D426" s="57" t="s">
        <v>441</v>
      </c>
      <c r="E426" s="57" t="s">
        <v>347</v>
      </c>
      <c r="F426" s="57">
        <v>24</v>
      </c>
      <c r="G426" s="57" t="s">
        <v>347</v>
      </c>
    </row>
    <row r="427" spans="1:7">
      <c r="A427" s="57" t="s">
        <v>484</v>
      </c>
      <c r="B427" s="57" t="s">
        <v>443</v>
      </c>
      <c r="C427" s="57" t="s">
        <v>442</v>
      </c>
      <c r="D427" s="57" t="s">
        <v>441</v>
      </c>
      <c r="E427" s="57" t="s">
        <v>347</v>
      </c>
      <c r="F427" s="57">
        <v>24</v>
      </c>
      <c r="G427" s="57" t="s">
        <v>347</v>
      </c>
    </row>
    <row r="428" spans="1:7">
      <c r="A428" s="57" t="s">
        <v>484</v>
      </c>
      <c r="B428" s="57" t="s">
        <v>444</v>
      </c>
      <c r="C428" s="57" t="s">
        <v>440</v>
      </c>
      <c r="D428" s="57" t="s">
        <v>441</v>
      </c>
      <c r="E428" s="57" t="s">
        <v>347</v>
      </c>
      <c r="F428" s="57">
        <v>21</v>
      </c>
      <c r="G428" s="57" t="s">
        <v>347</v>
      </c>
    </row>
    <row r="429" spans="1:7">
      <c r="A429" s="57" t="s">
        <v>484</v>
      </c>
      <c r="B429" s="57" t="s">
        <v>444</v>
      </c>
      <c r="C429" s="57" t="s">
        <v>442</v>
      </c>
      <c r="D429" s="57" t="s">
        <v>441</v>
      </c>
      <c r="E429" s="57" t="s">
        <v>347</v>
      </c>
      <c r="F429" s="57">
        <v>21</v>
      </c>
      <c r="G429" s="57" t="s">
        <v>347</v>
      </c>
    </row>
    <row r="430" spans="1:7">
      <c r="A430" s="57" t="s">
        <v>484</v>
      </c>
      <c r="B430" s="57" t="s">
        <v>444</v>
      </c>
      <c r="C430" s="57" t="s">
        <v>313</v>
      </c>
      <c r="D430" s="57" t="s">
        <v>441</v>
      </c>
      <c r="E430" s="57" t="s">
        <v>347</v>
      </c>
      <c r="F430" s="57">
        <v>21</v>
      </c>
      <c r="G430" s="57" t="s">
        <v>347</v>
      </c>
    </row>
    <row r="431" spans="1:7">
      <c r="A431" s="57" t="s">
        <v>484</v>
      </c>
      <c r="B431" s="57" t="s">
        <v>445</v>
      </c>
      <c r="C431" s="57" t="s">
        <v>440</v>
      </c>
      <c r="D431" s="57" t="s">
        <v>441</v>
      </c>
      <c r="E431" s="57" t="s">
        <v>347</v>
      </c>
      <c r="F431" s="57">
        <v>27</v>
      </c>
      <c r="G431" s="57" t="s">
        <v>347</v>
      </c>
    </row>
    <row r="432" spans="1:7">
      <c r="A432" s="57" t="s">
        <v>484</v>
      </c>
      <c r="B432" s="57" t="s">
        <v>445</v>
      </c>
      <c r="C432" s="57" t="s">
        <v>442</v>
      </c>
      <c r="D432" s="57" t="s">
        <v>441</v>
      </c>
      <c r="E432" s="57" t="s">
        <v>347</v>
      </c>
      <c r="F432" s="57">
        <v>27</v>
      </c>
      <c r="G432" s="57" t="s">
        <v>347</v>
      </c>
    </row>
    <row r="433" spans="1:7">
      <c r="A433" s="57" t="s">
        <v>484</v>
      </c>
      <c r="B433" s="57" t="s">
        <v>446</v>
      </c>
      <c r="C433" s="57" t="s">
        <v>440</v>
      </c>
      <c r="D433" s="57" t="s">
        <v>441</v>
      </c>
      <c r="E433" s="57">
        <v>11</v>
      </c>
      <c r="F433" s="57">
        <v>25</v>
      </c>
      <c r="G433" s="58">
        <v>0.44</v>
      </c>
    </row>
    <row r="434" spans="1:7">
      <c r="A434" s="57" t="s">
        <v>484</v>
      </c>
      <c r="B434" s="57" t="s">
        <v>446</v>
      </c>
      <c r="C434" s="57" t="s">
        <v>442</v>
      </c>
      <c r="D434" s="57" t="s">
        <v>441</v>
      </c>
      <c r="E434" s="57" t="s">
        <v>347</v>
      </c>
      <c r="F434" s="57">
        <v>25</v>
      </c>
      <c r="G434" s="57" t="s">
        <v>347</v>
      </c>
    </row>
    <row r="435" spans="1:7">
      <c r="A435" s="57" t="s">
        <v>484</v>
      </c>
      <c r="B435" s="57" t="s">
        <v>447</v>
      </c>
      <c r="C435" s="57" t="s">
        <v>440</v>
      </c>
      <c r="D435" s="57" t="s">
        <v>441</v>
      </c>
      <c r="E435" s="57" t="s">
        <v>347</v>
      </c>
      <c r="F435" s="57">
        <v>19</v>
      </c>
      <c r="G435" s="57" t="s">
        <v>347</v>
      </c>
    </row>
    <row r="436" spans="1:7">
      <c r="A436" s="57" t="s">
        <v>484</v>
      </c>
      <c r="B436" s="57" t="s">
        <v>447</v>
      </c>
      <c r="C436" s="57" t="s">
        <v>442</v>
      </c>
      <c r="D436" s="57" t="s">
        <v>441</v>
      </c>
      <c r="E436" s="57" t="s">
        <v>347</v>
      </c>
      <c r="F436" s="57">
        <v>19</v>
      </c>
      <c r="G436" s="57" t="s">
        <v>347</v>
      </c>
    </row>
    <row r="437" spans="1:7">
      <c r="A437" s="57" t="s">
        <v>484</v>
      </c>
      <c r="B437" s="57" t="s">
        <v>447</v>
      </c>
      <c r="C437" s="57" t="s">
        <v>313</v>
      </c>
      <c r="D437" s="57" t="s">
        <v>441</v>
      </c>
      <c r="E437" s="57" t="s">
        <v>347</v>
      </c>
      <c r="F437" s="57">
        <v>19</v>
      </c>
      <c r="G437" s="57" t="s">
        <v>347</v>
      </c>
    </row>
    <row r="439" spans="1:7">
      <c r="A439" s="57" t="s">
        <v>485</v>
      </c>
      <c r="B439" s="57" t="s">
        <v>439</v>
      </c>
      <c r="C439" s="57" t="s">
        <v>440</v>
      </c>
      <c r="D439" s="57" t="s">
        <v>441</v>
      </c>
      <c r="E439" s="57" t="s">
        <v>347</v>
      </c>
      <c r="F439" s="57">
        <v>16</v>
      </c>
      <c r="G439" s="57" t="s">
        <v>347</v>
      </c>
    </row>
    <row r="440" spans="1:7">
      <c r="A440" s="57" t="s">
        <v>485</v>
      </c>
      <c r="B440" s="57" t="s">
        <v>439</v>
      </c>
      <c r="C440" s="57" t="s">
        <v>442</v>
      </c>
      <c r="D440" s="57" t="s">
        <v>441</v>
      </c>
      <c r="E440" s="57" t="s">
        <v>347</v>
      </c>
      <c r="F440" s="57">
        <v>16</v>
      </c>
      <c r="G440" s="57" t="s">
        <v>347</v>
      </c>
    </row>
    <row r="441" spans="1:7">
      <c r="A441" s="57" t="s">
        <v>485</v>
      </c>
      <c r="B441" s="57" t="s">
        <v>443</v>
      </c>
      <c r="C441" s="57" t="s">
        <v>440</v>
      </c>
      <c r="D441" s="57" t="s">
        <v>441</v>
      </c>
      <c r="E441" s="57" t="s">
        <v>347</v>
      </c>
      <c r="F441" s="57">
        <v>18</v>
      </c>
      <c r="G441" s="57" t="s">
        <v>347</v>
      </c>
    </row>
    <row r="442" spans="1:7">
      <c r="A442" s="57" t="s">
        <v>485</v>
      </c>
      <c r="B442" s="57" t="s">
        <v>443</v>
      </c>
      <c r="C442" s="57" t="s">
        <v>442</v>
      </c>
      <c r="D442" s="57" t="s">
        <v>441</v>
      </c>
      <c r="E442" s="57" t="s">
        <v>347</v>
      </c>
      <c r="F442" s="57">
        <v>18</v>
      </c>
      <c r="G442" s="57" t="s">
        <v>347</v>
      </c>
    </row>
    <row r="443" spans="1:7">
      <c r="A443" s="57" t="s">
        <v>485</v>
      </c>
      <c r="B443" s="57" t="s">
        <v>444</v>
      </c>
      <c r="C443" s="57" t="s">
        <v>440</v>
      </c>
      <c r="D443" s="57" t="s">
        <v>441</v>
      </c>
      <c r="E443" s="57" t="s">
        <v>347</v>
      </c>
      <c r="F443" s="57" t="s">
        <v>347</v>
      </c>
      <c r="G443" s="57" t="s">
        <v>347</v>
      </c>
    </row>
    <row r="444" spans="1:7">
      <c r="A444" s="57" t="s">
        <v>485</v>
      </c>
      <c r="B444" s="57" t="s">
        <v>444</v>
      </c>
      <c r="C444" s="57" t="s">
        <v>442</v>
      </c>
      <c r="D444" s="57" t="s">
        <v>441</v>
      </c>
      <c r="E444" s="57" t="s">
        <v>347</v>
      </c>
      <c r="F444" s="57" t="s">
        <v>347</v>
      </c>
      <c r="G444" s="57" t="s">
        <v>347</v>
      </c>
    </row>
    <row r="445" spans="1:7">
      <c r="A445" s="57" t="s">
        <v>485</v>
      </c>
      <c r="B445" s="57" t="s">
        <v>444</v>
      </c>
      <c r="C445" s="57" t="s">
        <v>313</v>
      </c>
      <c r="D445" s="57" t="s">
        <v>441</v>
      </c>
      <c r="E445" s="57" t="s">
        <v>347</v>
      </c>
      <c r="F445" s="57" t="s">
        <v>347</v>
      </c>
      <c r="G445" s="57" t="s">
        <v>347</v>
      </c>
    </row>
    <row r="446" spans="1:7">
      <c r="A446" s="57" t="s">
        <v>485</v>
      </c>
      <c r="B446" s="57" t="s">
        <v>445</v>
      </c>
      <c r="C446" s="57" t="s">
        <v>440</v>
      </c>
      <c r="D446" s="57" t="s">
        <v>441</v>
      </c>
      <c r="E446" s="57" t="s">
        <v>347</v>
      </c>
      <c r="F446" s="57">
        <v>16</v>
      </c>
      <c r="G446" s="57" t="s">
        <v>347</v>
      </c>
    </row>
    <row r="447" spans="1:7">
      <c r="A447" s="57" t="s">
        <v>485</v>
      </c>
      <c r="B447" s="57" t="s">
        <v>445</v>
      </c>
      <c r="C447" s="57" t="s">
        <v>442</v>
      </c>
      <c r="D447" s="57" t="s">
        <v>441</v>
      </c>
      <c r="E447" s="57" t="s">
        <v>347</v>
      </c>
      <c r="F447" s="57">
        <v>15</v>
      </c>
      <c r="G447" s="57" t="s">
        <v>347</v>
      </c>
    </row>
    <row r="448" spans="1:7">
      <c r="A448" s="57" t="s">
        <v>485</v>
      </c>
      <c r="B448" s="57" t="s">
        <v>446</v>
      </c>
      <c r="C448" s="57" t="s">
        <v>440</v>
      </c>
      <c r="D448" s="57" t="s">
        <v>441</v>
      </c>
      <c r="E448" s="57" t="s">
        <v>347</v>
      </c>
      <c r="F448" s="57">
        <v>18</v>
      </c>
      <c r="G448" s="57" t="s">
        <v>347</v>
      </c>
    </row>
    <row r="449" spans="1:7">
      <c r="A449" s="57" t="s">
        <v>485</v>
      </c>
      <c r="B449" s="57" t="s">
        <v>446</v>
      </c>
      <c r="C449" s="57" t="s">
        <v>442</v>
      </c>
      <c r="D449" s="57" t="s">
        <v>441</v>
      </c>
      <c r="E449" s="57" t="s">
        <v>347</v>
      </c>
      <c r="F449" s="57">
        <v>17</v>
      </c>
      <c r="G449" s="57" t="s">
        <v>347</v>
      </c>
    </row>
    <row r="450" spans="1:7">
      <c r="A450" s="57" t="s">
        <v>485</v>
      </c>
      <c r="B450" s="57" t="s">
        <v>447</v>
      </c>
      <c r="C450" s="57" t="s">
        <v>440</v>
      </c>
      <c r="D450" s="57" t="s">
        <v>441</v>
      </c>
      <c r="E450" s="57" t="s">
        <v>347</v>
      </c>
      <c r="F450" s="57" t="s">
        <v>347</v>
      </c>
      <c r="G450" s="57" t="s">
        <v>347</v>
      </c>
    </row>
    <row r="451" spans="1:7">
      <c r="A451" s="57" t="s">
        <v>485</v>
      </c>
      <c r="B451" s="57" t="s">
        <v>447</v>
      </c>
      <c r="C451" s="57" t="s">
        <v>442</v>
      </c>
      <c r="D451" s="57" t="s">
        <v>441</v>
      </c>
      <c r="E451" s="57" t="s">
        <v>347</v>
      </c>
      <c r="F451" s="57" t="s">
        <v>347</v>
      </c>
      <c r="G451" s="57" t="s">
        <v>347</v>
      </c>
    </row>
    <row r="452" spans="1:7">
      <c r="A452" s="57" t="s">
        <v>485</v>
      </c>
      <c r="B452" s="57" t="s">
        <v>447</v>
      </c>
      <c r="C452" s="57" t="s">
        <v>313</v>
      </c>
      <c r="D452" s="57" t="s">
        <v>441</v>
      </c>
      <c r="E452" s="57" t="s">
        <v>347</v>
      </c>
      <c r="F452" s="57" t="s">
        <v>347</v>
      </c>
      <c r="G452" s="57" t="s">
        <v>347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63E78-799B-4886-A592-54169B870FEC}">
  <dimension ref="A1:G407"/>
  <sheetViews>
    <sheetView workbookViewId="0">
      <selection activeCell="D1" sqref="D1"/>
    </sheetView>
  </sheetViews>
  <sheetFormatPr defaultColWidth="8.7109375" defaultRowHeight="14.45"/>
  <cols>
    <col min="1" max="1" width="71.140625" style="57" bestFit="1" customWidth="1"/>
    <col min="2" max="2" width="13.140625" style="57" bestFit="1" customWidth="1"/>
    <col min="3" max="3" width="22.5703125" style="57" bestFit="1" customWidth="1"/>
    <col min="4" max="4" width="19.7109375" style="57" bestFit="1" customWidth="1"/>
    <col min="5" max="5" width="17.140625" style="57" bestFit="1" customWidth="1"/>
    <col min="6" max="6" width="14.140625" style="57" bestFit="1" customWidth="1"/>
    <col min="7" max="7" width="15.5703125" style="57" bestFit="1" customWidth="1"/>
    <col min="8" max="16384" width="8.7109375" style="57"/>
  </cols>
  <sheetData>
    <row r="1" spans="1:7">
      <c r="A1" s="59" t="s">
        <v>431</v>
      </c>
      <c r="B1" s="59" t="s">
        <v>432</v>
      </c>
      <c r="C1" s="59" t="s">
        <v>433</v>
      </c>
      <c r="D1" s="59" t="s">
        <v>434</v>
      </c>
      <c r="E1" s="59" t="s">
        <v>435</v>
      </c>
      <c r="F1" s="59" t="s">
        <v>436</v>
      </c>
      <c r="G1" s="59" t="s">
        <v>437</v>
      </c>
    </row>
    <row r="2" spans="1:7">
      <c r="A2" s="57" t="s">
        <v>438</v>
      </c>
      <c r="B2" s="57" t="s">
        <v>439</v>
      </c>
      <c r="C2" s="57" t="s">
        <v>440</v>
      </c>
      <c r="D2" s="57" t="s">
        <v>486</v>
      </c>
      <c r="E2" s="57" t="s">
        <v>347</v>
      </c>
      <c r="F2" s="57">
        <v>22</v>
      </c>
      <c r="G2" s="57" t="s">
        <v>347</v>
      </c>
    </row>
    <row r="3" spans="1:7">
      <c r="A3" s="57" t="s">
        <v>438</v>
      </c>
      <c r="B3" s="57" t="s">
        <v>439</v>
      </c>
      <c r="C3" s="57" t="s">
        <v>442</v>
      </c>
      <c r="D3" s="57" t="s">
        <v>486</v>
      </c>
      <c r="E3" s="57">
        <v>11</v>
      </c>
      <c r="F3" s="57">
        <v>22</v>
      </c>
      <c r="G3" s="58">
        <v>0.5</v>
      </c>
    </row>
    <row r="4" spans="1:7">
      <c r="A4" s="57" t="s">
        <v>438</v>
      </c>
      <c r="B4" s="57" t="s">
        <v>443</v>
      </c>
      <c r="C4" s="57" t="s">
        <v>440</v>
      </c>
      <c r="D4" s="57" t="s">
        <v>486</v>
      </c>
      <c r="E4" s="57" t="s">
        <v>347</v>
      </c>
      <c r="F4" s="57">
        <v>23</v>
      </c>
      <c r="G4" s="57" t="s">
        <v>347</v>
      </c>
    </row>
    <row r="5" spans="1:7">
      <c r="A5" s="57" t="s">
        <v>438</v>
      </c>
      <c r="B5" s="57" t="s">
        <v>443</v>
      </c>
      <c r="C5" s="57" t="s">
        <v>442</v>
      </c>
      <c r="D5" s="57" t="s">
        <v>486</v>
      </c>
      <c r="E5" s="57" t="s">
        <v>347</v>
      </c>
      <c r="F5" s="57">
        <v>23</v>
      </c>
      <c r="G5" s="57" t="s">
        <v>347</v>
      </c>
    </row>
    <row r="6" spans="1:7">
      <c r="A6" s="57" t="s">
        <v>438</v>
      </c>
      <c r="B6" s="57" t="s">
        <v>444</v>
      </c>
      <c r="C6" s="57" t="s">
        <v>440</v>
      </c>
      <c r="D6" s="57" t="s">
        <v>486</v>
      </c>
      <c r="E6" s="57" t="s">
        <v>347</v>
      </c>
      <c r="F6" s="57">
        <v>11</v>
      </c>
      <c r="G6" s="57" t="s">
        <v>347</v>
      </c>
    </row>
    <row r="7" spans="1:7">
      <c r="A7" s="57" t="s">
        <v>438</v>
      </c>
      <c r="B7" s="57" t="s">
        <v>444</v>
      </c>
      <c r="C7" s="57" t="s">
        <v>442</v>
      </c>
      <c r="D7" s="57" t="s">
        <v>486</v>
      </c>
      <c r="E7" s="57" t="s">
        <v>347</v>
      </c>
      <c r="F7" s="57">
        <v>11</v>
      </c>
      <c r="G7" s="57" t="s">
        <v>347</v>
      </c>
    </row>
    <row r="8" spans="1:7">
      <c r="A8" s="57" t="s">
        <v>438</v>
      </c>
      <c r="B8" s="57" t="s">
        <v>444</v>
      </c>
      <c r="C8" s="57" t="s">
        <v>313</v>
      </c>
      <c r="D8" s="57" t="s">
        <v>486</v>
      </c>
      <c r="E8" s="57" t="s">
        <v>347</v>
      </c>
      <c r="F8" s="57">
        <v>11</v>
      </c>
      <c r="G8" s="57" t="s">
        <v>347</v>
      </c>
    </row>
    <row r="9" spans="1:7">
      <c r="A9" s="57" t="s">
        <v>438</v>
      </c>
      <c r="B9" s="57" t="s">
        <v>445</v>
      </c>
      <c r="C9" s="57" t="s">
        <v>440</v>
      </c>
      <c r="D9" s="57" t="s">
        <v>486</v>
      </c>
      <c r="E9" s="57" t="s">
        <v>347</v>
      </c>
      <c r="F9" s="57">
        <v>17</v>
      </c>
      <c r="G9" s="57" t="s">
        <v>347</v>
      </c>
    </row>
    <row r="10" spans="1:7">
      <c r="A10" s="57" t="s">
        <v>438</v>
      </c>
      <c r="B10" s="57" t="s">
        <v>445</v>
      </c>
      <c r="C10" s="57" t="s">
        <v>442</v>
      </c>
      <c r="D10" s="57" t="s">
        <v>486</v>
      </c>
      <c r="E10" s="57" t="s">
        <v>347</v>
      </c>
      <c r="F10" s="57">
        <v>17</v>
      </c>
      <c r="G10" s="57" t="s">
        <v>347</v>
      </c>
    </row>
    <row r="11" spans="1:7">
      <c r="A11" s="57" t="s">
        <v>438</v>
      </c>
      <c r="B11" s="57" t="s">
        <v>446</v>
      </c>
      <c r="C11" s="57" t="s">
        <v>440</v>
      </c>
      <c r="D11" s="57" t="s">
        <v>486</v>
      </c>
      <c r="E11" s="57" t="s">
        <v>347</v>
      </c>
      <c r="F11" s="57">
        <v>12</v>
      </c>
      <c r="G11" s="57" t="s">
        <v>347</v>
      </c>
    </row>
    <row r="12" spans="1:7">
      <c r="A12" s="57" t="s">
        <v>438</v>
      </c>
      <c r="B12" s="57" t="s">
        <v>446</v>
      </c>
      <c r="C12" s="57" t="s">
        <v>442</v>
      </c>
      <c r="D12" s="57" t="s">
        <v>486</v>
      </c>
      <c r="E12" s="57" t="s">
        <v>347</v>
      </c>
      <c r="F12" s="57">
        <v>12</v>
      </c>
      <c r="G12" s="57" t="s">
        <v>347</v>
      </c>
    </row>
    <row r="13" spans="1:7">
      <c r="A13" s="57" t="s">
        <v>438</v>
      </c>
      <c r="B13" s="57" t="s">
        <v>447</v>
      </c>
      <c r="C13" s="57" t="s">
        <v>440</v>
      </c>
      <c r="D13" s="57" t="s">
        <v>486</v>
      </c>
      <c r="E13" s="57" t="s">
        <v>347</v>
      </c>
      <c r="F13" s="57">
        <v>14</v>
      </c>
      <c r="G13" s="57" t="s">
        <v>347</v>
      </c>
    </row>
    <row r="14" spans="1:7">
      <c r="A14" s="57" t="s">
        <v>438</v>
      </c>
      <c r="B14" s="57" t="s">
        <v>447</v>
      </c>
      <c r="C14" s="57" t="s">
        <v>442</v>
      </c>
      <c r="D14" s="57" t="s">
        <v>486</v>
      </c>
      <c r="E14" s="57" t="s">
        <v>347</v>
      </c>
      <c r="F14" s="57">
        <v>14</v>
      </c>
      <c r="G14" s="57" t="s">
        <v>347</v>
      </c>
    </row>
    <row r="15" spans="1:7">
      <c r="A15" s="57" t="s">
        <v>438</v>
      </c>
      <c r="B15" s="57" t="s">
        <v>447</v>
      </c>
      <c r="C15" s="57" t="s">
        <v>313</v>
      </c>
      <c r="D15" s="57" t="s">
        <v>486</v>
      </c>
      <c r="E15" s="57" t="s">
        <v>347</v>
      </c>
      <c r="F15" s="57">
        <v>14</v>
      </c>
      <c r="G15" s="57" t="s">
        <v>347</v>
      </c>
    </row>
    <row r="17" spans="1:7">
      <c r="A17" s="57" t="s">
        <v>448</v>
      </c>
      <c r="B17" s="57" t="s">
        <v>439</v>
      </c>
      <c r="C17" s="57" t="s">
        <v>440</v>
      </c>
      <c r="D17" s="57" t="s">
        <v>486</v>
      </c>
      <c r="E17" s="57" t="s">
        <v>347</v>
      </c>
      <c r="F17" s="57">
        <v>21</v>
      </c>
      <c r="G17" s="57" t="s">
        <v>347</v>
      </c>
    </row>
    <row r="18" spans="1:7">
      <c r="A18" s="57" t="s">
        <v>448</v>
      </c>
      <c r="B18" s="57" t="s">
        <v>439</v>
      </c>
      <c r="C18" s="57" t="s">
        <v>442</v>
      </c>
      <c r="D18" s="57" t="s">
        <v>486</v>
      </c>
      <c r="E18" s="57" t="s">
        <v>347</v>
      </c>
      <c r="F18" s="57">
        <v>21</v>
      </c>
      <c r="G18" s="57" t="s">
        <v>347</v>
      </c>
    </row>
    <row r="19" spans="1:7">
      <c r="A19" s="57" t="s">
        <v>448</v>
      </c>
      <c r="B19" s="57" t="s">
        <v>443</v>
      </c>
      <c r="C19" s="57" t="s">
        <v>440</v>
      </c>
      <c r="D19" s="57" t="s">
        <v>486</v>
      </c>
      <c r="E19" s="57" t="s">
        <v>347</v>
      </c>
      <c r="F19" s="57">
        <v>12</v>
      </c>
      <c r="G19" s="57" t="s">
        <v>347</v>
      </c>
    </row>
    <row r="20" spans="1:7">
      <c r="A20" s="57" t="s">
        <v>448</v>
      </c>
      <c r="B20" s="57" t="s">
        <v>443</v>
      </c>
      <c r="C20" s="57" t="s">
        <v>442</v>
      </c>
      <c r="D20" s="57" t="s">
        <v>486</v>
      </c>
      <c r="E20" s="57" t="s">
        <v>347</v>
      </c>
      <c r="F20" s="57">
        <v>12</v>
      </c>
      <c r="G20" s="57" t="s">
        <v>347</v>
      </c>
    </row>
    <row r="21" spans="1:7">
      <c r="A21" s="57" t="s">
        <v>448</v>
      </c>
      <c r="B21" s="57" t="s">
        <v>444</v>
      </c>
      <c r="C21" s="57" t="s">
        <v>440</v>
      </c>
      <c r="D21" s="57" t="s">
        <v>486</v>
      </c>
      <c r="E21" s="57" t="s">
        <v>347</v>
      </c>
      <c r="F21" s="57">
        <v>10</v>
      </c>
      <c r="G21" s="57" t="s">
        <v>347</v>
      </c>
    </row>
    <row r="22" spans="1:7">
      <c r="A22" s="57" t="s">
        <v>448</v>
      </c>
      <c r="B22" s="57" t="s">
        <v>444</v>
      </c>
      <c r="C22" s="57" t="s">
        <v>442</v>
      </c>
      <c r="D22" s="57" t="s">
        <v>486</v>
      </c>
      <c r="E22" s="57" t="s">
        <v>347</v>
      </c>
      <c r="F22" s="57">
        <v>10</v>
      </c>
      <c r="G22" s="57" t="s">
        <v>347</v>
      </c>
    </row>
    <row r="23" spans="1:7">
      <c r="A23" s="57" t="s">
        <v>448</v>
      </c>
      <c r="B23" s="57" t="s">
        <v>444</v>
      </c>
      <c r="C23" s="57" t="s">
        <v>313</v>
      </c>
      <c r="D23" s="57" t="s">
        <v>486</v>
      </c>
      <c r="E23" s="57" t="s">
        <v>347</v>
      </c>
      <c r="F23" s="57">
        <v>10</v>
      </c>
      <c r="G23" s="57" t="s">
        <v>347</v>
      </c>
    </row>
    <row r="25" spans="1:7">
      <c r="A25" s="57" t="s">
        <v>449</v>
      </c>
      <c r="B25" s="57" t="s">
        <v>439</v>
      </c>
      <c r="C25" s="57" t="s">
        <v>440</v>
      </c>
      <c r="D25" s="57" t="s">
        <v>486</v>
      </c>
      <c r="E25" s="57" t="s">
        <v>347</v>
      </c>
      <c r="F25" s="57">
        <v>28</v>
      </c>
      <c r="G25" s="57" t="s">
        <v>347</v>
      </c>
    </row>
    <row r="26" spans="1:7">
      <c r="A26" s="57" t="s">
        <v>449</v>
      </c>
      <c r="B26" s="57" t="s">
        <v>439</v>
      </c>
      <c r="C26" s="57" t="s">
        <v>442</v>
      </c>
      <c r="D26" s="57" t="s">
        <v>486</v>
      </c>
      <c r="E26" s="57">
        <v>12</v>
      </c>
      <c r="F26" s="57">
        <v>28</v>
      </c>
      <c r="G26" s="58">
        <v>0.42899999999999999</v>
      </c>
    </row>
    <row r="27" spans="1:7">
      <c r="A27" s="57" t="s">
        <v>449</v>
      </c>
      <c r="B27" s="57" t="s">
        <v>443</v>
      </c>
      <c r="C27" s="57" t="s">
        <v>440</v>
      </c>
      <c r="D27" s="57" t="s">
        <v>486</v>
      </c>
      <c r="E27" s="57">
        <v>11</v>
      </c>
      <c r="F27" s="57">
        <v>26</v>
      </c>
      <c r="G27" s="58">
        <v>0.42299999999999999</v>
      </c>
    </row>
    <row r="28" spans="1:7">
      <c r="A28" s="57" t="s">
        <v>449</v>
      </c>
      <c r="B28" s="57" t="s">
        <v>443</v>
      </c>
      <c r="C28" s="57" t="s">
        <v>442</v>
      </c>
      <c r="D28" s="57" t="s">
        <v>486</v>
      </c>
      <c r="E28" s="57">
        <v>14</v>
      </c>
      <c r="F28" s="57">
        <v>26</v>
      </c>
      <c r="G28" s="58">
        <v>0.53800000000000003</v>
      </c>
    </row>
    <row r="29" spans="1:7">
      <c r="A29" s="57" t="s">
        <v>449</v>
      </c>
      <c r="B29" s="57" t="s">
        <v>444</v>
      </c>
      <c r="C29" s="57" t="s">
        <v>440</v>
      </c>
      <c r="D29" s="57" t="s">
        <v>486</v>
      </c>
      <c r="E29" s="57">
        <v>11</v>
      </c>
      <c r="F29" s="57">
        <v>18</v>
      </c>
      <c r="G29" s="58">
        <v>0.61099999999999999</v>
      </c>
    </row>
    <row r="30" spans="1:7">
      <c r="A30" s="57" t="s">
        <v>449</v>
      </c>
      <c r="B30" s="57" t="s">
        <v>444</v>
      </c>
      <c r="C30" s="57" t="s">
        <v>442</v>
      </c>
      <c r="D30" s="57" t="s">
        <v>486</v>
      </c>
      <c r="E30" s="57" t="s">
        <v>347</v>
      </c>
      <c r="F30" s="57">
        <v>18</v>
      </c>
      <c r="G30" s="57" t="s">
        <v>347</v>
      </c>
    </row>
    <row r="31" spans="1:7">
      <c r="A31" s="57" t="s">
        <v>449</v>
      </c>
      <c r="B31" s="57" t="s">
        <v>444</v>
      </c>
      <c r="C31" s="57" t="s">
        <v>313</v>
      </c>
      <c r="D31" s="57" t="s">
        <v>486</v>
      </c>
      <c r="E31" s="57" t="s">
        <v>347</v>
      </c>
      <c r="F31" s="57">
        <v>18</v>
      </c>
      <c r="G31" s="57" t="s">
        <v>347</v>
      </c>
    </row>
    <row r="32" spans="1:7">
      <c r="A32" s="57" t="s">
        <v>449</v>
      </c>
      <c r="B32" s="57" t="s">
        <v>445</v>
      </c>
      <c r="C32" s="57" t="s">
        <v>440</v>
      </c>
      <c r="D32" s="57" t="s">
        <v>486</v>
      </c>
      <c r="E32" s="57" t="s">
        <v>347</v>
      </c>
      <c r="F32" s="57">
        <v>18</v>
      </c>
      <c r="G32" s="57" t="s">
        <v>347</v>
      </c>
    </row>
    <row r="33" spans="1:7">
      <c r="A33" s="57" t="s">
        <v>449</v>
      </c>
      <c r="B33" s="57" t="s">
        <v>445</v>
      </c>
      <c r="C33" s="57" t="s">
        <v>442</v>
      </c>
      <c r="D33" s="57" t="s">
        <v>486</v>
      </c>
      <c r="E33" s="57" t="s">
        <v>347</v>
      </c>
      <c r="F33" s="57">
        <v>18</v>
      </c>
      <c r="G33" s="57" t="s">
        <v>347</v>
      </c>
    </row>
    <row r="34" spans="1:7">
      <c r="A34" s="57" t="s">
        <v>449</v>
      </c>
      <c r="B34" s="57" t="s">
        <v>446</v>
      </c>
      <c r="C34" s="57" t="s">
        <v>440</v>
      </c>
      <c r="D34" s="57" t="s">
        <v>486</v>
      </c>
      <c r="E34" s="57" t="s">
        <v>347</v>
      </c>
      <c r="F34" s="57">
        <v>11</v>
      </c>
      <c r="G34" s="57" t="s">
        <v>347</v>
      </c>
    </row>
    <row r="35" spans="1:7">
      <c r="A35" s="57" t="s">
        <v>449</v>
      </c>
      <c r="B35" s="57" t="s">
        <v>446</v>
      </c>
      <c r="C35" s="57" t="s">
        <v>442</v>
      </c>
      <c r="D35" s="57" t="s">
        <v>486</v>
      </c>
      <c r="E35" s="57" t="s">
        <v>347</v>
      </c>
      <c r="F35" s="57">
        <v>10</v>
      </c>
      <c r="G35" s="57" t="s">
        <v>347</v>
      </c>
    </row>
    <row r="36" spans="1:7">
      <c r="A36" s="57" t="s">
        <v>449</v>
      </c>
      <c r="B36" s="57" t="s">
        <v>447</v>
      </c>
      <c r="C36" s="57" t="s">
        <v>440</v>
      </c>
      <c r="D36" s="57" t="s">
        <v>486</v>
      </c>
      <c r="F36" s="57" t="s">
        <v>347</v>
      </c>
    </row>
    <row r="37" spans="1:7">
      <c r="A37" s="57" t="s">
        <v>449</v>
      </c>
      <c r="B37" s="57" t="s">
        <v>447</v>
      </c>
      <c r="C37" s="57" t="s">
        <v>442</v>
      </c>
      <c r="D37" s="57" t="s">
        <v>486</v>
      </c>
      <c r="F37" s="57" t="s">
        <v>347</v>
      </c>
    </row>
    <row r="38" spans="1:7">
      <c r="A38" s="57" t="s">
        <v>449</v>
      </c>
      <c r="B38" s="57" t="s">
        <v>447</v>
      </c>
      <c r="C38" s="57" t="s">
        <v>313</v>
      </c>
      <c r="D38" s="57" t="s">
        <v>486</v>
      </c>
      <c r="E38" s="57" t="s">
        <v>347</v>
      </c>
      <c r="F38" s="57" t="s">
        <v>347</v>
      </c>
      <c r="G38" s="57" t="s">
        <v>347</v>
      </c>
    </row>
    <row r="40" spans="1:7">
      <c r="A40" s="57" t="s">
        <v>450</v>
      </c>
      <c r="B40" s="57" t="s">
        <v>439</v>
      </c>
      <c r="C40" s="57" t="s">
        <v>440</v>
      </c>
      <c r="D40" s="57" t="s">
        <v>486</v>
      </c>
      <c r="E40" s="57">
        <v>15</v>
      </c>
      <c r="F40" s="57">
        <v>37</v>
      </c>
      <c r="G40" s="58">
        <v>0.40500000000000003</v>
      </c>
    </row>
    <row r="41" spans="1:7">
      <c r="A41" s="57" t="s">
        <v>450</v>
      </c>
      <c r="B41" s="57" t="s">
        <v>439</v>
      </c>
      <c r="C41" s="57" t="s">
        <v>442</v>
      </c>
      <c r="D41" s="57" t="s">
        <v>486</v>
      </c>
      <c r="E41" s="57">
        <v>16</v>
      </c>
      <c r="F41" s="57">
        <v>36</v>
      </c>
      <c r="G41" s="58">
        <v>0.44400000000000001</v>
      </c>
    </row>
    <row r="42" spans="1:7">
      <c r="A42" s="57" t="s">
        <v>450</v>
      </c>
      <c r="B42" s="57" t="s">
        <v>443</v>
      </c>
      <c r="C42" s="57" t="s">
        <v>440</v>
      </c>
      <c r="D42" s="57" t="s">
        <v>486</v>
      </c>
      <c r="E42" s="57" t="s">
        <v>347</v>
      </c>
      <c r="F42" s="57">
        <v>26</v>
      </c>
      <c r="G42" s="57" t="s">
        <v>347</v>
      </c>
    </row>
    <row r="43" spans="1:7">
      <c r="A43" s="57" t="s">
        <v>450</v>
      </c>
      <c r="B43" s="57" t="s">
        <v>443</v>
      </c>
      <c r="C43" s="57" t="s">
        <v>442</v>
      </c>
      <c r="D43" s="57" t="s">
        <v>486</v>
      </c>
      <c r="E43" s="57" t="s">
        <v>347</v>
      </c>
      <c r="F43" s="57">
        <v>26</v>
      </c>
      <c r="G43" s="57" t="s">
        <v>347</v>
      </c>
    </row>
    <row r="44" spans="1:7">
      <c r="A44" s="57" t="s">
        <v>450</v>
      </c>
      <c r="B44" s="57" t="s">
        <v>444</v>
      </c>
      <c r="C44" s="57" t="s">
        <v>440</v>
      </c>
      <c r="D44" s="57" t="s">
        <v>486</v>
      </c>
      <c r="E44" s="57" t="s">
        <v>347</v>
      </c>
      <c r="F44" s="57">
        <v>25</v>
      </c>
      <c r="G44" s="57" t="s">
        <v>347</v>
      </c>
    </row>
    <row r="45" spans="1:7">
      <c r="A45" s="57" t="s">
        <v>450</v>
      </c>
      <c r="B45" s="57" t="s">
        <v>444</v>
      </c>
      <c r="C45" s="57" t="s">
        <v>442</v>
      </c>
      <c r="D45" s="57" t="s">
        <v>486</v>
      </c>
      <c r="E45" s="57" t="s">
        <v>347</v>
      </c>
      <c r="F45" s="57">
        <v>25</v>
      </c>
      <c r="G45" s="57" t="s">
        <v>347</v>
      </c>
    </row>
    <row r="46" spans="1:7">
      <c r="A46" s="57" t="s">
        <v>450</v>
      </c>
      <c r="B46" s="57" t="s">
        <v>444</v>
      </c>
      <c r="C46" s="57" t="s">
        <v>313</v>
      </c>
      <c r="D46" s="57" t="s">
        <v>486</v>
      </c>
      <c r="E46" s="57" t="s">
        <v>347</v>
      </c>
      <c r="F46" s="57">
        <v>25</v>
      </c>
      <c r="G46" s="57" t="s">
        <v>347</v>
      </c>
    </row>
    <row r="47" spans="1:7">
      <c r="A47" s="57" t="s">
        <v>450</v>
      </c>
      <c r="B47" s="57" t="s">
        <v>445</v>
      </c>
      <c r="C47" s="57" t="s">
        <v>440</v>
      </c>
      <c r="D47" s="57" t="s">
        <v>486</v>
      </c>
      <c r="E47" s="57" t="s">
        <v>347</v>
      </c>
      <c r="F47" s="57">
        <v>24</v>
      </c>
      <c r="G47" s="57" t="s">
        <v>347</v>
      </c>
    </row>
    <row r="48" spans="1:7">
      <c r="A48" s="57" t="s">
        <v>450</v>
      </c>
      <c r="B48" s="57" t="s">
        <v>445</v>
      </c>
      <c r="C48" s="57" t="s">
        <v>442</v>
      </c>
      <c r="D48" s="57" t="s">
        <v>486</v>
      </c>
      <c r="E48" s="57" t="s">
        <v>347</v>
      </c>
      <c r="F48" s="57">
        <v>23</v>
      </c>
      <c r="G48" s="57" t="s">
        <v>347</v>
      </c>
    </row>
    <row r="49" spans="1:7">
      <c r="A49" s="57" t="s">
        <v>450</v>
      </c>
      <c r="B49" s="57" t="s">
        <v>446</v>
      </c>
      <c r="C49" s="57" t="s">
        <v>440</v>
      </c>
      <c r="D49" s="57" t="s">
        <v>486</v>
      </c>
      <c r="E49" s="57" t="s">
        <v>347</v>
      </c>
      <c r="F49" s="57">
        <v>23</v>
      </c>
      <c r="G49" s="57" t="s">
        <v>347</v>
      </c>
    </row>
    <row r="50" spans="1:7">
      <c r="A50" s="57" t="s">
        <v>450</v>
      </c>
      <c r="B50" s="57" t="s">
        <v>446</v>
      </c>
      <c r="C50" s="57" t="s">
        <v>442</v>
      </c>
      <c r="D50" s="57" t="s">
        <v>486</v>
      </c>
      <c r="E50" s="57" t="s">
        <v>347</v>
      </c>
      <c r="F50" s="57">
        <v>22</v>
      </c>
      <c r="G50" s="57" t="s">
        <v>347</v>
      </c>
    </row>
    <row r="51" spans="1:7">
      <c r="A51" s="57" t="s">
        <v>450</v>
      </c>
      <c r="B51" s="57" t="s">
        <v>447</v>
      </c>
      <c r="C51" s="57" t="s">
        <v>440</v>
      </c>
      <c r="D51" s="57" t="s">
        <v>486</v>
      </c>
      <c r="E51" s="57" t="s">
        <v>347</v>
      </c>
      <c r="F51" s="57">
        <v>11</v>
      </c>
      <c r="G51" s="57" t="s">
        <v>347</v>
      </c>
    </row>
    <row r="52" spans="1:7">
      <c r="A52" s="57" t="s">
        <v>450</v>
      </c>
      <c r="B52" s="57" t="s">
        <v>447</v>
      </c>
      <c r="C52" s="57" t="s">
        <v>442</v>
      </c>
      <c r="D52" s="57" t="s">
        <v>486</v>
      </c>
      <c r="E52" s="57" t="s">
        <v>347</v>
      </c>
      <c r="F52" s="57">
        <v>11</v>
      </c>
      <c r="G52" s="57" t="s">
        <v>347</v>
      </c>
    </row>
    <row r="53" spans="1:7">
      <c r="A53" s="57" t="s">
        <v>450</v>
      </c>
      <c r="B53" s="57" t="s">
        <v>447</v>
      </c>
      <c r="C53" s="57" t="s">
        <v>313</v>
      </c>
      <c r="D53" s="57" t="s">
        <v>486</v>
      </c>
      <c r="E53" s="57" t="s">
        <v>347</v>
      </c>
      <c r="F53" s="57">
        <v>11</v>
      </c>
      <c r="G53" s="57" t="s">
        <v>347</v>
      </c>
    </row>
    <row r="55" spans="1:7">
      <c r="A55" s="57" t="s">
        <v>451</v>
      </c>
      <c r="B55" s="57" t="s">
        <v>439</v>
      </c>
      <c r="C55" s="57" t="s">
        <v>440</v>
      </c>
      <c r="D55" s="57" t="s">
        <v>486</v>
      </c>
      <c r="E55" s="57">
        <v>10</v>
      </c>
      <c r="F55" s="57">
        <v>27</v>
      </c>
      <c r="G55" s="58">
        <v>0.37</v>
      </c>
    </row>
    <row r="56" spans="1:7">
      <c r="A56" s="57" t="s">
        <v>451</v>
      </c>
      <c r="B56" s="57" t="s">
        <v>439</v>
      </c>
      <c r="C56" s="57" t="s">
        <v>442</v>
      </c>
      <c r="D56" s="57" t="s">
        <v>486</v>
      </c>
      <c r="E56" s="57" t="s">
        <v>347</v>
      </c>
      <c r="F56" s="57">
        <v>27</v>
      </c>
      <c r="G56" s="57" t="s">
        <v>347</v>
      </c>
    </row>
    <row r="57" spans="1:7">
      <c r="A57" s="57" t="s">
        <v>451</v>
      </c>
      <c r="B57" s="57" t="s">
        <v>443</v>
      </c>
      <c r="C57" s="57" t="s">
        <v>440</v>
      </c>
      <c r="D57" s="57" t="s">
        <v>486</v>
      </c>
      <c r="E57" s="57" t="s">
        <v>347</v>
      </c>
      <c r="F57" s="57">
        <v>20</v>
      </c>
      <c r="G57" s="57" t="s">
        <v>347</v>
      </c>
    </row>
    <row r="58" spans="1:7">
      <c r="A58" s="57" t="s">
        <v>451</v>
      </c>
      <c r="B58" s="57" t="s">
        <v>443</v>
      </c>
      <c r="C58" s="57" t="s">
        <v>442</v>
      </c>
      <c r="D58" s="57" t="s">
        <v>486</v>
      </c>
      <c r="E58" s="57" t="s">
        <v>347</v>
      </c>
      <c r="F58" s="57">
        <v>20</v>
      </c>
      <c r="G58" s="57" t="s">
        <v>347</v>
      </c>
    </row>
    <row r="59" spans="1:7">
      <c r="A59" s="57" t="s">
        <v>451</v>
      </c>
      <c r="B59" s="57" t="s">
        <v>444</v>
      </c>
      <c r="C59" s="57" t="s">
        <v>440</v>
      </c>
      <c r="D59" s="57" t="s">
        <v>486</v>
      </c>
      <c r="E59" s="57">
        <v>11</v>
      </c>
      <c r="F59" s="57">
        <v>26</v>
      </c>
      <c r="G59" s="58">
        <v>0.42299999999999999</v>
      </c>
    </row>
    <row r="60" spans="1:7">
      <c r="A60" s="57" t="s">
        <v>451</v>
      </c>
      <c r="B60" s="57" t="s">
        <v>444</v>
      </c>
      <c r="C60" s="57" t="s">
        <v>442</v>
      </c>
      <c r="D60" s="57" t="s">
        <v>486</v>
      </c>
      <c r="E60" s="57" t="s">
        <v>347</v>
      </c>
      <c r="F60" s="57">
        <v>26</v>
      </c>
      <c r="G60" s="57" t="s">
        <v>347</v>
      </c>
    </row>
    <row r="61" spans="1:7">
      <c r="A61" s="57" t="s">
        <v>451</v>
      </c>
      <c r="B61" s="57" t="s">
        <v>444</v>
      </c>
      <c r="C61" s="57" t="s">
        <v>313</v>
      </c>
      <c r="D61" s="57" t="s">
        <v>486</v>
      </c>
      <c r="E61" s="57" t="s">
        <v>347</v>
      </c>
      <c r="F61" s="57">
        <v>26</v>
      </c>
      <c r="G61" s="57" t="s">
        <v>347</v>
      </c>
    </row>
    <row r="62" spans="1:7">
      <c r="A62" s="57" t="s">
        <v>451</v>
      </c>
      <c r="B62" s="57" t="s">
        <v>445</v>
      </c>
      <c r="C62" s="57" t="s">
        <v>440</v>
      </c>
      <c r="D62" s="57" t="s">
        <v>486</v>
      </c>
      <c r="E62" s="57">
        <v>14</v>
      </c>
      <c r="F62" s="57">
        <v>30</v>
      </c>
      <c r="G62" s="58">
        <v>0.46700000000000003</v>
      </c>
    </row>
    <row r="63" spans="1:7">
      <c r="A63" s="57" t="s">
        <v>451</v>
      </c>
      <c r="B63" s="57" t="s">
        <v>445</v>
      </c>
      <c r="C63" s="57" t="s">
        <v>442</v>
      </c>
      <c r="D63" s="57" t="s">
        <v>486</v>
      </c>
      <c r="E63" s="57">
        <v>12</v>
      </c>
      <c r="F63" s="57">
        <v>29</v>
      </c>
      <c r="G63" s="58">
        <v>0.41399999999999998</v>
      </c>
    </row>
    <row r="64" spans="1:7">
      <c r="A64" s="57" t="s">
        <v>451</v>
      </c>
      <c r="B64" s="57" t="s">
        <v>446</v>
      </c>
      <c r="C64" s="57" t="s">
        <v>440</v>
      </c>
      <c r="D64" s="57" t="s">
        <v>486</v>
      </c>
      <c r="E64" s="57">
        <v>13</v>
      </c>
      <c r="F64" s="57">
        <v>33</v>
      </c>
      <c r="G64" s="58">
        <v>0.39400000000000002</v>
      </c>
    </row>
    <row r="65" spans="1:7">
      <c r="A65" s="57" t="s">
        <v>451</v>
      </c>
      <c r="B65" s="57" t="s">
        <v>446</v>
      </c>
      <c r="C65" s="57" t="s">
        <v>442</v>
      </c>
      <c r="D65" s="57" t="s">
        <v>486</v>
      </c>
      <c r="E65" s="57">
        <v>11</v>
      </c>
      <c r="F65" s="57">
        <v>34</v>
      </c>
      <c r="G65" s="58">
        <v>0.32400000000000001</v>
      </c>
    </row>
    <row r="66" spans="1:7">
      <c r="A66" s="57" t="s">
        <v>451</v>
      </c>
      <c r="B66" s="57" t="s">
        <v>447</v>
      </c>
      <c r="C66" s="57" t="s">
        <v>440</v>
      </c>
      <c r="D66" s="57" t="s">
        <v>486</v>
      </c>
      <c r="E66" s="57">
        <v>11</v>
      </c>
      <c r="F66" s="57">
        <v>34</v>
      </c>
      <c r="G66" s="58">
        <v>0.32400000000000001</v>
      </c>
    </row>
    <row r="67" spans="1:7">
      <c r="A67" s="57" t="s">
        <v>451</v>
      </c>
      <c r="B67" s="57" t="s">
        <v>447</v>
      </c>
      <c r="C67" s="57" t="s">
        <v>442</v>
      </c>
      <c r="D67" s="57" t="s">
        <v>486</v>
      </c>
      <c r="E67" s="57">
        <v>11</v>
      </c>
      <c r="F67" s="57">
        <v>35</v>
      </c>
      <c r="G67" s="58">
        <v>0.314</v>
      </c>
    </row>
    <row r="68" spans="1:7">
      <c r="A68" s="57" t="s">
        <v>451</v>
      </c>
      <c r="B68" s="57" t="s">
        <v>447</v>
      </c>
      <c r="C68" s="57" t="s">
        <v>313</v>
      </c>
      <c r="D68" s="57" t="s">
        <v>486</v>
      </c>
      <c r="E68" s="57" t="s">
        <v>347</v>
      </c>
      <c r="F68" s="57">
        <v>30</v>
      </c>
      <c r="G68" s="57" t="s">
        <v>347</v>
      </c>
    </row>
    <row r="70" spans="1:7">
      <c r="A70" s="57" t="s">
        <v>460</v>
      </c>
      <c r="B70" s="57" t="s">
        <v>439</v>
      </c>
      <c r="C70" s="57" t="s">
        <v>440</v>
      </c>
      <c r="D70" s="57" t="s">
        <v>486</v>
      </c>
      <c r="E70" s="57">
        <v>37</v>
      </c>
      <c r="F70" s="57">
        <v>63</v>
      </c>
      <c r="G70" s="58">
        <v>0.58699999999999997</v>
      </c>
    </row>
    <row r="71" spans="1:7">
      <c r="A71" s="57" t="s">
        <v>460</v>
      </c>
      <c r="B71" s="57" t="s">
        <v>439</v>
      </c>
      <c r="C71" s="57" t="s">
        <v>442</v>
      </c>
      <c r="D71" s="57" t="s">
        <v>486</v>
      </c>
      <c r="E71" s="57">
        <v>46</v>
      </c>
      <c r="F71" s="57">
        <v>63</v>
      </c>
      <c r="G71" s="58">
        <v>0.73</v>
      </c>
    </row>
    <row r="72" spans="1:7">
      <c r="A72" s="57" t="s">
        <v>460</v>
      </c>
      <c r="B72" s="57" t="s">
        <v>443</v>
      </c>
      <c r="C72" s="57" t="s">
        <v>440</v>
      </c>
      <c r="D72" s="57" t="s">
        <v>486</v>
      </c>
      <c r="E72" s="57">
        <v>23</v>
      </c>
      <c r="F72" s="57">
        <v>42</v>
      </c>
      <c r="G72" s="58">
        <v>0.54800000000000004</v>
      </c>
    </row>
    <row r="73" spans="1:7">
      <c r="A73" s="57" t="s">
        <v>460</v>
      </c>
      <c r="B73" s="57" t="s">
        <v>443</v>
      </c>
      <c r="C73" s="57" t="s">
        <v>442</v>
      </c>
      <c r="D73" s="57" t="s">
        <v>486</v>
      </c>
      <c r="E73" s="57" t="s">
        <v>347</v>
      </c>
      <c r="F73" s="57">
        <v>42</v>
      </c>
      <c r="G73" s="57" t="s">
        <v>347</v>
      </c>
    </row>
    <row r="74" spans="1:7">
      <c r="A74" s="57" t="s">
        <v>460</v>
      </c>
      <c r="B74" s="57" t="s">
        <v>444</v>
      </c>
      <c r="C74" s="57" t="s">
        <v>440</v>
      </c>
      <c r="D74" s="57" t="s">
        <v>486</v>
      </c>
      <c r="E74" s="57">
        <v>31</v>
      </c>
      <c r="F74" s="57">
        <v>47</v>
      </c>
      <c r="G74" s="58">
        <v>0.66</v>
      </c>
    </row>
    <row r="75" spans="1:7">
      <c r="A75" s="57" t="s">
        <v>460</v>
      </c>
      <c r="B75" s="57" t="s">
        <v>444</v>
      </c>
      <c r="C75" s="57" t="s">
        <v>442</v>
      </c>
      <c r="D75" s="57" t="s">
        <v>486</v>
      </c>
      <c r="E75" s="57">
        <v>16</v>
      </c>
      <c r="F75" s="57">
        <v>47</v>
      </c>
      <c r="G75" s="58">
        <v>0.34</v>
      </c>
    </row>
    <row r="76" spans="1:7">
      <c r="A76" s="57" t="s">
        <v>460</v>
      </c>
      <c r="B76" s="57" t="s">
        <v>444</v>
      </c>
      <c r="C76" s="57" t="s">
        <v>313</v>
      </c>
      <c r="D76" s="57" t="s">
        <v>486</v>
      </c>
      <c r="E76" s="57">
        <v>27</v>
      </c>
      <c r="F76" s="57">
        <v>47</v>
      </c>
      <c r="G76" s="58">
        <v>0.57399999999999995</v>
      </c>
    </row>
    <row r="77" spans="1:7">
      <c r="A77" s="57" t="s">
        <v>460</v>
      </c>
      <c r="B77" s="57" t="s">
        <v>445</v>
      </c>
      <c r="C77" s="57" t="s">
        <v>440</v>
      </c>
      <c r="D77" s="57" t="s">
        <v>486</v>
      </c>
      <c r="E77" s="57">
        <v>21</v>
      </c>
      <c r="F77" s="57">
        <v>46</v>
      </c>
      <c r="G77" s="58">
        <v>0.45700000000000002</v>
      </c>
    </row>
    <row r="78" spans="1:7">
      <c r="A78" s="57" t="s">
        <v>460</v>
      </c>
      <c r="B78" s="57" t="s">
        <v>445</v>
      </c>
      <c r="C78" s="57" t="s">
        <v>442</v>
      </c>
      <c r="D78" s="57" t="s">
        <v>486</v>
      </c>
      <c r="E78" s="57">
        <v>17</v>
      </c>
      <c r="F78" s="57">
        <v>46</v>
      </c>
      <c r="G78" s="58">
        <v>0.37</v>
      </c>
    </row>
    <row r="79" spans="1:7">
      <c r="A79" s="57" t="s">
        <v>460</v>
      </c>
      <c r="B79" s="57" t="s">
        <v>446</v>
      </c>
      <c r="C79" s="57" t="s">
        <v>440</v>
      </c>
      <c r="D79" s="57" t="s">
        <v>486</v>
      </c>
      <c r="E79" s="57">
        <v>30</v>
      </c>
      <c r="F79" s="57">
        <v>45</v>
      </c>
      <c r="G79" s="58">
        <v>0.66700000000000004</v>
      </c>
    </row>
    <row r="80" spans="1:7">
      <c r="A80" s="57" t="s">
        <v>460</v>
      </c>
      <c r="B80" s="57" t="s">
        <v>446</v>
      </c>
      <c r="C80" s="57" t="s">
        <v>442</v>
      </c>
      <c r="D80" s="57" t="s">
        <v>486</v>
      </c>
      <c r="E80" s="57">
        <v>28</v>
      </c>
      <c r="F80" s="57">
        <v>45</v>
      </c>
      <c r="G80" s="58">
        <v>0.622</v>
      </c>
    </row>
    <row r="81" spans="1:7">
      <c r="A81" s="57" t="s">
        <v>460</v>
      </c>
      <c r="B81" s="57" t="s">
        <v>447</v>
      </c>
      <c r="C81" s="57" t="s">
        <v>440</v>
      </c>
      <c r="D81" s="57" t="s">
        <v>486</v>
      </c>
      <c r="E81" s="57">
        <v>11</v>
      </c>
      <c r="F81" s="57">
        <v>31</v>
      </c>
      <c r="G81" s="58">
        <v>0.35499999999999998</v>
      </c>
    </row>
    <row r="82" spans="1:7">
      <c r="A82" s="57" t="s">
        <v>460</v>
      </c>
      <c r="B82" s="57" t="s">
        <v>447</v>
      </c>
      <c r="C82" s="57" t="s">
        <v>442</v>
      </c>
      <c r="D82" s="57" t="s">
        <v>486</v>
      </c>
      <c r="E82" s="57">
        <v>17</v>
      </c>
      <c r="F82" s="57">
        <v>31</v>
      </c>
      <c r="G82" s="58">
        <v>0.54800000000000004</v>
      </c>
    </row>
    <row r="83" spans="1:7">
      <c r="A83" s="57" t="s">
        <v>460</v>
      </c>
      <c r="B83" s="57" t="s">
        <v>447</v>
      </c>
      <c r="C83" s="57" t="s">
        <v>313</v>
      </c>
      <c r="D83" s="57" t="s">
        <v>486</v>
      </c>
      <c r="E83" s="57">
        <v>15</v>
      </c>
      <c r="F83" s="57">
        <v>31</v>
      </c>
      <c r="G83" s="58">
        <v>0.48399999999999999</v>
      </c>
    </row>
    <row r="84" spans="1:7">
      <c r="A84" s="57" t="s">
        <v>460</v>
      </c>
      <c r="B84" s="57" t="s">
        <v>453</v>
      </c>
      <c r="C84" s="57" t="s">
        <v>454</v>
      </c>
      <c r="D84" s="57" t="s">
        <v>486</v>
      </c>
      <c r="E84" s="57">
        <v>12</v>
      </c>
      <c r="F84" s="57">
        <v>15</v>
      </c>
      <c r="G84" s="58">
        <v>0.8</v>
      </c>
    </row>
    <row r="85" spans="1:7">
      <c r="A85" s="57" t="s">
        <v>460</v>
      </c>
      <c r="B85" s="57" t="s">
        <v>453</v>
      </c>
      <c r="C85" s="57" t="s">
        <v>461</v>
      </c>
      <c r="D85" s="57" t="s">
        <v>486</v>
      </c>
      <c r="E85" s="57" t="s">
        <v>347</v>
      </c>
      <c r="F85" s="57">
        <v>14</v>
      </c>
      <c r="G85" s="57" t="s">
        <v>347</v>
      </c>
    </row>
    <row r="86" spans="1:7">
      <c r="A86" s="57" t="s">
        <v>460</v>
      </c>
      <c r="B86" s="57" t="s">
        <v>453</v>
      </c>
      <c r="C86" s="57" t="s">
        <v>455</v>
      </c>
      <c r="D86" s="57" t="s">
        <v>486</v>
      </c>
      <c r="E86" s="57">
        <v>17</v>
      </c>
      <c r="F86" s="57">
        <v>30</v>
      </c>
      <c r="G86" s="58">
        <v>0.56699999999999995</v>
      </c>
    </row>
    <row r="87" spans="1:7">
      <c r="A87" s="57" t="s">
        <v>460</v>
      </c>
      <c r="B87" s="57" t="s">
        <v>453</v>
      </c>
      <c r="C87" s="57" t="s">
        <v>456</v>
      </c>
      <c r="D87" s="57" t="s">
        <v>486</v>
      </c>
      <c r="E87" s="57">
        <v>10</v>
      </c>
      <c r="F87" s="57">
        <v>17</v>
      </c>
      <c r="G87" s="58">
        <v>0.58799999999999997</v>
      </c>
    </row>
    <row r="88" spans="1:7">
      <c r="A88" s="57" t="s">
        <v>460</v>
      </c>
      <c r="B88" s="57" t="s">
        <v>453</v>
      </c>
      <c r="C88" s="57" t="s">
        <v>457</v>
      </c>
      <c r="D88" s="57" t="s">
        <v>486</v>
      </c>
      <c r="E88" s="57">
        <v>13</v>
      </c>
      <c r="F88" s="57">
        <v>22</v>
      </c>
      <c r="G88" s="58">
        <v>0.59099999999999997</v>
      </c>
    </row>
    <row r="89" spans="1:7">
      <c r="A89" s="57" t="s">
        <v>460</v>
      </c>
      <c r="B89" s="57" t="s">
        <v>453</v>
      </c>
      <c r="C89" s="57" t="s">
        <v>458</v>
      </c>
      <c r="D89" s="57" t="s">
        <v>486</v>
      </c>
      <c r="E89" s="57" t="s">
        <v>347</v>
      </c>
      <c r="F89" s="57">
        <v>21</v>
      </c>
      <c r="G89" s="57" t="s">
        <v>347</v>
      </c>
    </row>
    <row r="90" spans="1:7">
      <c r="A90" s="57" t="s">
        <v>460</v>
      </c>
      <c r="B90" s="57" t="s">
        <v>453</v>
      </c>
      <c r="C90" s="57" t="s">
        <v>459</v>
      </c>
      <c r="D90" s="57" t="s">
        <v>486</v>
      </c>
      <c r="E90" s="57" t="s">
        <v>347</v>
      </c>
      <c r="F90" s="57">
        <v>13</v>
      </c>
      <c r="G90" s="57" t="s">
        <v>347</v>
      </c>
    </row>
    <row r="91" spans="1:7">
      <c r="A91" s="57" t="s">
        <v>460</v>
      </c>
      <c r="B91" s="57" t="s">
        <v>453</v>
      </c>
      <c r="C91" s="57" t="s">
        <v>462</v>
      </c>
      <c r="D91" s="57" t="s">
        <v>486</v>
      </c>
      <c r="F91" s="57" t="s">
        <v>347</v>
      </c>
    </row>
    <row r="92" spans="1:7">
      <c r="A92" s="57" t="s">
        <v>460</v>
      </c>
      <c r="B92" s="57" t="s">
        <v>453</v>
      </c>
      <c r="C92" s="57" t="s">
        <v>487</v>
      </c>
      <c r="D92" s="57" t="s">
        <v>486</v>
      </c>
      <c r="F92" s="57" t="s">
        <v>347</v>
      </c>
    </row>
    <row r="94" spans="1:7">
      <c r="A94" s="57" t="s">
        <v>463</v>
      </c>
      <c r="B94" s="57" t="s">
        <v>439</v>
      </c>
      <c r="C94" s="57" t="s">
        <v>440</v>
      </c>
      <c r="D94" s="57" t="s">
        <v>486</v>
      </c>
      <c r="E94" s="57">
        <v>39</v>
      </c>
      <c r="F94" s="57">
        <v>66</v>
      </c>
      <c r="G94" s="58">
        <v>0.59099999999999997</v>
      </c>
    </row>
    <row r="95" spans="1:7">
      <c r="A95" s="57" t="s">
        <v>463</v>
      </c>
      <c r="B95" s="57" t="s">
        <v>439</v>
      </c>
      <c r="C95" s="57" t="s">
        <v>442</v>
      </c>
      <c r="D95" s="57" t="s">
        <v>486</v>
      </c>
      <c r="E95" s="57">
        <v>38</v>
      </c>
      <c r="F95" s="57">
        <v>64</v>
      </c>
      <c r="G95" s="58">
        <v>0.59399999999999997</v>
      </c>
    </row>
    <row r="96" spans="1:7">
      <c r="A96" s="57" t="s">
        <v>463</v>
      </c>
      <c r="B96" s="57" t="s">
        <v>443</v>
      </c>
      <c r="C96" s="57" t="s">
        <v>440</v>
      </c>
      <c r="D96" s="57" t="s">
        <v>486</v>
      </c>
      <c r="E96" s="57">
        <v>16</v>
      </c>
      <c r="F96" s="57">
        <v>45</v>
      </c>
      <c r="G96" s="58">
        <v>0.35599999999999998</v>
      </c>
    </row>
    <row r="97" spans="1:7">
      <c r="A97" s="57" t="s">
        <v>463</v>
      </c>
      <c r="B97" s="57" t="s">
        <v>443</v>
      </c>
      <c r="C97" s="57" t="s">
        <v>442</v>
      </c>
      <c r="D97" s="57" t="s">
        <v>486</v>
      </c>
      <c r="E97" s="57">
        <v>22</v>
      </c>
      <c r="F97" s="57">
        <v>46</v>
      </c>
      <c r="G97" s="58">
        <v>0.47799999999999998</v>
      </c>
    </row>
    <row r="98" spans="1:7">
      <c r="A98" s="57" t="s">
        <v>463</v>
      </c>
      <c r="B98" s="57" t="s">
        <v>444</v>
      </c>
      <c r="C98" s="57" t="s">
        <v>440</v>
      </c>
      <c r="D98" s="57" t="s">
        <v>486</v>
      </c>
      <c r="E98" s="57">
        <v>20</v>
      </c>
      <c r="F98" s="57">
        <v>44</v>
      </c>
      <c r="G98" s="58">
        <v>0.45500000000000002</v>
      </c>
    </row>
    <row r="99" spans="1:7">
      <c r="A99" s="57" t="s">
        <v>463</v>
      </c>
      <c r="B99" s="57" t="s">
        <v>444</v>
      </c>
      <c r="C99" s="57" t="s">
        <v>442</v>
      </c>
      <c r="D99" s="57" t="s">
        <v>486</v>
      </c>
      <c r="E99" s="57">
        <v>16</v>
      </c>
      <c r="F99" s="57">
        <v>44</v>
      </c>
      <c r="G99" s="58">
        <v>0.36399999999999999</v>
      </c>
    </row>
    <row r="100" spans="1:7">
      <c r="A100" s="57" t="s">
        <v>463</v>
      </c>
      <c r="B100" s="57" t="s">
        <v>444</v>
      </c>
      <c r="C100" s="57" t="s">
        <v>313</v>
      </c>
      <c r="D100" s="57" t="s">
        <v>486</v>
      </c>
      <c r="E100" s="57">
        <v>17</v>
      </c>
      <c r="F100" s="57">
        <v>44</v>
      </c>
      <c r="G100" s="58">
        <v>0.38600000000000001</v>
      </c>
    </row>
    <row r="101" spans="1:7">
      <c r="A101" s="57" t="s">
        <v>463</v>
      </c>
      <c r="B101" s="57" t="s">
        <v>445</v>
      </c>
      <c r="C101" s="57" t="s">
        <v>440</v>
      </c>
      <c r="D101" s="57" t="s">
        <v>486</v>
      </c>
      <c r="E101" s="57">
        <v>22</v>
      </c>
      <c r="F101" s="57">
        <v>55</v>
      </c>
      <c r="G101" s="58">
        <v>0.4</v>
      </c>
    </row>
    <row r="102" spans="1:7">
      <c r="A102" s="57" t="s">
        <v>463</v>
      </c>
      <c r="B102" s="57" t="s">
        <v>445</v>
      </c>
      <c r="C102" s="57" t="s">
        <v>442</v>
      </c>
      <c r="D102" s="57" t="s">
        <v>486</v>
      </c>
      <c r="E102" s="57">
        <v>18</v>
      </c>
      <c r="F102" s="57">
        <v>55</v>
      </c>
      <c r="G102" s="58">
        <v>0.32700000000000001</v>
      </c>
    </row>
    <row r="103" spans="1:7">
      <c r="A103" s="57" t="s">
        <v>463</v>
      </c>
      <c r="B103" s="57" t="s">
        <v>446</v>
      </c>
      <c r="C103" s="57" t="s">
        <v>440</v>
      </c>
      <c r="D103" s="57" t="s">
        <v>486</v>
      </c>
      <c r="E103" s="57">
        <v>22</v>
      </c>
      <c r="F103" s="57">
        <v>47</v>
      </c>
      <c r="G103" s="58">
        <v>0.46800000000000003</v>
      </c>
    </row>
    <row r="104" spans="1:7">
      <c r="A104" s="57" t="s">
        <v>463</v>
      </c>
      <c r="B104" s="57" t="s">
        <v>446</v>
      </c>
      <c r="C104" s="57" t="s">
        <v>442</v>
      </c>
      <c r="D104" s="57" t="s">
        <v>486</v>
      </c>
      <c r="E104" s="57">
        <v>21</v>
      </c>
      <c r="F104" s="57">
        <v>47</v>
      </c>
      <c r="G104" s="58">
        <v>0.44700000000000001</v>
      </c>
    </row>
    <row r="105" spans="1:7">
      <c r="A105" s="57" t="s">
        <v>463</v>
      </c>
      <c r="B105" s="57" t="s">
        <v>447</v>
      </c>
      <c r="C105" s="57" t="s">
        <v>440</v>
      </c>
      <c r="D105" s="57" t="s">
        <v>486</v>
      </c>
      <c r="E105" s="57">
        <v>13</v>
      </c>
      <c r="F105" s="57">
        <v>28</v>
      </c>
      <c r="G105" s="58">
        <v>0.46400000000000002</v>
      </c>
    </row>
    <row r="106" spans="1:7">
      <c r="A106" s="57" t="s">
        <v>463</v>
      </c>
      <c r="B106" s="57" t="s">
        <v>447</v>
      </c>
      <c r="C106" s="57" t="s">
        <v>442</v>
      </c>
      <c r="D106" s="57" t="s">
        <v>486</v>
      </c>
      <c r="E106" s="57">
        <v>21</v>
      </c>
      <c r="F106" s="57">
        <v>28</v>
      </c>
      <c r="G106" s="58">
        <v>0.75</v>
      </c>
    </row>
    <row r="107" spans="1:7">
      <c r="A107" s="57" t="s">
        <v>463</v>
      </c>
      <c r="B107" s="57" t="s">
        <v>447</v>
      </c>
      <c r="C107" s="57" t="s">
        <v>313</v>
      </c>
      <c r="D107" s="57" t="s">
        <v>486</v>
      </c>
      <c r="E107" s="57">
        <v>15</v>
      </c>
      <c r="F107" s="57">
        <v>28</v>
      </c>
      <c r="G107" s="58">
        <v>0.53600000000000003</v>
      </c>
    </row>
    <row r="108" spans="1:7">
      <c r="G108" s="58"/>
    </row>
    <row r="109" spans="1:7">
      <c r="A109" s="57" t="s">
        <v>464</v>
      </c>
      <c r="B109" s="57" t="s">
        <v>439</v>
      </c>
      <c r="C109" s="57" t="s">
        <v>440</v>
      </c>
      <c r="D109" s="57" t="s">
        <v>486</v>
      </c>
      <c r="E109" s="57">
        <v>58</v>
      </c>
      <c r="F109" s="57">
        <v>75</v>
      </c>
      <c r="G109" s="58">
        <v>0.77300000000000002</v>
      </c>
    </row>
    <row r="110" spans="1:7">
      <c r="A110" s="57" t="s">
        <v>464</v>
      </c>
      <c r="B110" s="57" t="s">
        <v>439</v>
      </c>
      <c r="C110" s="57" t="s">
        <v>442</v>
      </c>
      <c r="D110" s="57" t="s">
        <v>486</v>
      </c>
      <c r="E110" s="57">
        <v>62</v>
      </c>
      <c r="F110" s="57">
        <v>75</v>
      </c>
      <c r="G110" s="58">
        <v>0.82699999999999996</v>
      </c>
    </row>
    <row r="111" spans="1:7">
      <c r="A111" s="57" t="s">
        <v>464</v>
      </c>
      <c r="B111" s="57" t="s">
        <v>443</v>
      </c>
      <c r="C111" s="57" t="s">
        <v>440</v>
      </c>
      <c r="D111" s="57" t="s">
        <v>486</v>
      </c>
      <c r="E111" s="57">
        <v>58</v>
      </c>
      <c r="F111" s="57">
        <v>81</v>
      </c>
      <c r="G111" s="58">
        <v>0.71599999999999997</v>
      </c>
    </row>
    <row r="112" spans="1:7">
      <c r="A112" s="57" t="s">
        <v>464</v>
      </c>
      <c r="B112" s="57" t="s">
        <v>443</v>
      </c>
      <c r="C112" s="57" t="s">
        <v>442</v>
      </c>
      <c r="D112" s="57" t="s">
        <v>486</v>
      </c>
      <c r="E112" s="57">
        <v>69</v>
      </c>
      <c r="F112" s="57">
        <v>81</v>
      </c>
      <c r="G112" s="58">
        <v>0.85199999999999998</v>
      </c>
    </row>
    <row r="113" spans="1:7">
      <c r="A113" s="57" t="s">
        <v>464</v>
      </c>
      <c r="B113" s="57" t="s">
        <v>444</v>
      </c>
      <c r="C113" s="57" t="s">
        <v>440</v>
      </c>
      <c r="D113" s="57" t="s">
        <v>486</v>
      </c>
      <c r="E113" s="57">
        <v>63</v>
      </c>
      <c r="F113" s="57">
        <v>79</v>
      </c>
      <c r="G113" s="58">
        <v>0.79700000000000004</v>
      </c>
    </row>
    <row r="114" spans="1:7">
      <c r="A114" s="57" t="s">
        <v>464</v>
      </c>
      <c r="B114" s="57" t="s">
        <v>444</v>
      </c>
      <c r="C114" s="57" t="s">
        <v>442</v>
      </c>
      <c r="D114" s="57" t="s">
        <v>486</v>
      </c>
      <c r="E114" s="57">
        <v>49</v>
      </c>
      <c r="F114" s="57">
        <v>79</v>
      </c>
      <c r="G114" s="58">
        <v>0.62</v>
      </c>
    </row>
    <row r="115" spans="1:7">
      <c r="A115" s="57" t="s">
        <v>464</v>
      </c>
      <c r="B115" s="57" t="s">
        <v>444</v>
      </c>
      <c r="C115" s="57" t="s">
        <v>313</v>
      </c>
      <c r="D115" s="57" t="s">
        <v>486</v>
      </c>
      <c r="E115" s="57">
        <v>60</v>
      </c>
      <c r="F115" s="57">
        <v>79</v>
      </c>
      <c r="G115" s="58">
        <v>0.75900000000000001</v>
      </c>
    </row>
    <row r="116" spans="1:7">
      <c r="A116" s="57" t="s">
        <v>464</v>
      </c>
      <c r="B116" s="57" t="s">
        <v>445</v>
      </c>
      <c r="C116" s="57" t="s">
        <v>440</v>
      </c>
      <c r="D116" s="57" t="s">
        <v>486</v>
      </c>
      <c r="E116" s="57">
        <v>29</v>
      </c>
      <c r="F116" s="57">
        <v>52</v>
      </c>
      <c r="G116" s="58">
        <v>0.55800000000000005</v>
      </c>
    </row>
    <row r="117" spans="1:7">
      <c r="A117" s="57" t="s">
        <v>464</v>
      </c>
      <c r="B117" s="57" t="s">
        <v>445</v>
      </c>
      <c r="C117" s="57" t="s">
        <v>442</v>
      </c>
      <c r="D117" s="57" t="s">
        <v>486</v>
      </c>
      <c r="E117" s="57">
        <v>34</v>
      </c>
      <c r="F117" s="57">
        <v>52</v>
      </c>
      <c r="G117" s="58">
        <v>0.65400000000000003</v>
      </c>
    </row>
    <row r="118" spans="1:7">
      <c r="A118" s="57" t="s">
        <v>464</v>
      </c>
      <c r="B118" s="57" t="s">
        <v>446</v>
      </c>
      <c r="C118" s="57" t="s">
        <v>440</v>
      </c>
      <c r="D118" s="57" t="s">
        <v>486</v>
      </c>
      <c r="E118" s="57">
        <v>30</v>
      </c>
      <c r="F118" s="57">
        <v>35</v>
      </c>
      <c r="G118" s="58">
        <v>0.85699999999999998</v>
      </c>
    </row>
    <row r="119" spans="1:7">
      <c r="A119" s="57" t="s">
        <v>464</v>
      </c>
      <c r="B119" s="57" t="s">
        <v>446</v>
      </c>
      <c r="C119" s="57" t="s">
        <v>442</v>
      </c>
      <c r="D119" s="57" t="s">
        <v>486</v>
      </c>
      <c r="E119" s="57">
        <v>25</v>
      </c>
      <c r="F119" s="57">
        <v>35</v>
      </c>
      <c r="G119" s="58">
        <v>0.71399999999999997</v>
      </c>
    </row>
    <row r="120" spans="1:7">
      <c r="A120" s="57" t="s">
        <v>464</v>
      </c>
      <c r="B120" s="57" t="s">
        <v>447</v>
      </c>
      <c r="C120" s="57" t="s">
        <v>440</v>
      </c>
      <c r="D120" s="57" t="s">
        <v>486</v>
      </c>
      <c r="E120" s="57">
        <v>18</v>
      </c>
      <c r="F120" s="57">
        <v>36</v>
      </c>
      <c r="G120" s="58">
        <v>0.5</v>
      </c>
    </row>
    <row r="121" spans="1:7">
      <c r="A121" s="57" t="s">
        <v>464</v>
      </c>
      <c r="B121" s="57" t="s">
        <v>447</v>
      </c>
      <c r="C121" s="57" t="s">
        <v>442</v>
      </c>
      <c r="D121" s="57" t="s">
        <v>486</v>
      </c>
      <c r="E121" s="57">
        <v>25</v>
      </c>
      <c r="F121" s="57">
        <v>36</v>
      </c>
      <c r="G121" s="58">
        <v>0.69399999999999995</v>
      </c>
    </row>
    <row r="122" spans="1:7">
      <c r="A122" s="57" t="s">
        <v>464</v>
      </c>
      <c r="B122" s="57" t="s">
        <v>447</v>
      </c>
      <c r="C122" s="57" t="s">
        <v>313</v>
      </c>
      <c r="D122" s="57" t="s">
        <v>486</v>
      </c>
      <c r="E122" s="57">
        <v>25</v>
      </c>
      <c r="F122" s="57">
        <v>36</v>
      </c>
      <c r="G122" s="58">
        <v>0.69399999999999995</v>
      </c>
    </row>
    <row r="123" spans="1:7">
      <c r="G123" s="58"/>
    </row>
    <row r="124" spans="1:7">
      <c r="A124" s="57" t="s">
        <v>465</v>
      </c>
      <c r="B124" s="57" t="s">
        <v>439</v>
      </c>
      <c r="C124" s="57" t="s">
        <v>440</v>
      </c>
      <c r="D124" s="57" t="s">
        <v>486</v>
      </c>
      <c r="E124" s="57" t="s">
        <v>347</v>
      </c>
      <c r="F124" s="57">
        <v>44</v>
      </c>
      <c r="G124" s="57" t="s">
        <v>347</v>
      </c>
    </row>
    <row r="125" spans="1:7">
      <c r="A125" s="57" t="s">
        <v>465</v>
      </c>
      <c r="B125" s="57" t="s">
        <v>439</v>
      </c>
      <c r="C125" s="57" t="s">
        <v>442</v>
      </c>
      <c r="D125" s="57" t="s">
        <v>486</v>
      </c>
      <c r="E125" s="57">
        <v>12</v>
      </c>
      <c r="F125" s="57">
        <v>44</v>
      </c>
      <c r="G125" s="58">
        <v>0.27300000000000002</v>
      </c>
    </row>
    <row r="126" spans="1:7">
      <c r="A126" s="57" t="s">
        <v>465</v>
      </c>
      <c r="B126" s="57" t="s">
        <v>443</v>
      </c>
      <c r="C126" s="57" t="s">
        <v>440</v>
      </c>
      <c r="D126" s="57" t="s">
        <v>486</v>
      </c>
      <c r="E126" s="57" t="s">
        <v>347</v>
      </c>
      <c r="F126" s="57">
        <v>20</v>
      </c>
      <c r="G126" s="57" t="s">
        <v>347</v>
      </c>
    </row>
    <row r="127" spans="1:7">
      <c r="A127" s="57" t="s">
        <v>465</v>
      </c>
      <c r="B127" s="57" t="s">
        <v>443</v>
      </c>
      <c r="C127" s="57" t="s">
        <v>442</v>
      </c>
      <c r="D127" s="57" t="s">
        <v>486</v>
      </c>
      <c r="E127" s="57" t="s">
        <v>347</v>
      </c>
      <c r="F127" s="57">
        <v>20</v>
      </c>
      <c r="G127" s="57" t="s">
        <v>347</v>
      </c>
    </row>
    <row r="128" spans="1:7">
      <c r="A128" s="57" t="s">
        <v>465</v>
      </c>
      <c r="B128" s="57" t="s">
        <v>444</v>
      </c>
      <c r="C128" s="57" t="s">
        <v>440</v>
      </c>
      <c r="D128" s="57" t="s">
        <v>486</v>
      </c>
      <c r="E128" s="57" t="s">
        <v>347</v>
      </c>
      <c r="F128" s="57">
        <v>21</v>
      </c>
      <c r="G128" s="57" t="s">
        <v>347</v>
      </c>
    </row>
    <row r="129" spans="1:7">
      <c r="A129" s="57" t="s">
        <v>465</v>
      </c>
      <c r="B129" s="57" t="s">
        <v>444</v>
      </c>
      <c r="C129" s="57" t="s">
        <v>442</v>
      </c>
      <c r="D129" s="57" t="s">
        <v>486</v>
      </c>
      <c r="E129" s="57" t="s">
        <v>347</v>
      </c>
      <c r="F129" s="57">
        <v>21</v>
      </c>
      <c r="G129" s="57" t="s">
        <v>347</v>
      </c>
    </row>
    <row r="130" spans="1:7">
      <c r="A130" s="57" t="s">
        <v>465</v>
      </c>
      <c r="B130" s="57" t="s">
        <v>444</v>
      </c>
      <c r="C130" s="57" t="s">
        <v>313</v>
      </c>
      <c r="D130" s="57" t="s">
        <v>486</v>
      </c>
      <c r="E130" s="57" t="s">
        <v>347</v>
      </c>
      <c r="F130" s="57">
        <v>21</v>
      </c>
      <c r="G130" s="57" t="s">
        <v>347</v>
      </c>
    </row>
    <row r="131" spans="1:7">
      <c r="A131" s="57" t="s">
        <v>465</v>
      </c>
      <c r="B131" s="57" t="s">
        <v>445</v>
      </c>
      <c r="C131" s="57" t="s">
        <v>440</v>
      </c>
      <c r="D131" s="57" t="s">
        <v>486</v>
      </c>
      <c r="E131" s="57" t="s">
        <v>347</v>
      </c>
      <c r="F131" s="57">
        <v>24</v>
      </c>
      <c r="G131" s="57" t="s">
        <v>347</v>
      </c>
    </row>
    <row r="132" spans="1:7">
      <c r="A132" s="57" t="s">
        <v>465</v>
      </c>
      <c r="B132" s="57" t="s">
        <v>445</v>
      </c>
      <c r="C132" s="57" t="s">
        <v>442</v>
      </c>
      <c r="D132" s="57" t="s">
        <v>486</v>
      </c>
      <c r="E132" s="57">
        <v>14</v>
      </c>
      <c r="F132" s="57">
        <v>24</v>
      </c>
      <c r="G132" s="58">
        <v>0.58299999999999996</v>
      </c>
    </row>
    <row r="133" spans="1:7">
      <c r="A133" s="57" t="s">
        <v>465</v>
      </c>
      <c r="B133" s="57" t="s">
        <v>446</v>
      </c>
      <c r="C133" s="57" t="s">
        <v>440</v>
      </c>
      <c r="D133" s="57" t="s">
        <v>486</v>
      </c>
      <c r="E133" s="57" t="s">
        <v>347</v>
      </c>
      <c r="F133" s="57">
        <v>22</v>
      </c>
      <c r="G133" s="57" t="s">
        <v>347</v>
      </c>
    </row>
    <row r="134" spans="1:7">
      <c r="A134" s="57" t="s">
        <v>465</v>
      </c>
      <c r="B134" s="57" t="s">
        <v>446</v>
      </c>
      <c r="C134" s="57" t="s">
        <v>442</v>
      </c>
      <c r="D134" s="57" t="s">
        <v>486</v>
      </c>
      <c r="E134" s="57" t="s">
        <v>347</v>
      </c>
      <c r="F134" s="57">
        <v>22</v>
      </c>
      <c r="G134" s="57" t="s">
        <v>347</v>
      </c>
    </row>
    <row r="135" spans="1:7">
      <c r="A135" s="57" t="s">
        <v>465</v>
      </c>
      <c r="B135" s="57" t="s">
        <v>447</v>
      </c>
      <c r="C135" s="57" t="s">
        <v>440</v>
      </c>
      <c r="D135" s="57" t="s">
        <v>486</v>
      </c>
      <c r="E135" s="57" t="s">
        <v>347</v>
      </c>
      <c r="F135" s="57">
        <v>26</v>
      </c>
      <c r="G135" s="57" t="s">
        <v>347</v>
      </c>
    </row>
    <row r="136" spans="1:7">
      <c r="A136" s="57" t="s">
        <v>465</v>
      </c>
      <c r="B136" s="57" t="s">
        <v>447</v>
      </c>
      <c r="C136" s="57" t="s">
        <v>442</v>
      </c>
      <c r="D136" s="57" t="s">
        <v>486</v>
      </c>
      <c r="E136" s="57">
        <v>15</v>
      </c>
      <c r="F136" s="57">
        <v>26</v>
      </c>
      <c r="G136" s="58">
        <v>0.57699999999999996</v>
      </c>
    </row>
    <row r="137" spans="1:7">
      <c r="A137" s="57" t="s">
        <v>465</v>
      </c>
      <c r="B137" s="57" t="s">
        <v>447</v>
      </c>
      <c r="C137" s="57" t="s">
        <v>313</v>
      </c>
      <c r="D137" s="57" t="s">
        <v>486</v>
      </c>
      <c r="E137" s="57" t="s">
        <v>347</v>
      </c>
      <c r="F137" s="57">
        <v>26</v>
      </c>
      <c r="G137" s="57" t="s">
        <v>347</v>
      </c>
    </row>
    <row r="139" spans="1:7">
      <c r="A139" s="57" t="s">
        <v>466</v>
      </c>
      <c r="B139" s="57" t="s">
        <v>439</v>
      </c>
      <c r="C139" s="57" t="s">
        <v>440</v>
      </c>
      <c r="D139" s="57" t="s">
        <v>486</v>
      </c>
      <c r="E139" s="57" t="s">
        <v>347</v>
      </c>
      <c r="F139" s="57">
        <v>21</v>
      </c>
      <c r="G139" s="57" t="s">
        <v>347</v>
      </c>
    </row>
    <row r="140" spans="1:7">
      <c r="A140" s="57" t="s">
        <v>466</v>
      </c>
      <c r="B140" s="57" t="s">
        <v>439</v>
      </c>
      <c r="C140" s="57" t="s">
        <v>442</v>
      </c>
      <c r="D140" s="57" t="s">
        <v>486</v>
      </c>
      <c r="E140" s="57" t="s">
        <v>347</v>
      </c>
      <c r="F140" s="57">
        <v>21</v>
      </c>
      <c r="G140" s="57" t="s">
        <v>347</v>
      </c>
    </row>
    <row r="141" spans="1:7">
      <c r="A141" s="57" t="s">
        <v>466</v>
      </c>
      <c r="B141" s="57" t="s">
        <v>443</v>
      </c>
      <c r="C141" s="57" t="s">
        <v>440</v>
      </c>
      <c r="D141" s="57" t="s">
        <v>486</v>
      </c>
      <c r="E141" s="57" t="s">
        <v>347</v>
      </c>
      <c r="F141" s="57" t="s">
        <v>347</v>
      </c>
      <c r="G141" s="57" t="s">
        <v>347</v>
      </c>
    </row>
    <row r="142" spans="1:7">
      <c r="A142" s="57" t="s">
        <v>466</v>
      </c>
      <c r="B142" s="57" t="s">
        <v>443</v>
      </c>
      <c r="C142" s="57" t="s">
        <v>442</v>
      </c>
      <c r="D142" s="57" t="s">
        <v>486</v>
      </c>
      <c r="E142" s="57" t="s">
        <v>347</v>
      </c>
      <c r="F142" s="57" t="s">
        <v>347</v>
      </c>
      <c r="G142" s="57" t="s">
        <v>347</v>
      </c>
    </row>
    <row r="143" spans="1:7">
      <c r="A143" s="57" t="s">
        <v>466</v>
      </c>
      <c r="B143" s="57" t="s">
        <v>444</v>
      </c>
      <c r="C143" s="57" t="s">
        <v>440</v>
      </c>
      <c r="D143" s="57" t="s">
        <v>486</v>
      </c>
      <c r="E143" s="57" t="s">
        <v>347</v>
      </c>
      <c r="F143" s="57">
        <v>10</v>
      </c>
      <c r="G143" s="57" t="s">
        <v>347</v>
      </c>
    </row>
    <row r="144" spans="1:7">
      <c r="A144" s="57" t="s">
        <v>466</v>
      </c>
      <c r="B144" s="57" t="s">
        <v>444</v>
      </c>
      <c r="C144" s="57" t="s">
        <v>442</v>
      </c>
      <c r="D144" s="57" t="s">
        <v>486</v>
      </c>
      <c r="F144" s="57">
        <v>10</v>
      </c>
    </row>
    <row r="145" spans="1:7">
      <c r="A145" s="57" t="s">
        <v>466</v>
      </c>
      <c r="B145" s="57" t="s">
        <v>444</v>
      </c>
      <c r="C145" s="57" t="s">
        <v>313</v>
      </c>
      <c r="D145" s="57" t="s">
        <v>486</v>
      </c>
      <c r="E145" s="57" t="s">
        <v>347</v>
      </c>
      <c r="F145" s="57">
        <v>10</v>
      </c>
      <c r="G145" s="57" t="s">
        <v>347</v>
      </c>
    </row>
    <row r="146" spans="1:7">
      <c r="A146" s="57" t="s">
        <v>466</v>
      </c>
      <c r="B146" s="57" t="s">
        <v>445</v>
      </c>
      <c r="C146" s="57" t="s">
        <v>440</v>
      </c>
      <c r="D146" s="57" t="s">
        <v>486</v>
      </c>
      <c r="F146" s="57" t="s">
        <v>347</v>
      </c>
    </row>
    <row r="147" spans="1:7">
      <c r="A147" s="57" t="s">
        <v>466</v>
      </c>
      <c r="B147" s="57" t="s">
        <v>445</v>
      </c>
      <c r="C147" s="57" t="s">
        <v>442</v>
      </c>
      <c r="D147" s="57" t="s">
        <v>486</v>
      </c>
      <c r="F147" s="57" t="s">
        <v>347</v>
      </c>
    </row>
    <row r="148" spans="1:7">
      <c r="A148" s="57" t="s">
        <v>466</v>
      </c>
      <c r="B148" s="57" t="s">
        <v>446</v>
      </c>
      <c r="C148" s="57" t="s">
        <v>440</v>
      </c>
      <c r="D148" s="57" t="s">
        <v>486</v>
      </c>
      <c r="F148" s="57" t="s">
        <v>347</v>
      </c>
    </row>
    <row r="149" spans="1:7">
      <c r="A149" s="57" t="s">
        <v>466</v>
      </c>
      <c r="B149" s="57" t="s">
        <v>446</v>
      </c>
      <c r="C149" s="57" t="s">
        <v>442</v>
      </c>
      <c r="D149" s="57" t="s">
        <v>486</v>
      </c>
      <c r="F149" s="57" t="s">
        <v>347</v>
      </c>
    </row>
    <row r="150" spans="1:7">
      <c r="A150" s="57" t="s">
        <v>466</v>
      </c>
      <c r="B150" s="57" t="s">
        <v>447</v>
      </c>
      <c r="C150" s="57" t="s">
        <v>440</v>
      </c>
      <c r="D150" s="57" t="s">
        <v>486</v>
      </c>
      <c r="F150" s="57" t="s">
        <v>347</v>
      </c>
    </row>
    <row r="151" spans="1:7">
      <c r="A151" s="57" t="s">
        <v>466</v>
      </c>
      <c r="B151" s="57" t="s">
        <v>447</v>
      </c>
      <c r="C151" s="57" t="s">
        <v>442</v>
      </c>
      <c r="D151" s="57" t="s">
        <v>486</v>
      </c>
      <c r="F151" s="57" t="s">
        <v>347</v>
      </c>
    </row>
    <row r="152" spans="1:7">
      <c r="A152" s="57" t="s">
        <v>466</v>
      </c>
      <c r="B152" s="57" t="s">
        <v>447</v>
      </c>
      <c r="C152" s="57" t="s">
        <v>313</v>
      </c>
      <c r="D152" s="57" t="s">
        <v>486</v>
      </c>
      <c r="F152" s="57" t="s">
        <v>347</v>
      </c>
    </row>
    <row r="154" spans="1:7">
      <c r="A154" s="57" t="s">
        <v>467</v>
      </c>
      <c r="B154" s="57" t="s">
        <v>439</v>
      </c>
      <c r="C154" s="57" t="s">
        <v>440</v>
      </c>
      <c r="D154" s="57" t="s">
        <v>486</v>
      </c>
      <c r="E154" s="57" t="s">
        <v>347</v>
      </c>
      <c r="F154" s="57">
        <v>36</v>
      </c>
      <c r="G154" s="57" t="s">
        <v>347</v>
      </c>
    </row>
    <row r="155" spans="1:7">
      <c r="A155" s="57" t="s">
        <v>467</v>
      </c>
      <c r="B155" s="57" t="s">
        <v>439</v>
      </c>
      <c r="C155" s="57" t="s">
        <v>442</v>
      </c>
      <c r="D155" s="57" t="s">
        <v>486</v>
      </c>
      <c r="E155" s="57" t="s">
        <v>347</v>
      </c>
      <c r="F155" s="57">
        <v>34</v>
      </c>
      <c r="G155" s="57" t="s">
        <v>347</v>
      </c>
    </row>
    <row r="156" spans="1:7">
      <c r="A156" s="57" t="s">
        <v>467</v>
      </c>
      <c r="B156" s="57" t="s">
        <v>443</v>
      </c>
      <c r="C156" s="57" t="s">
        <v>440</v>
      </c>
      <c r="D156" s="57" t="s">
        <v>486</v>
      </c>
      <c r="E156" s="57" t="s">
        <v>347</v>
      </c>
      <c r="F156" s="57">
        <v>14</v>
      </c>
      <c r="G156" s="57" t="s">
        <v>347</v>
      </c>
    </row>
    <row r="157" spans="1:7">
      <c r="A157" s="57" t="s">
        <v>467</v>
      </c>
      <c r="B157" s="57" t="s">
        <v>443</v>
      </c>
      <c r="C157" s="57" t="s">
        <v>442</v>
      </c>
      <c r="D157" s="57" t="s">
        <v>486</v>
      </c>
      <c r="E157" s="57" t="s">
        <v>347</v>
      </c>
      <c r="F157" s="57">
        <v>16</v>
      </c>
      <c r="G157" s="57" t="s">
        <v>347</v>
      </c>
    </row>
    <row r="158" spans="1:7">
      <c r="A158" s="57" t="s">
        <v>467</v>
      </c>
      <c r="B158" s="57" t="s">
        <v>444</v>
      </c>
      <c r="C158" s="57" t="s">
        <v>440</v>
      </c>
      <c r="D158" s="57" t="s">
        <v>486</v>
      </c>
      <c r="E158" s="57" t="s">
        <v>347</v>
      </c>
      <c r="F158" s="57">
        <v>11</v>
      </c>
      <c r="G158" s="57" t="s">
        <v>347</v>
      </c>
    </row>
    <row r="159" spans="1:7">
      <c r="A159" s="57" t="s">
        <v>467</v>
      </c>
      <c r="B159" s="57" t="s">
        <v>444</v>
      </c>
      <c r="C159" s="57" t="s">
        <v>442</v>
      </c>
      <c r="D159" s="57" t="s">
        <v>486</v>
      </c>
      <c r="E159" s="57" t="s">
        <v>347</v>
      </c>
      <c r="F159" s="57">
        <v>11</v>
      </c>
      <c r="G159" s="57" t="s">
        <v>347</v>
      </c>
    </row>
    <row r="160" spans="1:7">
      <c r="A160" s="57" t="s">
        <v>467</v>
      </c>
      <c r="B160" s="57" t="s">
        <v>444</v>
      </c>
      <c r="C160" s="57" t="s">
        <v>313</v>
      </c>
      <c r="D160" s="57" t="s">
        <v>486</v>
      </c>
      <c r="E160" s="57" t="s">
        <v>347</v>
      </c>
      <c r="F160" s="57">
        <v>11</v>
      </c>
      <c r="G160" s="57" t="s">
        <v>347</v>
      </c>
    </row>
    <row r="161" spans="1:7">
      <c r="A161" s="57" t="s">
        <v>467</v>
      </c>
      <c r="B161" s="57" t="s">
        <v>445</v>
      </c>
      <c r="C161" s="57" t="s">
        <v>440</v>
      </c>
      <c r="D161" s="57" t="s">
        <v>486</v>
      </c>
      <c r="E161" s="57" t="s">
        <v>347</v>
      </c>
      <c r="F161" s="57">
        <v>19</v>
      </c>
      <c r="G161" s="57" t="s">
        <v>347</v>
      </c>
    </row>
    <row r="162" spans="1:7">
      <c r="A162" s="57" t="s">
        <v>467</v>
      </c>
      <c r="B162" s="57" t="s">
        <v>445</v>
      </c>
      <c r="C162" s="57" t="s">
        <v>442</v>
      </c>
      <c r="D162" s="57" t="s">
        <v>486</v>
      </c>
      <c r="E162" s="57" t="s">
        <v>347</v>
      </c>
      <c r="F162" s="57">
        <v>19</v>
      </c>
      <c r="G162" s="57" t="s">
        <v>347</v>
      </c>
    </row>
    <row r="164" spans="1:7">
      <c r="A164" s="57" t="s">
        <v>468</v>
      </c>
      <c r="B164" s="57" t="s">
        <v>439</v>
      </c>
      <c r="C164" s="57" t="s">
        <v>440</v>
      </c>
      <c r="D164" s="57" t="s">
        <v>486</v>
      </c>
      <c r="E164" s="57" t="s">
        <v>347</v>
      </c>
      <c r="F164" s="57">
        <v>17</v>
      </c>
      <c r="G164" s="57" t="s">
        <v>347</v>
      </c>
    </row>
    <row r="165" spans="1:7">
      <c r="A165" s="57" t="s">
        <v>468</v>
      </c>
      <c r="B165" s="57" t="s">
        <v>439</v>
      </c>
      <c r="C165" s="57" t="s">
        <v>442</v>
      </c>
      <c r="D165" s="57" t="s">
        <v>486</v>
      </c>
      <c r="E165" s="57" t="s">
        <v>347</v>
      </c>
      <c r="F165" s="57">
        <v>17</v>
      </c>
      <c r="G165" s="57" t="s">
        <v>347</v>
      </c>
    </row>
    <row r="166" spans="1:7">
      <c r="A166" s="57" t="s">
        <v>468</v>
      </c>
      <c r="B166" s="57" t="s">
        <v>443</v>
      </c>
      <c r="C166" s="57" t="s">
        <v>440</v>
      </c>
      <c r="D166" s="57" t="s">
        <v>486</v>
      </c>
      <c r="E166" s="57" t="s">
        <v>347</v>
      </c>
      <c r="F166" s="57">
        <v>14</v>
      </c>
      <c r="G166" s="57" t="s">
        <v>347</v>
      </c>
    </row>
    <row r="167" spans="1:7">
      <c r="A167" s="57" t="s">
        <v>468</v>
      </c>
      <c r="B167" s="57" t="s">
        <v>443</v>
      </c>
      <c r="C167" s="57" t="s">
        <v>442</v>
      </c>
      <c r="D167" s="57" t="s">
        <v>486</v>
      </c>
      <c r="E167" s="57" t="s">
        <v>347</v>
      </c>
      <c r="F167" s="57">
        <v>14</v>
      </c>
      <c r="G167" s="57" t="s">
        <v>347</v>
      </c>
    </row>
    <row r="168" spans="1:7">
      <c r="A168" s="57" t="s">
        <v>468</v>
      </c>
      <c r="B168" s="57" t="s">
        <v>444</v>
      </c>
      <c r="C168" s="57" t="s">
        <v>440</v>
      </c>
      <c r="D168" s="57" t="s">
        <v>486</v>
      </c>
      <c r="E168" s="57" t="s">
        <v>347</v>
      </c>
      <c r="F168" s="57" t="s">
        <v>347</v>
      </c>
      <c r="G168" s="57" t="s">
        <v>347</v>
      </c>
    </row>
    <row r="169" spans="1:7">
      <c r="A169" s="57" t="s">
        <v>468</v>
      </c>
      <c r="B169" s="57" t="s">
        <v>444</v>
      </c>
      <c r="C169" s="57" t="s">
        <v>442</v>
      </c>
      <c r="D169" s="57" t="s">
        <v>486</v>
      </c>
      <c r="E169" s="57" t="s">
        <v>347</v>
      </c>
      <c r="F169" s="57" t="s">
        <v>347</v>
      </c>
      <c r="G169" s="57" t="s">
        <v>347</v>
      </c>
    </row>
    <row r="170" spans="1:7">
      <c r="A170" s="57" t="s">
        <v>468</v>
      </c>
      <c r="B170" s="57" t="s">
        <v>444</v>
      </c>
      <c r="C170" s="57" t="s">
        <v>313</v>
      </c>
      <c r="D170" s="57" t="s">
        <v>486</v>
      </c>
      <c r="E170" s="57" t="s">
        <v>347</v>
      </c>
      <c r="F170" s="57" t="s">
        <v>347</v>
      </c>
      <c r="G170" s="57" t="s">
        <v>347</v>
      </c>
    </row>
    <row r="171" spans="1:7">
      <c r="A171" s="57" t="s">
        <v>468</v>
      </c>
      <c r="B171" s="57" t="s">
        <v>445</v>
      </c>
      <c r="C171" s="57" t="s">
        <v>440</v>
      </c>
      <c r="D171" s="57" t="s">
        <v>486</v>
      </c>
      <c r="E171" s="57" t="s">
        <v>347</v>
      </c>
      <c r="F171" s="57">
        <v>15</v>
      </c>
      <c r="G171" s="57" t="s">
        <v>347</v>
      </c>
    </row>
    <row r="172" spans="1:7">
      <c r="A172" s="57" t="s">
        <v>468</v>
      </c>
      <c r="B172" s="57" t="s">
        <v>445</v>
      </c>
      <c r="C172" s="57" t="s">
        <v>442</v>
      </c>
      <c r="D172" s="57" t="s">
        <v>486</v>
      </c>
      <c r="F172" s="57">
        <v>15</v>
      </c>
    </row>
    <row r="173" spans="1:7">
      <c r="A173" s="57" t="s">
        <v>468</v>
      </c>
      <c r="B173" s="57" t="s">
        <v>446</v>
      </c>
      <c r="C173" s="57" t="s">
        <v>440</v>
      </c>
      <c r="D173" s="57" t="s">
        <v>486</v>
      </c>
      <c r="E173" s="57" t="s">
        <v>347</v>
      </c>
      <c r="F173" s="57">
        <v>20</v>
      </c>
      <c r="G173" s="57" t="s">
        <v>347</v>
      </c>
    </row>
    <row r="174" spans="1:7">
      <c r="A174" s="57" t="s">
        <v>468</v>
      </c>
      <c r="B174" s="57" t="s">
        <v>446</v>
      </c>
      <c r="C174" s="57" t="s">
        <v>442</v>
      </c>
      <c r="D174" s="57" t="s">
        <v>486</v>
      </c>
      <c r="E174" s="57" t="s">
        <v>347</v>
      </c>
      <c r="F174" s="57">
        <v>19</v>
      </c>
      <c r="G174" s="57" t="s">
        <v>347</v>
      </c>
    </row>
    <row r="175" spans="1:7">
      <c r="A175" s="57" t="s">
        <v>468</v>
      </c>
      <c r="B175" s="57" t="s">
        <v>447</v>
      </c>
      <c r="C175" s="57" t="s">
        <v>440</v>
      </c>
      <c r="D175" s="57" t="s">
        <v>486</v>
      </c>
      <c r="F175" s="57" t="s">
        <v>347</v>
      </c>
    </row>
    <row r="176" spans="1:7">
      <c r="A176" s="57" t="s">
        <v>468</v>
      </c>
      <c r="B176" s="57" t="s">
        <v>447</v>
      </c>
      <c r="C176" s="57" t="s">
        <v>442</v>
      </c>
      <c r="D176" s="57" t="s">
        <v>486</v>
      </c>
      <c r="E176" s="57" t="s">
        <v>347</v>
      </c>
      <c r="F176" s="57" t="s">
        <v>347</v>
      </c>
      <c r="G176" s="57" t="s">
        <v>347</v>
      </c>
    </row>
    <row r="177" spans="1:7">
      <c r="A177" s="57" t="s">
        <v>468</v>
      </c>
      <c r="B177" s="57" t="s">
        <v>447</v>
      </c>
      <c r="C177" s="57" t="s">
        <v>313</v>
      </c>
      <c r="D177" s="57" t="s">
        <v>486</v>
      </c>
      <c r="E177" s="57" t="s">
        <v>347</v>
      </c>
      <c r="F177" s="57" t="s">
        <v>347</v>
      </c>
      <c r="G177" s="57" t="s">
        <v>347</v>
      </c>
    </row>
    <row r="179" spans="1:7">
      <c r="A179" s="57" t="s">
        <v>469</v>
      </c>
      <c r="B179" s="57" t="s">
        <v>439</v>
      </c>
      <c r="C179" s="57" t="s">
        <v>440</v>
      </c>
      <c r="D179" s="57" t="s">
        <v>486</v>
      </c>
      <c r="E179" s="57">
        <v>19</v>
      </c>
      <c r="F179" s="57">
        <v>38</v>
      </c>
      <c r="G179" s="58">
        <v>0.5</v>
      </c>
    </row>
    <row r="180" spans="1:7">
      <c r="A180" s="57" t="s">
        <v>469</v>
      </c>
      <c r="B180" s="57" t="s">
        <v>439</v>
      </c>
      <c r="C180" s="57" t="s">
        <v>442</v>
      </c>
      <c r="D180" s="57" t="s">
        <v>486</v>
      </c>
      <c r="E180" s="57">
        <v>15</v>
      </c>
      <c r="F180" s="57">
        <v>38</v>
      </c>
      <c r="G180" s="58">
        <v>0.39500000000000002</v>
      </c>
    </row>
    <row r="181" spans="1:7">
      <c r="A181" s="57" t="s">
        <v>469</v>
      </c>
      <c r="B181" s="57" t="s">
        <v>443</v>
      </c>
      <c r="C181" s="57" t="s">
        <v>440</v>
      </c>
      <c r="D181" s="57" t="s">
        <v>486</v>
      </c>
      <c r="E181" s="57">
        <v>22</v>
      </c>
      <c r="F181" s="57">
        <v>43</v>
      </c>
      <c r="G181" s="58">
        <v>0.51200000000000001</v>
      </c>
    </row>
    <row r="182" spans="1:7">
      <c r="A182" s="57" t="s">
        <v>469</v>
      </c>
      <c r="B182" s="57" t="s">
        <v>443</v>
      </c>
      <c r="C182" s="57" t="s">
        <v>442</v>
      </c>
      <c r="D182" s="57" t="s">
        <v>486</v>
      </c>
      <c r="E182" s="57">
        <v>24</v>
      </c>
      <c r="F182" s="57">
        <v>43</v>
      </c>
      <c r="G182" s="58">
        <v>0.55800000000000005</v>
      </c>
    </row>
    <row r="183" spans="1:7">
      <c r="A183" s="57" t="s">
        <v>469</v>
      </c>
      <c r="B183" s="57" t="s">
        <v>444</v>
      </c>
      <c r="C183" s="57" t="s">
        <v>440</v>
      </c>
      <c r="D183" s="57" t="s">
        <v>486</v>
      </c>
      <c r="E183" s="57">
        <v>17</v>
      </c>
      <c r="F183" s="57">
        <v>33</v>
      </c>
      <c r="G183" s="58">
        <v>0.51500000000000001</v>
      </c>
    </row>
    <row r="184" spans="1:7">
      <c r="A184" s="57" t="s">
        <v>469</v>
      </c>
      <c r="B184" s="57" t="s">
        <v>444</v>
      </c>
      <c r="C184" s="57" t="s">
        <v>442</v>
      </c>
      <c r="D184" s="57" t="s">
        <v>486</v>
      </c>
      <c r="E184" s="57">
        <v>12</v>
      </c>
      <c r="F184" s="57">
        <v>33</v>
      </c>
      <c r="G184" s="58">
        <v>0.36399999999999999</v>
      </c>
    </row>
    <row r="185" spans="1:7">
      <c r="A185" s="57" t="s">
        <v>469</v>
      </c>
      <c r="B185" s="57" t="s">
        <v>444</v>
      </c>
      <c r="C185" s="57" t="s">
        <v>313</v>
      </c>
      <c r="D185" s="57" t="s">
        <v>486</v>
      </c>
      <c r="E185" s="57">
        <v>16</v>
      </c>
      <c r="F185" s="57">
        <v>33</v>
      </c>
      <c r="G185" s="58">
        <v>0.48499999999999999</v>
      </c>
    </row>
    <row r="186" spans="1:7">
      <c r="A186" s="57" t="s">
        <v>469</v>
      </c>
      <c r="B186" s="57" t="s">
        <v>445</v>
      </c>
      <c r="C186" s="57" t="s">
        <v>440</v>
      </c>
      <c r="D186" s="57" t="s">
        <v>486</v>
      </c>
      <c r="E186" s="57">
        <v>16</v>
      </c>
      <c r="F186" s="57">
        <v>35</v>
      </c>
      <c r="G186" s="58">
        <v>0.45700000000000002</v>
      </c>
    </row>
    <row r="187" spans="1:7">
      <c r="A187" s="57" t="s">
        <v>469</v>
      </c>
      <c r="B187" s="57" t="s">
        <v>445</v>
      </c>
      <c r="C187" s="57" t="s">
        <v>442</v>
      </c>
      <c r="D187" s="57" t="s">
        <v>486</v>
      </c>
      <c r="E187" s="57">
        <v>16</v>
      </c>
      <c r="F187" s="57">
        <v>35</v>
      </c>
      <c r="G187" s="58">
        <v>0.45700000000000002</v>
      </c>
    </row>
    <row r="188" spans="1:7">
      <c r="A188" s="57" t="s">
        <v>469</v>
      </c>
      <c r="B188" s="57" t="s">
        <v>446</v>
      </c>
      <c r="C188" s="57" t="s">
        <v>440</v>
      </c>
      <c r="D188" s="57" t="s">
        <v>486</v>
      </c>
      <c r="E188" s="57">
        <v>11</v>
      </c>
      <c r="F188" s="57">
        <v>33</v>
      </c>
      <c r="G188" s="58">
        <v>0.33300000000000002</v>
      </c>
    </row>
    <row r="189" spans="1:7">
      <c r="A189" s="57" t="s">
        <v>469</v>
      </c>
      <c r="B189" s="57" t="s">
        <v>446</v>
      </c>
      <c r="C189" s="57" t="s">
        <v>442</v>
      </c>
      <c r="D189" s="57" t="s">
        <v>486</v>
      </c>
      <c r="E189" s="57">
        <v>14</v>
      </c>
      <c r="F189" s="57">
        <v>33</v>
      </c>
      <c r="G189" s="58">
        <v>0.42399999999999999</v>
      </c>
    </row>
    <row r="190" spans="1:7">
      <c r="A190" s="57" t="s">
        <v>469</v>
      </c>
      <c r="B190" s="57" t="s">
        <v>447</v>
      </c>
      <c r="C190" s="57" t="s">
        <v>440</v>
      </c>
      <c r="D190" s="57" t="s">
        <v>486</v>
      </c>
      <c r="E190" s="57" t="s">
        <v>347</v>
      </c>
      <c r="F190" s="57">
        <v>24</v>
      </c>
      <c r="G190" s="57" t="s">
        <v>347</v>
      </c>
    </row>
    <row r="191" spans="1:7">
      <c r="A191" s="57" t="s">
        <v>469</v>
      </c>
      <c r="B191" s="57" t="s">
        <v>447</v>
      </c>
      <c r="C191" s="57" t="s">
        <v>442</v>
      </c>
      <c r="D191" s="57" t="s">
        <v>486</v>
      </c>
      <c r="E191" s="57">
        <v>10</v>
      </c>
      <c r="F191" s="57">
        <v>24</v>
      </c>
      <c r="G191" s="58">
        <v>0.41699999999999998</v>
      </c>
    </row>
    <row r="192" spans="1:7">
      <c r="A192" s="57" t="s">
        <v>469</v>
      </c>
      <c r="B192" s="57" t="s">
        <v>447</v>
      </c>
      <c r="C192" s="57" t="s">
        <v>313</v>
      </c>
      <c r="D192" s="57" t="s">
        <v>486</v>
      </c>
      <c r="E192" s="57">
        <v>10</v>
      </c>
      <c r="F192" s="57">
        <v>24</v>
      </c>
      <c r="G192" s="58">
        <v>0.41699999999999998</v>
      </c>
    </row>
    <row r="193" spans="1:7">
      <c r="G193" s="58"/>
    </row>
    <row r="194" spans="1:7">
      <c r="A194" s="57" t="s">
        <v>470</v>
      </c>
      <c r="B194" s="57" t="s">
        <v>439</v>
      </c>
      <c r="C194" s="57" t="s">
        <v>440</v>
      </c>
      <c r="D194" s="57" t="s">
        <v>486</v>
      </c>
      <c r="E194" s="57" t="s">
        <v>347</v>
      </c>
      <c r="F194" s="57">
        <v>33</v>
      </c>
      <c r="G194" s="57" t="s">
        <v>347</v>
      </c>
    </row>
    <row r="195" spans="1:7">
      <c r="A195" s="57" t="s">
        <v>470</v>
      </c>
      <c r="B195" s="57" t="s">
        <v>439</v>
      </c>
      <c r="C195" s="57" t="s">
        <v>442</v>
      </c>
      <c r="D195" s="57" t="s">
        <v>486</v>
      </c>
      <c r="E195" s="57">
        <v>10</v>
      </c>
      <c r="F195" s="57">
        <v>31</v>
      </c>
      <c r="G195" s="58">
        <v>0.32300000000000001</v>
      </c>
    </row>
    <row r="196" spans="1:7">
      <c r="A196" s="57" t="s">
        <v>470</v>
      </c>
      <c r="B196" s="57" t="s">
        <v>443</v>
      </c>
      <c r="C196" s="57" t="s">
        <v>440</v>
      </c>
      <c r="D196" s="57" t="s">
        <v>486</v>
      </c>
      <c r="E196" s="57" t="s">
        <v>347</v>
      </c>
      <c r="F196" s="57">
        <v>17</v>
      </c>
      <c r="G196" s="57" t="s">
        <v>347</v>
      </c>
    </row>
    <row r="197" spans="1:7">
      <c r="A197" s="57" t="s">
        <v>470</v>
      </c>
      <c r="B197" s="57" t="s">
        <v>443</v>
      </c>
      <c r="C197" s="57" t="s">
        <v>442</v>
      </c>
      <c r="D197" s="57" t="s">
        <v>486</v>
      </c>
      <c r="E197" s="57" t="s">
        <v>347</v>
      </c>
      <c r="F197" s="57">
        <v>19</v>
      </c>
      <c r="G197" s="57" t="s">
        <v>347</v>
      </c>
    </row>
    <row r="198" spans="1:7">
      <c r="A198" s="57" t="s">
        <v>470</v>
      </c>
      <c r="B198" s="57" t="s">
        <v>444</v>
      </c>
      <c r="C198" s="57" t="s">
        <v>440</v>
      </c>
      <c r="D198" s="57" t="s">
        <v>486</v>
      </c>
      <c r="E198" s="57">
        <v>10</v>
      </c>
      <c r="F198" s="57">
        <v>33</v>
      </c>
      <c r="G198" s="58">
        <v>0.30299999999999999</v>
      </c>
    </row>
    <row r="199" spans="1:7">
      <c r="A199" s="57" t="s">
        <v>470</v>
      </c>
      <c r="B199" s="57" t="s">
        <v>444</v>
      </c>
      <c r="C199" s="57" t="s">
        <v>442</v>
      </c>
      <c r="D199" s="57" t="s">
        <v>486</v>
      </c>
      <c r="E199" s="57" t="s">
        <v>347</v>
      </c>
      <c r="F199" s="57">
        <v>33</v>
      </c>
      <c r="G199" s="57" t="s">
        <v>347</v>
      </c>
    </row>
    <row r="200" spans="1:7">
      <c r="A200" s="57" t="s">
        <v>470</v>
      </c>
      <c r="B200" s="57" t="s">
        <v>444</v>
      </c>
      <c r="C200" s="57" t="s">
        <v>313</v>
      </c>
      <c r="D200" s="57" t="s">
        <v>486</v>
      </c>
      <c r="E200" s="57" t="s">
        <v>347</v>
      </c>
      <c r="F200" s="57">
        <v>31</v>
      </c>
      <c r="G200" s="57" t="s">
        <v>347</v>
      </c>
    </row>
    <row r="201" spans="1:7">
      <c r="A201" s="57" t="s">
        <v>470</v>
      </c>
      <c r="B201" s="57" t="s">
        <v>445</v>
      </c>
      <c r="C201" s="57" t="s">
        <v>440</v>
      </c>
      <c r="D201" s="57" t="s">
        <v>486</v>
      </c>
      <c r="E201" s="57" t="s">
        <v>347</v>
      </c>
      <c r="F201" s="57">
        <v>24</v>
      </c>
      <c r="G201" s="57" t="s">
        <v>347</v>
      </c>
    </row>
    <row r="202" spans="1:7">
      <c r="A202" s="57" t="s">
        <v>470</v>
      </c>
      <c r="B202" s="57" t="s">
        <v>445</v>
      </c>
      <c r="C202" s="57" t="s">
        <v>442</v>
      </c>
      <c r="D202" s="57" t="s">
        <v>486</v>
      </c>
      <c r="E202" s="57" t="s">
        <v>347</v>
      </c>
      <c r="F202" s="57">
        <v>24</v>
      </c>
      <c r="G202" s="57" t="s">
        <v>347</v>
      </c>
    </row>
    <row r="203" spans="1:7">
      <c r="A203" s="57" t="s">
        <v>470</v>
      </c>
      <c r="B203" s="57" t="s">
        <v>446</v>
      </c>
      <c r="C203" s="57" t="s">
        <v>440</v>
      </c>
      <c r="D203" s="57" t="s">
        <v>486</v>
      </c>
      <c r="E203" s="57" t="s">
        <v>347</v>
      </c>
      <c r="F203" s="57">
        <v>26</v>
      </c>
      <c r="G203" s="57" t="s">
        <v>347</v>
      </c>
    </row>
    <row r="204" spans="1:7">
      <c r="A204" s="57" t="s">
        <v>470</v>
      </c>
      <c r="B204" s="57" t="s">
        <v>446</v>
      </c>
      <c r="C204" s="57" t="s">
        <v>442</v>
      </c>
      <c r="D204" s="57" t="s">
        <v>486</v>
      </c>
      <c r="E204" s="57" t="s">
        <v>347</v>
      </c>
      <c r="F204" s="57">
        <v>26</v>
      </c>
      <c r="G204" s="57" t="s">
        <v>347</v>
      </c>
    </row>
    <row r="205" spans="1:7">
      <c r="A205" s="57" t="s">
        <v>470</v>
      </c>
      <c r="B205" s="57" t="s">
        <v>447</v>
      </c>
      <c r="C205" s="57" t="s">
        <v>440</v>
      </c>
      <c r="D205" s="57" t="s">
        <v>486</v>
      </c>
      <c r="E205" s="57" t="s">
        <v>347</v>
      </c>
      <c r="F205" s="57">
        <v>23</v>
      </c>
      <c r="G205" s="57" t="s">
        <v>347</v>
      </c>
    </row>
    <row r="206" spans="1:7">
      <c r="A206" s="57" t="s">
        <v>470</v>
      </c>
      <c r="B206" s="57" t="s">
        <v>447</v>
      </c>
      <c r="C206" s="57" t="s">
        <v>442</v>
      </c>
      <c r="D206" s="57" t="s">
        <v>486</v>
      </c>
      <c r="E206" s="57" t="s">
        <v>347</v>
      </c>
      <c r="F206" s="57">
        <v>23</v>
      </c>
      <c r="G206" s="57" t="s">
        <v>347</v>
      </c>
    </row>
    <row r="207" spans="1:7">
      <c r="A207" s="57" t="s">
        <v>470</v>
      </c>
      <c r="B207" s="57" t="s">
        <v>447</v>
      </c>
      <c r="C207" s="57" t="s">
        <v>313</v>
      </c>
      <c r="D207" s="57" t="s">
        <v>486</v>
      </c>
      <c r="E207" s="57" t="s">
        <v>347</v>
      </c>
      <c r="F207" s="57">
        <v>23</v>
      </c>
      <c r="G207" s="57" t="s">
        <v>347</v>
      </c>
    </row>
    <row r="209" spans="1:7">
      <c r="A209" s="57" t="s">
        <v>471</v>
      </c>
      <c r="B209" s="57" t="s">
        <v>439</v>
      </c>
      <c r="C209" s="57" t="s">
        <v>440</v>
      </c>
      <c r="D209" s="57" t="s">
        <v>486</v>
      </c>
      <c r="E209" s="57">
        <v>22</v>
      </c>
      <c r="F209" s="57">
        <v>38</v>
      </c>
      <c r="G209" s="58">
        <v>0.57899999999999996</v>
      </c>
    </row>
    <row r="210" spans="1:7">
      <c r="A210" s="57" t="s">
        <v>471</v>
      </c>
      <c r="B210" s="57" t="s">
        <v>439</v>
      </c>
      <c r="C210" s="57" t="s">
        <v>442</v>
      </c>
      <c r="D210" s="57" t="s">
        <v>486</v>
      </c>
      <c r="E210" s="57">
        <v>30</v>
      </c>
      <c r="F210" s="57">
        <v>37</v>
      </c>
      <c r="G210" s="58">
        <v>0.81100000000000005</v>
      </c>
    </row>
    <row r="211" spans="1:7">
      <c r="A211" s="57" t="s">
        <v>471</v>
      </c>
      <c r="B211" s="57" t="s">
        <v>443</v>
      </c>
      <c r="C211" s="57" t="s">
        <v>440</v>
      </c>
      <c r="D211" s="57" t="s">
        <v>486</v>
      </c>
      <c r="E211" s="57">
        <v>17</v>
      </c>
      <c r="F211" s="57">
        <v>34</v>
      </c>
      <c r="G211" s="58">
        <v>0.5</v>
      </c>
    </row>
    <row r="212" spans="1:7">
      <c r="A212" s="57" t="s">
        <v>471</v>
      </c>
      <c r="B212" s="57" t="s">
        <v>443</v>
      </c>
      <c r="C212" s="57" t="s">
        <v>442</v>
      </c>
      <c r="D212" s="57" t="s">
        <v>486</v>
      </c>
      <c r="E212" s="57">
        <v>24</v>
      </c>
      <c r="F212" s="57">
        <v>34</v>
      </c>
      <c r="G212" s="58">
        <v>0.70599999999999996</v>
      </c>
    </row>
    <row r="213" spans="1:7">
      <c r="A213" s="57" t="s">
        <v>471</v>
      </c>
      <c r="B213" s="57" t="s">
        <v>444</v>
      </c>
      <c r="C213" s="57" t="s">
        <v>440</v>
      </c>
      <c r="D213" s="57" t="s">
        <v>486</v>
      </c>
      <c r="E213" s="57">
        <v>16</v>
      </c>
      <c r="F213" s="57">
        <v>23</v>
      </c>
      <c r="G213" s="58">
        <v>0.69599999999999995</v>
      </c>
    </row>
    <row r="214" spans="1:7">
      <c r="A214" s="57" t="s">
        <v>471</v>
      </c>
      <c r="B214" s="57" t="s">
        <v>444</v>
      </c>
      <c r="C214" s="57" t="s">
        <v>442</v>
      </c>
      <c r="D214" s="57" t="s">
        <v>486</v>
      </c>
      <c r="E214" s="57">
        <v>14</v>
      </c>
      <c r="F214" s="57">
        <v>23</v>
      </c>
      <c r="G214" s="58">
        <v>0.60899999999999999</v>
      </c>
    </row>
    <row r="215" spans="1:7">
      <c r="A215" s="57" t="s">
        <v>471</v>
      </c>
      <c r="B215" s="57" t="s">
        <v>444</v>
      </c>
      <c r="C215" s="57" t="s">
        <v>313</v>
      </c>
      <c r="D215" s="57" t="s">
        <v>486</v>
      </c>
      <c r="E215" s="57">
        <v>14</v>
      </c>
      <c r="F215" s="57">
        <v>22</v>
      </c>
      <c r="G215" s="58">
        <v>0.63600000000000001</v>
      </c>
    </row>
    <row r="216" spans="1:7">
      <c r="A216" s="57" t="s">
        <v>471</v>
      </c>
      <c r="B216" s="57" t="s">
        <v>445</v>
      </c>
      <c r="C216" s="57" t="s">
        <v>440</v>
      </c>
      <c r="D216" s="57" t="s">
        <v>486</v>
      </c>
      <c r="E216" s="57" t="s">
        <v>347</v>
      </c>
      <c r="F216" s="57">
        <v>29</v>
      </c>
      <c r="G216" s="57" t="s">
        <v>347</v>
      </c>
    </row>
    <row r="217" spans="1:7">
      <c r="A217" s="57" t="s">
        <v>471</v>
      </c>
      <c r="B217" s="57" t="s">
        <v>445</v>
      </c>
      <c r="C217" s="57" t="s">
        <v>442</v>
      </c>
      <c r="D217" s="57" t="s">
        <v>486</v>
      </c>
      <c r="E217" s="57">
        <v>15</v>
      </c>
      <c r="F217" s="57">
        <v>29</v>
      </c>
      <c r="G217" s="58">
        <v>0.51700000000000002</v>
      </c>
    </row>
    <row r="218" spans="1:7">
      <c r="A218" s="57" t="s">
        <v>471</v>
      </c>
      <c r="B218" s="57" t="s">
        <v>446</v>
      </c>
      <c r="C218" s="57" t="s">
        <v>440</v>
      </c>
      <c r="D218" s="57" t="s">
        <v>486</v>
      </c>
      <c r="E218" s="57">
        <v>12</v>
      </c>
      <c r="F218" s="57">
        <v>24</v>
      </c>
      <c r="G218" s="58">
        <v>0.5</v>
      </c>
    </row>
    <row r="219" spans="1:7">
      <c r="A219" s="57" t="s">
        <v>471</v>
      </c>
      <c r="B219" s="57" t="s">
        <v>446</v>
      </c>
      <c r="C219" s="57" t="s">
        <v>442</v>
      </c>
      <c r="D219" s="57" t="s">
        <v>486</v>
      </c>
      <c r="E219" s="57" t="s">
        <v>347</v>
      </c>
      <c r="F219" s="57">
        <v>21</v>
      </c>
      <c r="G219" s="57" t="s">
        <v>347</v>
      </c>
    </row>
    <row r="220" spans="1:7">
      <c r="A220" s="57" t="s">
        <v>471</v>
      </c>
      <c r="B220" s="57" t="s">
        <v>447</v>
      </c>
      <c r="C220" s="57" t="s">
        <v>440</v>
      </c>
      <c r="D220" s="57" t="s">
        <v>486</v>
      </c>
      <c r="E220" s="57" t="s">
        <v>347</v>
      </c>
      <c r="F220" s="57">
        <v>15</v>
      </c>
      <c r="G220" s="57" t="s">
        <v>347</v>
      </c>
    </row>
    <row r="221" spans="1:7">
      <c r="A221" s="57" t="s">
        <v>471</v>
      </c>
      <c r="B221" s="57" t="s">
        <v>447</v>
      </c>
      <c r="C221" s="57" t="s">
        <v>442</v>
      </c>
      <c r="D221" s="57" t="s">
        <v>486</v>
      </c>
      <c r="E221" s="57" t="s">
        <v>347</v>
      </c>
      <c r="F221" s="57">
        <v>15</v>
      </c>
      <c r="G221" s="57" t="s">
        <v>347</v>
      </c>
    </row>
    <row r="222" spans="1:7">
      <c r="A222" s="57" t="s">
        <v>471</v>
      </c>
      <c r="B222" s="57" t="s">
        <v>447</v>
      </c>
      <c r="C222" s="57" t="s">
        <v>313</v>
      </c>
      <c r="D222" s="57" t="s">
        <v>486</v>
      </c>
      <c r="E222" s="57" t="s">
        <v>347</v>
      </c>
      <c r="F222" s="57">
        <v>14</v>
      </c>
      <c r="G222" s="57" t="s">
        <v>347</v>
      </c>
    </row>
    <row r="224" spans="1:7">
      <c r="A224" s="57" t="s">
        <v>472</v>
      </c>
      <c r="B224" s="57" t="s">
        <v>439</v>
      </c>
      <c r="C224" s="57" t="s">
        <v>440</v>
      </c>
      <c r="D224" s="57" t="s">
        <v>486</v>
      </c>
      <c r="E224" s="57" t="s">
        <v>347</v>
      </c>
      <c r="F224" s="57">
        <v>22</v>
      </c>
      <c r="G224" s="57" t="s">
        <v>347</v>
      </c>
    </row>
    <row r="225" spans="1:7">
      <c r="A225" s="57" t="s">
        <v>472</v>
      </c>
      <c r="B225" s="57" t="s">
        <v>439</v>
      </c>
      <c r="C225" s="57" t="s">
        <v>442</v>
      </c>
      <c r="D225" s="57" t="s">
        <v>486</v>
      </c>
      <c r="E225" s="57" t="s">
        <v>347</v>
      </c>
      <c r="F225" s="57">
        <v>22</v>
      </c>
      <c r="G225" s="57" t="s">
        <v>347</v>
      </c>
    </row>
    <row r="226" spans="1:7">
      <c r="A226" s="57" t="s">
        <v>472</v>
      </c>
      <c r="B226" s="57" t="s">
        <v>443</v>
      </c>
      <c r="C226" s="57" t="s">
        <v>440</v>
      </c>
      <c r="D226" s="57" t="s">
        <v>486</v>
      </c>
      <c r="E226" s="57" t="s">
        <v>347</v>
      </c>
      <c r="F226" s="57">
        <v>17</v>
      </c>
      <c r="G226" s="57" t="s">
        <v>347</v>
      </c>
    </row>
    <row r="227" spans="1:7">
      <c r="A227" s="57" t="s">
        <v>472</v>
      </c>
      <c r="B227" s="57" t="s">
        <v>443</v>
      </c>
      <c r="C227" s="57" t="s">
        <v>442</v>
      </c>
      <c r="D227" s="57" t="s">
        <v>486</v>
      </c>
      <c r="E227" s="57" t="s">
        <v>347</v>
      </c>
      <c r="F227" s="57">
        <v>16</v>
      </c>
      <c r="G227" s="57" t="s">
        <v>347</v>
      </c>
    </row>
    <row r="228" spans="1:7">
      <c r="A228" s="57" t="s">
        <v>472</v>
      </c>
      <c r="B228" s="57" t="s">
        <v>444</v>
      </c>
      <c r="C228" s="57" t="s">
        <v>440</v>
      </c>
      <c r="D228" s="57" t="s">
        <v>486</v>
      </c>
      <c r="E228" s="57" t="s">
        <v>347</v>
      </c>
      <c r="F228" s="57">
        <v>26</v>
      </c>
      <c r="G228" s="57" t="s">
        <v>347</v>
      </c>
    </row>
    <row r="229" spans="1:7">
      <c r="A229" s="57" t="s">
        <v>472</v>
      </c>
      <c r="B229" s="57" t="s">
        <v>444</v>
      </c>
      <c r="C229" s="57" t="s">
        <v>442</v>
      </c>
      <c r="D229" s="57" t="s">
        <v>486</v>
      </c>
      <c r="F229" s="57">
        <v>26</v>
      </c>
    </row>
    <row r="230" spans="1:7">
      <c r="A230" s="57" t="s">
        <v>472</v>
      </c>
      <c r="B230" s="57" t="s">
        <v>444</v>
      </c>
      <c r="C230" s="57" t="s">
        <v>313</v>
      </c>
      <c r="D230" s="57" t="s">
        <v>486</v>
      </c>
      <c r="E230" s="57" t="s">
        <v>347</v>
      </c>
      <c r="F230" s="57">
        <v>25</v>
      </c>
      <c r="G230" s="57" t="s">
        <v>347</v>
      </c>
    </row>
    <row r="231" spans="1:7">
      <c r="A231" s="57" t="s">
        <v>472</v>
      </c>
      <c r="B231" s="57" t="s">
        <v>445</v>
      </c>
      <c r="C231" s="57" t="s">
        <v>440</v>
      </c>
      <c r="D231" s="57" t="s">
        <v>486</v>
      </c>
      <c r="E231" s="57" t="s">
        <v>347</v>
      </c>
      <c r="F231" s="57">
        <v>18</v>
      </c>
      <c r="G231" s="57" t="s">
        <v>347</v>
      </c>
    </row>
    <row r="232" spans="1:7">
      <c r="A232" s="57" t="s">
        <v>472</v>
      </c>
      <c r="B232" s="57" t="s">
        <v>445</v>
      </c>
      <c r="C232" s="57" t="s">
        <v>442</v>
      </c>
      <c r="D232" s="57" t="s">
        <v>486</v>
      </c>
      <c r="E232" s="57" t="s">
        <v>347</v>
      </c>
      <c r="F232" s="57">
        <v>18</v>
      </c>
      <c r="G232" s="57" t="s">
        <v>347</v>
      </c>
    </row>
    <row r="233" spans="1:7">
      <c r="A233" s="57" t="s">
        <v>472</v>
      </c>
      <c r="B233" s="57" t="s">
        <v>446</v>
      </c>
      <c r="C233" s="57" t="s">
        <v>440</v>
      </c>
      <c r="D233" s="57" t="s">
        <v>486</v>
      </c>
      <c r="E233" s="57" t="s">
        <v>347</v>
      </c>
      <c r="F233" s="57">
        <v>18</v>
      </c>
      <c r="G233" s="57" t="s">
        <v>347</v>
      </c>
    </row>
    <row r="234" spans="1:7">
      <c r="A234" s="57" t="s">
        <v>472</v>
      </c>
      <c r="B234" s="57" t="s">
        <v>446</v>
      </c>
      <c r="C234" s="57" t="s">
        <v>442</v>
      </c>
      <c r="D234" s="57" t="s">
        <v>486</v>
      </c>
      <c r="E234" s="57" t="s">
        <v>347</v>
      </c>
      <c r="F234" s="57">
        <v>18</v>
      </c>
      <c r="G234" s="57" t="s">
        <v>347</v>
      </c>
    </row>
    <row r="235" spans="1:7">
      <c r="A235" s="57" t="s">
        <v>472</v>
      </c>
      <c r="B235" s="57" t="s">
        <v>447</v>
      </c>
      <c r="C235" s="57" t="s">
        <v>440</v>
      </c>
      <c r="D235" s="57" t="s">
        <v>486</v>
      </c>
      <c r="E235" s="57" t="s">
        <v>347</v>
      </c>
      <c r="F235" s="57">
        <v>26</v>
      </c>
      <c r="G235" s="57" t="s">
        <v>347</v>
      </c>
    </row>
    <row r="236" spans="1:7">
      <c r="A236" s="57" t="s">
        <v>472</v>
      </c>
      <c r="B236" s="57" t="s">
        <v>447</v>
      </c>
      <c r="C236" s="57" t="s">
        <v>442</v>
      </c>
      <c r="D236" s="57" t="s">
        <v>486</v>
      </c>
      <c r="E236" s="57" t="s">
        <v>347</v>
      </c>
      <c r="F236" s="57">
        <v>24</v>
      </c>
      <c r="G236" s="57" t="s">
        <v>347</v>
      </c>
    </row>
    <row r="237" spans="1:7">
      <c r="A237" s="57" t="s">
        <v>472</v>
      </c>
      <c r="B237" s="57" t="s">
        <v>447</v>
      </c>
      <c r="C237" s="57" t="s">
        <v>313</v>
      </c>
      <c r="D237" s="57" t="s">
        <v>486</v>
      </c>
      <c r="E237" s="57" t="s">
        <v>347</v>
      </c>
      <c r="F237" s="57">
        <v>23</v>
      </c>
      <c r="G237" s="57" t="s">
        <v>347</v>
      </c>
    </row>
    <row r="239" spans="1:7">
      <c r="A239" s="57" t="s">
        <v>473</v>
      </c>
      <c r="B239" s="57" t="s">
        <v>439</v>
      </c>
      <c r="C239" s="57" t="s">
        <v>440</v>
      </c>
      <c r="D239" s="57" t="s">
        <v>486</v>
      </c>
      <c r="E239" s="57" t="s">
        <v>347</v>
      </c>
      <c r="F239" s="57">
        <v>32</v>
      </c>
      <c r="G239" s="57" t="s">
        <v>347</v>
      </c>
    </row>
    <row r="240" spans="1:7">
      <c r="A240" s="57" t="s">
        <v>473</v>
      </c>
      <c r="B240" s="57" t="s">
        <v>439</v>
      </c>
      <c r="C240" s="57" t="s">
        <v>442</v>
      </c>
      <c r="D240" s="57" t="s">
        <v>486</v>
      </c>
      <c r="E240" s="57">
        <v>10</v>
      </c>
      <c r="F240" s="57">
        <v>32</v>
      </c>
      <c r="G240" s="58">
        <v>0.313</v>
      </c>
    </row>
    <row r="241" spans="1:7">
      <c r="A241" s="57" t="s">
        <v>473</v>
      </c>
      <c r="B241" s="57" t="s">
        <v>443</v>
      </c>
      <c r="C241" s="57" t="s">
        <v>440</v>
      </c>
      <c r="D241" s="57" t="s">
        <v>486</v>
      </c>
      <c r="E241" s="57" t="s">
        <v>347</v>
      </c>
      <c r="F241" s="57">
        <v>13</v>
      </c>
      <c r="G241" s="57" t="s">
        <v>347</v>
      </c>
    </row>
    <row r="242" spans="1:7">
      <c r="A242" s="57" t="s">
        <v>473</v>
      </c>
      <c r="B242" s="57" t="s">
        <v>443</v>
      </c>
      <c r="C242" s="57" t="s">
        <v>442</v>
      </c>
      <c r="D242" s="57" t="s">
        <v>486</v>
      </c>
      <c r="E242" s="57" t="s">
        <v>347</v>
      </c>
      <c r="F242" s="57">
        <v>13</v>
      </c>
      <c r="G242" s="57" t="s">
        <v>347</v>
      </c>
    </row>
    <row r="243" spans="1:7">
      <c r="A243" s="57" t="s">
        <v>473</v>
      </c>
      <c r="B243" s="57" t="s">
        <v>444</v>
      </c>
      <c r="C243" s="57" t="s">
        <v>440</v>
      </c>
      <c r="D243" s="57" t="s">
        <v>486</v>
      </c>
      <c r="E243" s="57">
        <v>11</v>
      </c>
      <c r="F243" s="57">
        <v>21</v>
      </c>
      <c r="G243" s="58">
        <v>0.52400000000000002</v>
      </c>
    </row>
    <row r="244" spans="1:7">
      <c r="A244" s="57" t="s">
        <v>473</v>
      </c>
      <c r="B244" s="57" t="s">
        <v>444</v>
      </c>
      <c r="C244" s="57" t="s">
        <v>442</v>
      </c>
      <c r="D244" s="57" t="s">
        <v>486</v>
      </c>
      <c r="E244" s="57" t="s">
        <v>347</v>
      </c>
      <c r="F244" s="57">
        <v>21</v>
      </c>
      <c r="G244" s="57" t="s">
        <v>347</v>
      </c>
    </row>
    <row r="245" spans="1:7">
      <c r="A245" s="57" t="s">
        <v>473</v>
      </c>
      <c r="B245" s="57" t="s">
        <v>444</v>
      </c>
      <c r="C245" s="57" t="s">
        <v>313</v>
      </c>
      <c r="D245" s="57" t="s">
        <v>486</v>
      </c>
      <c r="E245" s="57">
        <v>10</v>
      </c>
      <c r="F245" s="57">
        <v>21</v>
      </c>
      <c r="G245" s="58">
        <v>0.47599999999999998</v>
      </c>
    </row>
    <row r="246" spans="1:7">
      <c r="A246" s="57" t="s">
        <v>473</v>
      </c>
      <c r="B246" s="57" t="s">
        <v>445</v>
      </c>
      <c r="C246" s="57" t="s">
        <v>440</v>
      </c>
      <c r="D246" s="57" t="s">
        <v>486</v>
      </c>
      <c r="E246" s="57" t="s">
        <v>347</v>
      </c>
      <c r="F246" s="57">
        <v>14</v>
      </c>
      <c r="G246" s="57" t="s">
        <v>347</v>
      </c>
    </row>
    <row r="247" spans="1:7">
      <c r="A247" s="57" t="s">
        <v>473</v>
      </c>
      <c r="B247" s="57" t="s">
        <v>445</v>
      </c>
      <c r="C247" s="57" t="s">
        <v>442</v>
      </c>
      <c r="D247" s="57" t="s">
        <v>486</v>
      </c>
      <c r="E247" s="57" t="s">
        <v>347</v>
      </c>
      <c r="F247" s="57">
        <v>14</v>
      </c>
      <c r="G247" s="57" t="s">
        <v>347</v>
      </c>
    </row>
    <row r="248" spans="1:7">
      <c r="A248" s="57" t="s">
        <v>473</v>
      </c>
      <c r="B248" s="57" t="s">
        <v>446</v>
      </c>
      <c r="C248" s="57" t="s">
        <v>440</v>
      </c>
      <c r="D248" s="57" t="s">
        <v>486</v>
      </c>
      <c r="E248" s="57" t="s">
        <v>347</v>
      </c>
      <c r="F248" s="57">
        <v>11</v>
      </c>
      <c r="G248" s="57" t="s">
        <v>347</v>
      </c>
    </row>
    <row r="249" spans="1:7">
      <c r="A249" s="57" t="s">
        <v>473</v>
      </c>
      <c r="B249" s="57" t="s">
        <v>446</v>
      </c>
      <c r="C249" s="57" t="s">
        <v>442</v>
      </c>
      <c r="D249" s="57" t="s">
        <v>486</v>
      </c>
      <c r="E249" s="57" t="s">
        <v>347</v>
      </c>
      <c r="F249" s="57">
        <v>11</v>
      </c>
      <c r="G249" s="57" t="s">
        <v>347</v>
      </c>
    </row>
    <row r="250" spans="1:7">
      <c r="A250" s="57" t="s">
        <v>473</v>
      </c>
      <c r="B250" s="57" t="s">
        <v>447</v>
      </c>
      <c r="C250" s="57" t="s">
        <v>440</v>
      </c>
      <c r="D250" s="57" t="s">
        <v>486</v>
      </c>
      <c r="E250" s="57" t="s">
        <v>347</v>
      </c>
      <c r="F250" s="57">
        <v>17</v>
      </c>
      <c r="G250" s="57" t="s">
        <v>347</v>
      </c>
    </row>
    <row r="251" spans="1:7">
      <c r="A251" s="57" t="s">
        <v>473</v>
      </c>
      <c r="B251" s="57" t="s">
        <v>447</v>
      </c>
      <c r="C251" s="57" t="s">
        <v>442</v>
      </c>
      <c r="D251" s="57" t="s">
        <v>486</v>
      </c>
      <c r="E251" s="57" t="s">
        <v>347</v>
      </c>
      <c r="F251" s="57">
        <v>17</v>
      </c>
      <c r="G251" s="57" t="s">
        <v>347</v>
      </c>
    </row>
    <row r="252" spans="1:7">
      <c r="A252" s="57" t="s">
        <v>473</v>
      </c>
      <c r="B252" s="57" t="s">
        <v>447</v>
      </c>
      <c r="C252" s="57" t="s">
        <v>313</v>
      </c>
      <c r="D252" s="57" t="s">
        <v>486</v>
      </c>
      <c r="E252" s="57" t="s">
        <v>347</v>
      </c>
      <c r="F252" s="57">
        <v>17</v>
      </c>
      <c r="G252" s="57" t="s">
        <v>347</v>
      </c>
    </row>
    <row r="254" spans="1:7">
      <c r="A254" s="57" t="s">
        <v>475</v>
      </c>
      <c r="B254" s="57" t="s">
        <v>439</v>
      </c>
      <c r="C254" s="57" t="s">
        <v>440</v>
      </c>
      <c r="D254" s="57" t="s">
        <v>486</v>
      </c>
      <c r="E254" s="57">
        <v>24</v>
      </c>
      <c r="F254" s="57">
        <v>64</v>
      </c>
      <c r="G254" s="58">
        <v>0.375</v>
      </c>
    </row>
    <row r="255" spans="1:7">
      <c r="A255" s="57" t="s">
        <v>475</v>
      </c>
      <c r="B255" s="57" t="s">
        <v>439</v>
      </c>
      <c r="C255" s="57" t="s">
        <v>442</v>
      </c>
      <c r="D255" s="57" t="s">
        <v>486</v>
      </c>
      <c r="E255" s="57">
        <v>28</v>
      </c>
      <c r="F255" s="57">
        <v>62</v>
      </c>
      <c r="G255" s="58">
        <v>0.45200000000000001</v>
      </c>
    </row>
    <row r="256" spans="1:7">
      <c r="A256" s="57" t="s">
        <v>475</v>
      </c>
      <c r="B256" s="57" t="s">
        <v>443</v>
      </c>
      <c r="C256" s="57" t="s">
        <v>440</v>
      </c>
      <c r="D256" s="57" t="s">
        <v>486</v>
      </c>
      <c r="E256" s="57">
        <v>29</v>
      </c>
      <c r="F256" s="57">
        <v>67</v>
      </c>
      <c r="G256" s="58">
        <v>0.433</v>
      </c>
    </row>
    <row r="257" spans="1:7">
      <c r="A257" s="57" t="s">
        <v>475</v>
      </c>
      <c r="B257" s="57" t="s">
        <v>443</v>
      </c>
      <c r="C257" s="57" t="s">
        <v>442</v>
      </c>
      <c r="D257" s="57" t="s">
        <v>486</v>
      </c>
      <c r="E257" s="57">
        <v>39</v>
      </c>
      <c r="F257" s="57">
        <v>67</v>
      </c>
      <c r="G257" s="58">
        <v>0.58199999999999996</v>
      </c>
    </row>
    <row r="258" spans="1:7">
      <c r="A258" s="57" t="s">
        <v>475</v>
      </c>
      <c r="B258" s="57" t="s">
        <v>444</v>
      </c>
      <c r="C258" s="57" t="s">
        <v>440</v>
      </c>
      <c r="D258" s="57" t="s">
        <v>486</v>
      </c>
      <c r="E258" s="57">
        <v>29</v>
      </c>
      <c r="F258" s="57">
        <v>66</v>
      </c>
      <c r="G258" s="58">
        <v>0.439</v>
      </c>
    </row>
    <row r="259" spans="1:7">
      <c r="A259" s="57" t="s">
        <v>475</v>
      </c>
      <c r="B259" s="57" t="s">
        <v>444</v>
      </c>
      <c r="C259" s="57" t="s">
        <v>442</v>
      </c>
      <c r="D259" s="57" t="s">
        <v>486</v>
      </c>
      <c r="E259" s="57">
        <v>21</v>
      </c>
      <c r="F259" s="57">
        <v>66</v>
      </c>
      <c r="G259" s="58">
        <v>0.318</v>
      </c>
    </row>
    <row r="260" spans="1:7">
      <c r="A260" s="57" t="s">
        <v>475</v>
      </c>
      <c r="B260" s="57" t="s">
        <v>444</v>
      </c>
      <c r="C260" s="57" t="s">
        <v>313</v>
      </c>
      <c r="D260" s="57" t="s">
        <v>486</v>
      </c>
      <c r="E260" s="57">
        <v>18</v>
      </c>
      <c r="F260" s="57">
        <v>66</v>
      </c>
      <c r="G260" s="58">
        <v>0.27300000000000002</v>
      </c>
    </row>
    <row r="261" spans="1:7">
      <c r="A261" s="57" t="s">
        <v>475</v>
      </c>
      <c r="B261" s="57" t="s">
        <v>445</v>
      </c>
      <c r="C261" s="57" t="s">
        <v>440</v>
      </c>
      <c r="D261" s="57" t="s">
        <v>486</v>
      </c>
      <c r="E261" s="57" t="s">
        <v>347</v>
      </c>
      <c r="F261" s="57">
        <v>43</v>
      </c>
      <c r="G261" s="57" t="s">
        <v>347</v>
      </c>
    </row>
    <row r="262" spans="1:7">
      <c r="A262" s="57" t="s">
        <v>475</v>
      </c>
      <c r="B262" s="57" t="s">
        <v>445</v>
      </c>
      <c r="C262" s="57" t="s">
        <v>442</v>
      </c>
      <c r="D262" s="57" t="s">
        <v>486</v>
      </c>
      <c r="E262" s="57">
        <v>13</v>
      </c>
      <c r="F262" s="57">
        <v>43</v>
      </c>
      <c r="G262" s="58">
        <v>0.30199999999999999</v>
      </c>
    </row>
    <row r="263" spans="1:7">
      <c r="A263" s="57" t="s">
        <v>475</v>
      </c>
      <c r="B263" s="57" t="s">
        <v>446</v>
      </c>
      <c r="C263" s="57" t="s">
        <v>440</v>
      </c>
      <c r="D263" s="57" t="s">
        <v>486</v>
      </c>
      <c r="E263" s="57" t="s">
        <v>347</v>
      </c>
      <c r="F263" s="57">
        <v>29</v>
      </c>
      <c r="G263" s="57" t="s">
        <v>347</v>
      </c>
    </row>
    <row r="264" spans="1:7">
      <c r="A264" s="57" t="s">
        <v>475</v>
      </c>
      <c r="B264" s="57" t="s">
        <v>446</v>
      </c>
      <c r="C264" s="57" t="s">
        <v>442</v>
      </c>
      <c r="D264" s="57" t="s">
        <v>486</v>
      </c>
      <c r="E264" s="57">
        <v>13</v>
      </c>
      <c r="F264" s="57">
        <v>29</v>
      </c>
      <c r="G264" s="58">
        <v>0.44800000000000001</v>
      </c>
    </row>
    <row r="265" spans="1:7">
      <c r="A265" s="57" t="s">
        <v>475</v>
      </c>
      <c r="B265" s="57" t="s">
        <v>447</v>
      </c>
      <c r="C265" s="57" t="s">
        <v>440</v>
      </c>
      <c r="D265" s="57" t="s">
        <v>486</v>
      </c>
      <c r="E265" s="57" t="s">
        <v>347</v>
      </c>
      <c r="F265" s="57">
        <v>15</v>
      </c>
      <c r="G265" s="57" t="s">
        <v>347</v>
      </c>
    </row>
    <row r="266" spans="1:7">
      <c r="A266" s="57" t="s">
        <v>475</v>
      </c>
      <c r="B266" s="57" t="s">
        <v>447</v>
      </c>
      <c r="C266" s="57" t="s">
        <v>442</v>
      </c>
      <c r="D266" s="57" t="s">
        <v>486</v>
      </c>
      <c r="E266" s="57" t="s">
        <v>347</v>
      </c>
      <c r="F266" s="57">
        <v>15</v>
      </c>
      <c r="G266" s="57" t="s">
        <v>347</v>
      </c>
    </row>
    <row r="267" spans="1:7">
      <c r="A267" s="57" t="s">
        <v>475</v>
      </c>
      <c r="B267" s="57" t="s">
        <v>447</v>
      </c>
      <c r="C267" s="57" t="s">
        <v>313</v>
      </c>
      <c r="D267" s="57" t="s">
        <v>486</v>
      </c>
      <c r="E267" s="57" t="s">
        <v>347</v>
      </c>
      <c r="F267" s="57">
        <v>15</v>
      </c>
      <c r="G267" s="57" t="s">
        <v>347</v>
      </c>
    </row>
    <row r="269" spans="1:7">
      <c r="A269" s="57" t="s">
        <v>488</v>
      </c>
      <c r="B269" s="57" t="s">
        <v>439</v>
      </c>
      <c r="C269" s="57" t="s">
        <v>440</v>
      </c>
      <c r="D269" s="57" t="s">
        <v>486</v>
      </c>
      <c r="E269" s="57" t="s">
        <v>347</v>
      </c>
      <c r="F269" s="57">
        <v>19</v>
      </c>
      <c r="G269" s="57" t="s">
        <v>347</v>
      </c>
    </row>
    <row r="270" spans="1:7">
      <c r="A270" s="57" t="s">
        <v>488</v>
      </c>
      <c r="B270" s="57" t="s">
        <v>439</v>
      </c>
      <c r="C270" s="57" t="s">
        <v>442</v>
      </c>
      <c r="D270" s="57" t="s">
        <v>486</v>
      </c>
      <c r="E270" s="57" t="s">
        <v>347</v>
      </c>
      <c r="F270" s="57">
        <v>19</v>
      </c>
      <c r="G270" s="57" t="s">
        <v>347</v>
      </c>
    </row>
    <row r="271" spans="1:7">
      <c r="A271" s="57" t="s">
        <v>488</v>
      </c>
      <c r="B271" s="57" t="s">
        <v>443</v>
      </c>
      <c r="C271" s="57" t="s">
        <v>440</v>
      </c>
      <c r="D271" s="57" t="s">
        <v>486</v>
      </c>
      <c r="E271" s="57" t="s">
        <v>347</v>
      </c>
      <c r="F271" s="57">
        <v>17</v>
      </c>
      <c r="G271" s="57" t="s">
        <v>347</v>
      </c>
    </row>
    <row r="272" spans="1:7">
      <c r="A272" s="57" t="s">
        <v>488</v>
      </c>
      <c r="B272" s="57" t="s">
        <v>443</v>
      </c>
      <c r="C272" s="57" t="s">
        <v>442</v>
      </c>
      <c r="D272" s="57" t="s">
        <v>486</v>
      </c>
      <c r="E272" s="57" t="s">
        <v>347</v>
      </c>
      <c r="F272" s="57">
        <v>17</v>
      </c>
      <c r="G272" s="57" t="s">
        <v>347</v>
      </c>
    </row>
    <row r="273" spans="1:7">
      <c r="A273" s="57" t="s">
        <v>488</v>
      </c>
      <c r="B273" s="57" t="s">
        <v>444</v>
      </c>
      <c r="C273" s="57" t="s">
        <v>440</v>
      </c>
      <c r="D273" s="57" t="s">
        <v>486</v>
      </c>
      <c r="E273" s="57" t="s">
        <v>347</v>
      </c>
      <c r="F273" s="57">
        <v>11</v>
      </c>
      <c r="G273" s="57" t="s">
        <v>347</v>
      </c>
    </row>
    <row r="274" spans="1:7">
      <c r="A274" s="57" t="s">
        <v>488</v>
      </c>
      <c r="B274" s="57" t="s">
        <v>444</v>
      </c>
      <c r="C274" s="57" t="s">
        <v>442</v>
      </c>
      <c r="D274" s="57" t="s">
        <v>486</v>
      </c>
      <c r="E274" s="57" t="s">
        <v>347</v>
      </c>
      <c r="F274" s="57">
        <v>11</v>
      </c>
      <c r="G274" s="57" t="s">
        <v>347</v>
      </c>
    </row>
    <row r="275" spans="1:7">
      <c r="A275" s="57" t="s">
        <v>488</v>
      </c>
      <c r="B275" s="57" t="s">
        <v>444</v>
      </c>
      <c r="C275" s="57" t="s">
        <v>313</v>
      </c>
      <c r="D275" s="57" t="s">
        <v>486</v>
      </c>
      <c r="E275" s="57" t="s">
        <v>347</v>
      </c>
      <c r="F275" s="57">
        <v>11</v>
      </c>
      <c r="G275" s="57" t="s">
        <v>347</v>
      </c>
    </row>
    <row r="277" spans="1:7">
      <c r="A277" s="57" t="s">
        <v>477</v>
      </c>
      <c r="B277" s="57" t="s">
        <v>439</v>
      </c>
      <c r="C277" s="57" t="s">
        <v>440</v>
      </c>
      <c r="D277" s="57" t="s">
        <v>486</v>
      </c>
      <c r="E277" s="57" t="s">
        <v>347</v>
      </c>
      <c r="F277" s="57">
        <v>21</v>
      </c>
      <c r="G277" s="57" t="s">
        <v>347</v>
      </c>
    </row>
    <row r="278" spans="1:7">
      <c r="A278" s="57" t="s">
        <v>477</v>
      </c>
      <c r="B278" s="57" t="s">
        <v>439</v>
      </c>
      <c r="C278" s="57" t="s">
        <v>442</v>
      </c>
      <c r="D278" s="57" t="s">
        <v>486</v>
      </c>
      <c r="E278" s="57" t="s">
        <v>347</v>
      </c>
      <c r="F278" s="57">
        <v>20</v>
      </c>
      <c r="G278" s="57" t="s">
        <v>347</v>
      </c>
    </row>
    <row r="279" spans="1:7">
      <c r="A279" s="57" t="s">
        <v>477</v>
      </c>
      <c r="B279" s="57" t="s">
        <v>443</v>
      </c>
      <c r="C279" s="57" t="s">
        <v>440</v>
      </c>
      <c r="D279" s="57" t="s">
        <v>486</v>
      </c>
      <c r="E279" s="57" t="s">
        <v>347</v>
      </c>
      <c r="F279" s="57">
        <v>16</v>
      </c>
      <c r="G279" s="57" t="s">
        <v>347</v>
      </c>
    </row>
    <row r="280" spans="1:7">
      <c r="A280" s="57" t="s">
        <v>477</v>
      </c>
      <c r="B280" s="57" t="s">
        <v>443</v>
      </c>
      <c r="C280" s="57" t="s">
        <v>442</v>
      </c>
      <c r="D280" s="57" t="s">
        <v>486</v>
      </c>
      <c r="E280" s="57" t="s">
        <v>347</v>
      </c>
      <c r="F280" s="57">
        <v>17</v>
      </c>
      <c r="G280" s="57" t="s">
        <v>347</v>
      </c>
    </row>
    <row r="281" spans="1:7">
      <c r="A281" s="57" t="s">
        <v>477</v>
      </c>
      <c r="B281" s="57" t="s">
        <v>444</v>
      </c>
      <c r="C281" s="57" t="s">
        <v>440</v>
      </c>
      <c r="D281" s="57" t="s">
        <v>486</v>
      </c>
      <c r="E281" s="57">
        <v>11</v>
      </c>
      <c r="F281" s="57">
        <v>30</v>
      </c>
      <c r="G281" s="58">
        <v>0.36699999999999999</v>
      </c>
    </row>
    <row r="282" spans="1:7">
      <c r="A282" s="57" t="s">
        <v>477</v>
      </c>
      <c r="B282" s="57" t="s">
        <v>444</v>
      </c>
      <c r="C282" s="57" t="s">
        <v>442</v>
      </c>
      <c r="D282" s="57" t="s">
        <v>486</v>
      </c>
      <c r="E282" s="57" t="s">
        <v>347</v>
      </c>
      <c r="F282" s="57">
        <v>30</v>
      </c>
      <c r="G282" s="57" t="s">
        <v>347</v>
      </c>
    </row>
    <row r="283" spans="1:7">
      <c r="A283" s="57" t="s">
        <v>477</v>
      </c>
      <c r="B283" s="57" t="s">
        <v>444</v>
      </c>
      <c r="C283" s="57" t="s">
        <v>313</v>
      </c>
      <c r="D283" s="57" t="s">
        <v>486</v>
      </c>
      <c r="E283" s="57" t="s">
        <v>347</v>
      </c>
      <c r="F283" s="57">
        <v>29</v>
      </c>
      <c r="G283" s="57" t="s">
        <v>347</v>
      </c>
    </row>
    <row r="284" spans="1:7">
      <c r="A284" s="57" t="s">
        <v>477</v>
      </c>
      <c r="B284" s="57" t="s">
        <v>445</v>
      </c>
      <c r="C284" s="57" t="s">
        <v>440</v>
      </c>
      <c r="D284" s="57" t="s">
        <v>486</v>
      </c>
      <c r="E284" s="57" t="s">
        <v>347</v>
      </c>
      <c r="F284" s="57">
        <v>28</v>
      </c>
      <c r="G284" s="57" t="s">
        <v>347</v>
      </c>
    </row>
    <row r="285" spans="1:7">
      <c r="A285" s="57" t="s">
        <v>477</v>
      </c>
      <c r="B285" s="57" t="s">
        <v>445</v>
      </c>
      <c r="C285" s="57" t="s">
        <v>442</v>
      </c>
      <c r="D285" s="57" t="s">
        <v>486</v>
      </c>
      <c r="E285" s="57" t="s">
        <v>347</v>
      </c>
      <c r="F285" s="57">
        <v>28</v>
      </c>
      <c r="G285" s="57" t="s">
        <v>347</v>
      </c>
    </row>
    <row r="286" spans="1:7">
      <c r="A286" s="57" t="s">
        <v>477</v>
      </c>
      <c r="B286" s="57" t="s">
        <v>446</v>
      </c>
      <c r="C286" s="57" t="s">
        <v>440</v>
      </c>
      <c r="D286" s="57" t="s">
        <v>486</v>
      </c>
      <c r="E286" s="57">
        <v>14</v>
      </c>
      <c r="F286" s="57">
        <v>26</v>
      </c>
      <c r="G286" s="58">
        <v>0.53800000000000003</v>
      </c>
    </row>
    <row r="287" spans="1:7">
      <c r="A287" s="57" t="s">
        <v>477</v>
      </c>
      <c r="B287" s="57" t="s">
        <v>446</v>
      </c>
      <c r="C287" s="57" t="s">
        <v>442</v>
      </c>
      <c r="D287" s="57" t="s">
        <v>486</v>
      </c>
      <c r="E287" s="57" t="s">
        <v>347</v>
      </c>
      <c r="F287" s="57">
        <v>26</v>
      </c>
      <c r="G287" s="57" t="s">
        <v>347</v>
      </c>
    </row>
    <row r="288" spans="1:7">
      <c r="A288" s="57" t="s">
        <v>477</v>
      </c>
      <c r="B288" s="57" t="s">
        <v>447</v>
      </c>
      <c r="C288" s="57" t="s">
        <v>440</v>
      </c>
      <c r="D288" s="57" t="s">
        <v>486</v>
      </c>
      <c r="E288" s="57" t="s">
        <v>347</v>
      </c>
      <c r="F288" s="57">
        <v>31</v>
      </c>
      <c r="G288" s="57" t="s">
        <v>347</v>
      </c>
    </row>
    <row r="289" spans="1:7">
      <c r="A289" s="57" t="s">
        <v>477</v>
      </c>
      <c r="B289" s="57" t="s">
        <v>447</v>
      </c>
      <c r="C289" s="57" t="s">
        <v>442</v>
      </c>
      <c r="D289" s="57" t="s">
        <v>486</v>
      </c>
      <c r="E289" s="57" t="s">
        <v>347</v>
      </c>
      <c r="F289" s="57">
        <v>31</v>
      </c>
      <c r="G289" s="57" t="s">
        <v>347</v>
      </c>
    </row>
    <row r="290" spans="1:7">
      <c r="A290" s="57" t="s">
        <v>477</v>
      </c>
      <c r="B290" s="57" t="s">
        <v>447</v>
      </c>
      <c r="C290" s="57" t="s">
        <v>313</v>
      </c>
      <c r="D290" s="57" t="s">
        <v>486</v>
      </c>
      <c r="E290" s="57" t="s">
        <v>347</v>
      </c>
      <c r="F290" s="57">
        <v>31</v>
      </c>
      <c r="G290" s="57" t="s">
        <v>347</v>
      </c>
    </row>
    <row r="291" spans="1:7">
      <c r="A291" s="57" t="s">
        <v>477</v>
      </c>
      <c r="B291" s="57" t="s">
        <v>453</v>
      </c>
      <c r="C291" s="57" t="s">
        <v>454</v>
      </c>
      <c r="D291" s="57" t="s">
        <v>486</v>
      </c>
      <c r="E291" s="57">
        <v>13</v>
      </c>
      <c r="F291" s="57">
        <v>47</v>
      </c>
      <c r="G291" s="58">
        <v>0.27700000000000002</v>
      </c>
    </row>
    <row r="292" spans="1:7">
      <c r="A292" s="57" t="s">
        <v>477</v>
      </c>
      <c r="B292" s="57" t="s">
        <v>453</v>
      </c>
      <c r="C292" s="57" t="s">
        <v>461</v>
      </c>
      <c r="D292" s="57" t="s">
        <v>486</v>
      </c>
      <c r="E292" s="57">
        <v>24</v>
      </c>
      <c r="F292" s="57">
        <v>29</v>
      </c>
      <c r="G292" s="58">
        <v>0.82799999999999996</v>
      </c>
    </row>
    <row r="293" spans="1:7">
      <c r="A293" s="57" t="s">
        <v>477</v>
      </c>
      <c r="B293" s="57" t="s">
        <v>453</v>
      </c>
      <c r="C293" s="57" t="s">
        <v>455</v>
      </c>
      <c r="D293" s="57" t="s">
        <v>486</v>
      </c>
      <c r="E293" s="57">
        <v>29</v>
      </c>
      <c r="F293" s="57">
        <v>55</v>
      </c>
      <c r="G293" s="58">
        <v>0.52700000000000002</v>
      </c>
    </row>
    <row r="294" spans="1:7">
      <c r="A294" s="57" t="s">
        <v>477</v>
      </c>
      <c r="B294" s="57" t="s">
        <v>453</v>
      </c>
      <c r="C294" s="57" t="s">
        <v>456</v>
      </c>
      <c r="D294" s="57" t="s">
        <v>486</v>
      </c>
      <c r="E294" s="57">
        <v>24</v>
      </c>
      <c r="F294" s="57">
        <v>56</v>
      </c>
      <c r="G294" s="58">
        <v>0.42899999999999999</v>
      </c>
    </row>
    <row r="295" spans="1:7">
      <c r="A295" s="57" t="s">
        <v>477</v>
      </c>
      <c r="B295" s="57" t="s">
        <v>453</v>
      </c>
      <c r="C295" s="57" t="s">
        <v>457</v>
      </c>
      <c r="D295" s="57" t="s">
        <v>486</v>
      </c>
      <c r="E295" s="57">
        <v>28</v>
      </c>
      <c r="F295" s="57">
        <v>79</v>
      </c>
      <c r="G295" s="58">
        <v>0.35399999999999998</v>
      </c>
    </row>
    <row r="296" spans="1:7">
      <c r="A296" s="57" t="s">
        <v>477</v>
      </c>
      <c r="B296" s="57" t="s">
        <v>453</v>
      </c>
      <c r="C296" s="57" t="s">
        <v>458</v>
      </c>
      <c r="D296" s="57" t="s">
        <v>486</v>
      </c>
      <c r="E296" s="57">
        <v>30</v>
      </c>
      <c r="F296" s="57">
        <v>71</v>
      </c>
      <c r="G296" s="58">
        <v>0.42299999999999999</v>
      </c>
    </row>
    <row r="297" spans="1:7">
      <c r="A297" s="57" t="s">
        <v>477</v>
      </c>
      <c r="B297" s="57" t="s">
        <v>453</v>
      </c>
      <c r="C297" s="57" t="s">
        <v>459</v>
      </c>
      <c r="D297" s="57" t="s">
        <v>486</v>
      </c>
      <c r="E297" s="57" t="s">
        <v>347</v>
      </c>
      <c r="F297" s="57">
        <v>52</v>
      </c>
      <c r="G297" s="57" t="s">
        <v>347</v>
      </c>
    </row>
    <row r="299" spans="1:7">
      <c r="A299" s="57" t="s">
        <v>478</v>
      </c>
      <c r="B299" s="57" t="s">
        <v>439</v>
      </c>
      <c r="C299" s="57" t="s">
        <v>440</v>
      </c>
      <c r="D299" s="57" t="s">
        <v>486</v>
      </c>
      <c r="E299" s="57" t="s">
        <v>347</v>
      </c>
      <c r="F299" s="57">
        <v>26</v>
      </c>
      <c r="G299" s="57" t="s">
        <v>347</v>
      </c>
    </row>
    <row r="300" spans="1:7">
      <c r="A300" s="57" t="s">
        <v>478</v>
      </c>
      <c r="B300" s="57" t="s">
        <v>439</v>
      </c>
      <c r="C300" s="57" t="s">
        <v>442</v>
      </c>
      <c r="D300" s="57" t="s">
        <v>486</v>
      </c>
      <c r="E300" s="57">
        <v>11</v>
      </c>
      <c r="F300" s="57">
        <v>24</v>
      </c>
      <c r="G300" s="58">
        <v>0.45800000000000002</v>
      </c>
    </row>
    <row r="301" spans="1:7">
      <c r="A301" s="57" t="s">
        <v>478</v>
      </c>
      <c r="B301" s="57" t="s">
        <v>443</v>
      </c>
      <c r="C301" s="57" t="s">
        <v>440</v>
      </c>
      <c r="D301" s="57" t="s">
        <v>486</v>
      </c>
      <c r="E301" s="57">
        <v>13</v>
      </c>
      <c r="F301" s="57">
        <v>27</v>
      </c>
      <c r="G301" s="58">
        <v>0.48099999999999998</v>
      </c>
    </row>
    <row r="302" spans="1:7">
      <c r="A302" s="57" t="s">
        <v>478</v>
      </c>
      <c r="B302" s="57" t="s">
        <v>443</v>
      </c>
      <c r="C302" s="57" t="s">
        <v>442</v>
      </c>
      <c r="D302" s="57" t="s">
        <v>486</v>
      </c>
      <c r="E302" s="57">
        <v>20</v>
      </c>
      <c r="F302" s="57">
        <v>29</v>
      </c>
      <c r="G302" s="58">
        <v>0.69</v>
      </c>
    </row>
    <row r="303" spans="1:7">
      <c r="A303" s="57" t="s">
        <v>478</v>
      </c>
      <c r="B303" s="57" t="s">
        <v>444</v>
      </c>
      <c r="C303" s="57" t="s">
        <v>440</v>
      </c>
      <c r="D303" s="57" t="s">
        <v>486</v>
      </c>
      <c r="E303" s="57">
        <v>10</v>
      </c>
      <c r="F303" s="57">
        <v>27</v>
      </c>
      <c r="G303" s="58">
        <v>0.37</v>
      </c>
    </row>
    <row r="304" spans="1:7">
      <c r="A304" s="57" t="s">
        <v>478</v>
      </c>
      <c r="B304" s="57" t="s">
        <v>444</v>
      </c>
      <c r="C304" s="57" t="s">
        <v>442</v>
      </c>
      <c r="D304" s="57" t="s">
        <v>486</v>
      </c>
      <c r="E304" s="57" t="s">
        <v>347</v>
      </c>
      <c r="F304" s="57">
        <v>28</v>
      </c>
      <c r="G304" s="57" t="s">
        <v>347</v>
      </c>
    </row>
    <row r="305" spans="1:7">
      <c r="A305" s="57" t="s">
        <v>478</v>
      </c>
      <c r="B305" s="57" t="s">
        <v>444</v>
      </c>
      <c r="C305" s="57" t="s">
        <v>313</v>
      </c>
      <c r="D305" s="57" t="s">
        <v>486</v>
      </c>
      <c r="E305" s="57" t="s">
        <v>347</v>
      </c>
      <c r="F305" s="57">
        <v>27</v>
      </c>
      <c r="G305" s="57" t="s">
        <v>347</v>
      </c>
    </row>
    <row r="306" spans="1:7">
      <c r="A306" s="57" t="s">
        <v>478</v>
      </c>
      <c r="B306" s="57" t="s">
        <v>445</v>
      </c>
      <c r="C306" s="57" t="s">
        <v>440</v>
      </c>
      <c r="D306" s="57" t="s">
        <v>486</v>
      </c>
      <c r="E306" s="57" t="s">
        <v>347</v>
      </c>
      <c r="F306" s="57">
        <v>27</v>
      </c>
      <c r="G306" s="57" t="s">
        <v>347</v>
      </c>
    </row>
    <row r="307" spans="1:7">
      <c r="A307" s="57" t="s">
        <v>478</v>
      </c>
      <c r="B307" s="57" t="s">
        <v>445</v>
      </c>
      <c r="C307" s="57" t="s">
        <v>442</v>
      </c>
      <c r="D307" s="57" t="s">
        <v>486</v>
      </c>
      <c r="E307" s="57" t="s">
        <v>347</v>
      </c>
      <c r="F307" s="57">
        <v>27</v>
      </c>
      <c r="G307" s="57" t="s">
        <v>347</v>
      </c>
    </row>
    <row r="308" spans="1:7">
      <c r="A308" s="57" t="s">
        <v>478</v>
      </c>
      <c r="B308" s="57" t="s">
        <v>446</v>
      </c>
      <c r="C308" s="57" t="s">
        <v>440</v>
      </c>
      <c r="D308" s="57" t="s">
        <v>486</v>
      </c>
      <c r="E308" s="57" t="s">
        <v>347</v>
      </c>
      <c r="F308" s="57">
        <v>18</v>
      </c>
      <c r="G308" s="57" t="s">
        <v>347</v>
      </c>
    </row>
    <row r="309" spans="1:7">
      <c r="A309" s="57" t="s">
        <v>478</v>
      </c>
      <c r="B309" s="57" t="s">
        <v>446</v>
      </c>
      <c r="C309" s="57" t="s">
        <v>442</v>
      </c>
      <c r="D309" s="57" t="s">
        <v>486</v>
      </c>
      <c r="E309" s="57" t="s">
        <v>347</v>
      </c>
      <c r="F309" s="57">
        <v>19</v>
      </c>
      <c r="G309" s="57" t="s">
        <v>347</v>
      </c>
    </row>
    <row r="310" spans="1:7">
      <c r="A310" s="57" t="s">
        <v>478</v>
      </c>
      <c r="B310" s="57" t="s">
        <v>447</v>
      </c>
      <c r="C310" s="57" t="s">
        <v>440</v>
      </c>
      <c r="D310" s="57" t="s">
        <v>486</v>
      </c>
      <c r="E310" s="57" t="s">
        <v>347</v>
      </c>
      <c r="F310" s="57">
        <v>29</v>
      </c>
      <c r="G310" s="57" t="s">
        <v>347</v>
      </c>
    </row>
    <row r="311" spans="1:7">
      <c r="A311" s="57" t="s">
        <v>478</v>
      </c>
      <c r="B311" s="57" t="s">
        <v>447</v>
      </c>
      <c r="C311" s="57" t="s">
        <v>442</v>
      </c>
      <c r="D311" s="57" t="s">
        <v>486</v>
      </c>
      <c r="E311" s="57">
        <v>10</v>
      </c>
      <c r="F311" s="57">
        <v>29</v>
      </c>
      <c r="G311" s="58">
        <v>0.34499999999999997</v>
      </c>
    </row>
    <row r="312" spans="1:7">
      <c r="A312" s="57" t="s">
        <v>478</v>
      </c>
      <c r="B312" s="57" t="s">
        <v>447</v>
      </c>
      <c r="C312" s="57" t="s">
        <v>313</v>
      </c>
      <c r="D312" s="57" t="s">
        <v>486</v>
      </c>
      <c r="E312" s="57" t="s">
        <v>347</v>
      </c>
      <c r="F312" s="57">
        <v>29</v>
      </c>
      <c r="G312" s="57" t="s">
        <v>347</v>
      </c>
    </row>
    <row r="314" spans="1:7">
      <c r="A314" s="57" t="s">
        <v>479</v>
      </c>
      <c r="B314" s="57" t="s">
        <v>439</v>
      </c>
      <c r="C314" s="57" t="s">
        <v>440</v>
      </c>
      <c r="D314" s="57" t="s">
        <v>486</v>
      </c>
      <c r="E314" s="57" t="s">
        <v>347</v>
      </c>
      <c r="F314" s="57">
        <v>23</v>
      </c>
      <c r="G314" s="57" t="s">
        <v>347</v>
      </c>
    </row>
    <row r="315" spans="1:7">
      <c r="A315" s="57" t="s">
        <v>479</v>
      </c>
      <c r="B315" s="57" t="s">
        <v>439</v>
      </c>
      <c r="C315" s="57" t="s">
        <v>442</v>
      </c>
      <c r="D315" s="57" t="s">
        <v>486</v>
      </c>
      <c r="E315" s="57" t="s">
        <v>347</v>
      </c>
      <c r="F315" s="57">
        <v>22</v>
      </c>
      <c r="G315" s="57" t="s">
        <v>347</v>
      </c>
    </row>
    <row r="316" spans="1:7">
      <c r="A316" s="57" t="s">
        <v>479</v>
      </c>
      <c r="B316" s="57" t="s">
        <v>443</v>
      </c>
      <c r="C316" s="57" t="s">
        <v>440</v>
      </c>
      <c r="D316" s="57" t="s">
        <v>486</v>
      </c>
      <c r="E316" s="57">
        <v>11</v>
      </c>
      <c r="F316" s="57">
        <v>28</v>
      </c>
      <c r="G316" s="58">
        <v>0.39300000000000002</v>
      </c>
    </row>
    <row r="317" spans="1:7">
      <c r="A317" s="57" t="s">
        <v>479</v>
      </c>
      <c r="B317" s="57" t="s">
        <v>443</v>
      </c>
      <c r="C317" s="57" t="s">
        <v>442</v>
      </c>
      <c r="D317" s="57" t="s">
        <v>486</v>
      </c>
      <c r="E317" s="57" t="s">
        <v>347</v>
      </c>
      <c r="F317" s="57">
        <v>28</v>
      </c>
      <c r="G317" s="57" t="s">
        <v>347</v>
      </c>
    </row>
    <row r="318" spans="1:7">
      <c r="A318" s="57" t="s">
        <v>479</v>
      </c>
      <c r="B318" s="57" t="s">
        <v>444</v>
      </c>
      <c r="C318" s="57" t="s">
        <v>440</v>
      </c>
      <c r="D318" s="57" t="s">
        <v>486</v>
      </c>
      <c r="E318" s="57" t="s">
        <v>347</v>
      </c>
      <c r="F318" s="57">
        <v>30</v>
      </c>
      <c r="G318" s="57" t="s">
        <v>347</v>
      </c>
    </row>
    <row r="319" spans="1:7">
      <c r="A319" s="57" t="s">
        <v>479</v>
      </c>
      <c r="B319" s="57" t="s">
        <v>444</v>
      </c>
      <c r="C319" s="57" t="s">
        <v>442</v>
      </c>
      <c r="D319" s="57" t="s">
        <v>486</v>
      </c>
      <c r="E319" s="57" t="s">
        <v>347</v>
      </c>
      <c r="F319" s="57">
        <v>30</v>
      </c>
      <c r="G319" s="57" t="s">
        <v>347</v>
      </c>
    </row>
    <row r="320" spans="1:7">
      <c r="A320" s="57" t="s">
        <v>479</v>
      </c>
      <c r="B320" s="57" t="s">
        <v>444</v>
      </c>
      <c r="C320" s="57" t="s">
        <v>313</v>
      </c>
      <c r="D320" s="57" t="s">
        <v>486</v>
      </c>
      <c r="E320" s="57" t="s">
        <v>347</v>
      </c>
      <c r="F320" s="57">
        <v>30</v>
      </c>
      <c r="G320" s="57" t="s">
        <v>347</v>
      </c>
    </row>
    <row r="321" spans="1:7">
      <c r="A321" s="57" t="s">
        <v>479</v>
      </c>
      <c r="B321" s="57" t="s">
        <v>445</v>
      </c>
      <c r="C321" s="57" t="s">
        <v>440</v>
      </c>
      <c r="D321" s="57" t="s">
        <v>486</v>
      </c>
      <c r="E321" s="57" t="s">
        <v>347</v>
      </c>
      <c r="F321" s="57">
        <v>29</v>
      </c>
      <c r="G321" s="57" t="s">
        <v>347</v>
      </c>
    </row>
    <row r="322" spans="1:7">
      <c r="A322" s="57" t="s">
        <v>479</v>
      </c>
      <c r="B322" s="57" t="s">
        <v>445</v>
      </c>
      <c r="C322" s="57" t="s">
        <v>442</v>
      </c>
      <c r="D322" s="57" t="s">
        <v>486</v>
      </c>
      <c r="E322" s="57" t="s">
        <v>347</v>
      </c>
      <c r="F322" s="57">
        <v>29</v>
      </c>
      <c r="G322" s="57" t="s">
        <v>347</v>
      </c>
    </row>
    <row r="323" spans="1:7">
      <c r="A323" s="57" t="s">
        <v>479</v>
      </c>
      <c r="B323" s="57" t="s">
        <v>446</v>
      </c>
      <c r="C323" s="57" t="s">
        <v>440</v>
      </c>
      <c r="D323" s="57" t="s">
        <v>486</v>
      </c>
      <c r="E323" s="57" t="s">
        <v>347</v>
      </c>
      <c r="F323" s="57">
        <v>20</v>
      </c>
      <c r="G323" s="57" t="s">
        <v>347</v>
      </c>
    </row>
    <row r="324" spans="1:7">
      <c r="A324" s="57" t="s">
        <v>479</v>
      </c>
      <c r="B324" s="57" t="s">
        <v>446</v>
      </c>
      <c r="C324" s="57" t="s">
        <v>442</v>
      </c>
      <c r="D324" s="57" t="s">
        <v>486</v>
      </c>
      <c r="E324" s="57" t="s">
        <v>347</v>
      </c>
      <c r="F324" s="57">
        <v>20</v>
      </c>
      <c r="G324" s="57" t="s">
        <v>347</v>
      </c>
    </row>
    <row r="325" spans="1:7">
      <c r="A325" s="57" t="s">
        <v>479</v>
      </c>
      <c r="B325" s="57" t="s">
        <v>447</v>
      </c>
      <c r="C325" s="57" t="s">
        <v>440</v>
      </c>
      <c r="D325" s="57" t="s">
        <v>486</v>
      </c>
      <c r="E325" s="57" t="s">
        <v>347</v>
      </c>
      <c r="F325" s="57">
        <v>21</v>
      </c>
      <c r="G325" s="57" t="s">
        <v>347</v>
      </c>
    </row>
    <row r="326" spans="1:7">
      <c r="A326" s="57" t="s">
        <v>479</v>
      </c>
      <c r="B326" s="57" t="s">
        <v>447</v>
      </c>
      <c r="C326" s="57" t="s">
        <v>442</v>
      </c>
      <c r="D326" s="57" t="s">
        <v>486</v>
      </c>
      <c r="E326" s="57" t="s">
        <v>347</v>
      </c>
      <c r="F326" s="57">
        <v>21</v>
      </c>
      <c r="G326" s="57" t="s">
        <v>347</v>
      </c>
    </row>
    <row r="327" spans="1:7">
      <c r="A327" s="57" t="s">
        <v>479</v>
      </c>
      <c r="B327" s="57" t="s">
        <v>447</v>
      </c>
      <c r="C327" s="57" t="s">
        <v>313</v>
      </c>
      <c r="D327" s="57" t="s">
        <v>486</v>
      </c>
      <c r="E327" s="57" t="s">
        <v>347</v>
      </c>
      <c r="F327" s="57">
        <v>20</v>
      </c>
      <c r="G327" s="57" t="s">
        <v>347</v>
      </c>
    </row>
    <row r="329" spans="1:7">
      <c r="A329" s="57" t="s">
        <v>480</v>
      </c>
      <c r="B329" s="57" t="s">
        <v>439</v>
      </c>
      <c r="C329" s="57" t="s">
        <v>440</v>
      </c>
      <c r="D329" s="57" t="s">
        <v>486</v>
      </c>
      <c r="E329" s="57" t="s">
        <v>347</v>
      </c>
      <c r="F329" s="57" t="s">
        <v>347</v>
      </c>
      <c r="G329" s="57" t="s">
        <v>347</v>
      </c>
    </row>
    <row r="330" spans="1:7">
      <c r="A330" s="57" t="s">
        <v>480</v>
      </c>
      <c r="B330" s="57" t="s">
        <v>439</v>
      </c>
      <c r="C330" s="57" t="s">
        <v>442</v>
      </c>
      <c r="D330" s="57" t="s">
        <v>486</v>
      </c>
      <c r="E330" s="57" t="s">
        <v>347</v>
      </c>
      <c r="F330" s="57" t="s">
        <v>347</v>
      </c>
      <c r="G330" s="57" t="s">
        <v>347</v>
      </c>
    </row>
    <row r="331" spans="1:7">
      <c r="A331" s="57" t="s">
        <v>480</v>
      </c>
      <c r="B331" s="57" t="s">
        <v>443</v>
      </c>
      <c r="C331" s="57" t="s">
        <v>440</v>
      </c>
      <c r="D331" s="57" t="s">
        <v>486</v>
      </c>
      <c r="E331" s="57" t="s">
        <v>347</v>
      </c>
      <c r="F331" s="57">
        <v>11</v>
      </c>
      <c r="G331" s="57" t="s">
        <v>347</v>
      </c>
    </row>
    <row r="332" spans="1:7">
      <c r="A332" s="57" t="s">
        <v>480</v>
      </c>
      <c r="B332" s="57" t="s">
        <v>443</v>
      </c>
      <c r="C332" s="57" t="s">
        <v>442</v>
      </c>
      <c r="D332" s="57" t="s">
        <v>486</v>
      </c>
      <c r="E332" s="57">
        <v>10</v>
      </c>
      <c r="F332" s="57">
        <v>11</v>
      </c>
      <c r="G332" s="58">
        <v>0.90900000000000003</v>
      </c>
    </row>
    <row r="333" spans="1:7">
      <c r="G333" s="58"/>
    </row>
    <row r="334" spans="1:7">
      <c r="A334" s="57" t="s">
        <v>481</v>
      </c>
      <c r="B334" s="57" t="s">
        <v>439</v>
      </c>
      <c r="C334" s="57" t="s">
        <v>440</v>
      </c>
      <c r="D334" s="57" t="s">
        <v>486</v>
      </c>
      <c r="E334" s="57" t="s">
        <v>347</v>
      </c>
      <c r="F334" s="57">
        <v>25</v>
      </c>
      <c r="G334" s="57" t="s">
        <v>347</v>
      </c>
    </row>
    <row r="335" spans="1:7">
      <c r="A335" s="57" t="s">
        <v>481</v>
      </c>
      <c r="B335" s="57" t="s">
        <v>439</v>
      </c>
      <c r="C335" s="57" t="s">
        <v>442</v>
      </c>
      <c r="D335" s="57" t="s">
        <v>486</v>
      </c>
      <c r="E335" s="57" t="s">
        <v>347</v>
      </c>
      <c r="F335" s="57">
        <v>24</v>
      </c>
      <c r="G335" s="57" t="s">
        <v>347</v>
      </c>
    </row>
    <row r="336" spans="1:7">
      <c r="A336" s="57" t="s">
        <v>481</v>
      </c>
      <c r="B336" s="57" t="s">
        <v>443</v>
      </c>
      <c r="C336" s="57" t="s">
        <v>440</v>
      </c>
      <c r="D336" s="57" t="s">
        <v>486</v>
      </c>
      <c r="E336" s="57" t="s">
        <v>347</v>
      </c>
      <c r="F336" s="57">
        <v>13</v>
      </c>
      <c r="G336" s="57" t="s">
        <v>347</v>
      </c>
    </row>
    <row r="337" spans="1:7">
      <c r="A337" s="57" t="s">
        <v>481</v>
      </c>
      <c r="B337" s="57" t="s">
        <v>443</v>
      </c>
      <c r="C337" s="57" t="s">
        <v>442</v>
      </c>
      <c r="D337" s="57" t="s">
        <v>486</v>
      </c>
      <c r="E337" s="57" t="s">
        <v>347</v>
      </c>
      <c r="F337" s="57">
        <v>13</v>
      </c>
      <c r="G337" s="57" t="s">
        <v>347</v>
      </c>
    </row>
    <row r="338" spans="1:7">
      <c r="A338" s="57" t="s">
        <v>481</v>
      </c>
      <c r="B338" s="57" t="s">
        <v>444</v>
      </c>
      <c r="C338" s="57" t="s">
        <v>440</v>
      </c>
      <c r="D338" s="57" t="s">
        <v>486</v>
      </c>
      <c r="E338" s="57">
        <v>10</v>
      </c>
      <c r="F338" s="57">
        <v>20</v>
      </c>
      <c r="G338" s="58">
        <v>0.5</v>
      </c>
    </row>
    <row r="339" spans="1:7">
      <c r="A339" s="57" t="s">
        <v>481</v>
      </c>
      <c r="B339" s="57" t="s">
        <v>444</v>
      </c>
      <c r="C339" s="57" t="s">
        <v>442</v>
      </c>
      <c r="D339" s="57" t="s">
        <v>486</v>
      </c>
      <c r="E339" s="57" t="s">
        <v>347</v>
      </c>
      <c r="F339" s="57">
        <v>20</v>
      </c>
      <c r="G339" s="57" t="s">
        <v>347</v>
      </c>
    </row>
    <row r="340" spans="1:7">
      <c r="A340" s="57" t="s">
        <v>481</v>
      </c>
      <c r="B340" s="57" t="s">
        <v>444</v>
      </c>
      <c r="C340" s="57" t="s">
        <v>313</v>
      </c>
      <c r="D340" s="57" t="s">
        <v>486</v>
      </c>
      <c r="E340" s="57" t="s">
        <v>347</v>
      </c>
      <c r="F340" s="57">
        <v>20</v>
      </c>
      <c r="G340" s="57" t="s">
        <v>347</v>
      </c>
    </row>
    <row r="341" spans="1:7">
      <c r="A341" s="57" t="s">
        <v>481</v>
      </c>
      <c r="B341" s="57" t="s">
        <v>445</v>
      </c>
      <c r="C341" s="57" t="s">
        <v>440</v>
      </c>
      <c r="D341" s="57" t="s">
        <v>486</v>
      </c>
      <c r="E341" s="57" t="s">
        <v>347</v>
      </c>
      <c r="F341" s="57">
        <v>13</v>
      </c>
      <c r="G341" s="57" t="s">
        <v>347</v>
      </c>
    </row>
    <row r="342" spans="1:7">
      <c r="A342" s="57" t="s">
        <v>481</v>
      </c>
      <c r="B342" s="57" t="s">
        <v>445</v>
      </c>
      <c r="C342" s="57" t="s">
        <v>442</v>
      </c>
      <c r="D342" s="57" t="s">
        <v>486</v>
      </c>
      <c r="E342" s="57" t="s">
        <v>347</v>
      </c>
      <c r="F342" s="57">
        <v>13</v>
      </c>
      <c r="G342" s="57" t="s">
        <v>347</v>
      </c>
    </row>
    <row r="343" spans="1:7">
      <c r="A343" s="57" t="s">
        <v>481</v>
      </c>
      <c r="B343" s="57" t="s">
        <v>446</v>
      </c>
      <c r="C343" s="57" t="s">
        <v>440</v>
      </c>
      <c r="D343" s="57" t="s">
        <v>486</v>
      </c>
      <c r="E343" s="57" t="s">
        <v>347</v>
      </c>
      <c r="F343" s="57" t="s">
        <v>347</v>
      </c>
      <c r="G343" s="57" t="s">
        <v>347</v>
      </c>
    </row>
    <row r="344" spans="1:7">
      <c r="A344" s="57" t="s">
        <v>481</v>
      </c>
      <c r="B344" s="57" t="s">
        <v>446</v>
      </c>
      <c r="C344" s="57" t="s">
        <v>442</v>
      </c>
      <c r="D344" s="57" t="s">
        <v>486</v>
      </c>
      <c r="E344" s="57" t="s">
        <v>347</v>
      </c>
      <c r="F344" s="57" t="s">
        <v>347</v>
      </c>
      <c r="G344" s="57" t="s">
        <v>347</v>
      </c>
    </row>
    <row r="345" spans="1:7">
      <c r="A345" s="57" t="s">
        <v>481</v>
      </c>
      <c r="B345" s="57" t="s">
        <v>447</v>
      </c>
      <c r="C345" s="57" t="s">
        <v>440</v>
      </c>
      <c r="D345" s="57" t="s">
        <v>486</v>
      </c>
      <c r="E345" s="57" t="s">
        <v>347</v>
      </c>
      <c r="F345" s="57" t="s">
        <v>347</v>
      </c>
      <c r="G345" s="57" t="s">
        <v>347</v>
      </c>
    </row>
    <row r="346" spans="1:7">
      <c r="A346" s="57" t="s">
        <v>481</v>
      </c>
      <c r="B346" s="57" t="s">
        <v>447</v>
      </c>
      <c r="C346" s="57" t="s">
        <v>442</v>
      </c>
      <c r="D346" s="57" t="s">
        <v>486</v>
      </c>
      <c r="E346" s="57" t="s">
        <v>347</v>
      </c>
      <c r="F346" s="57" t="s">
        <v>347</v>
      </c>
      <c r="G346" s="57" t="s">
        <v>347</v>
      </c>
    </row>
    <row r="347" spans="1:7">
      <c r="A347" s="57" t="s">
        <v>481</v>
      </c>
      <c r="B347" s="57" t="s">
        <v>447</v>
      </c>
      <c r="C347" s="57" t="s">
        <v>313</v>
      </c>
      <c r="D347" s="57" t="s">
        <v>486</v>
      </c>
      <c r="E347" s="57" t="s">
        <v>347</v>
      </c>
      <c r="F347" s="57" t="s">
        <v>347</v>
      </c>
      <c r="G347" s="57" t="s">
        <v>347</v>
      </c>
    </row>
    <row r="349" spans="1:7">
      <c r="A349" s="57" t="s">
        <v>482</v>
      </c>
      <c r="B349" s="57" t="s">
        <v>439</v>
      </c>
      <c r="C349" s="57" t="s">
        <v>440</v>
      </c>
      <c r="D349" s="57" t="s">
        <v>486</v>
      </c>
      <c r="E349" s="57" t="s">
        <v>347</v>
      </c>
      <c r="F349" s="57">
        <v>31</v>
      </c>
      <c r="G349" s="57" t="s">
        <v>347</v>
      </c>
    </row>
    <row r="350" spans="1:7">
      <c r="A350" s="57" t="s">
        <v>482</v>
      </c>
      <c r="B350" s="57" t="s">
        <v>439</v>
      </c>
      <c r="C350" s="57" t="s">
        <v>442</v>
      </c>
      <c r="D350" s="57" t="s">
        <v>486</v>
      </c>
      <c r="E350" s="57" t="s">
        <v>347</v>
      </c>
      <c r="F350" s="57">
        <v>31</v>
      </c>
      <c r="G350" s="57" t="s">
        <v>347</v>
      </c>
    </row>
    <row r="351" spans="1:7">
      <c r="A351" s="57" t="s">
        <v>482</v>
      </c>
      <c r="B351" s="57" t="s">
        <v>443</v>
      </c>
      <c r="C351" s="57" t="s">
        <v>440</v>
      </c>
      <c r="D351" s="57" t="s">
        <v>486</v>
      </c>
      <c r="E351" s="57" t="s">
        <v>347</v>
      </c>
      <c r="F351" s="57">
        <v>17</v>
      </c>
      <c r="G351" s="57" t="s">
        <v>347</v>
      </c>
    </row>
    <row r="352" spans="1:7">
      <c r="A352" s="57" t="s">
        <v>482</v>
      </c>
      <c r="B352" s="57" t="s">
        <v>443</v>
      </c>
      <c r="C352" s="57" t="s">
        <v>442</v>
      </c>
      <c r="D352" s="57" t="s">
        <v>486</v>
      </c>
      <c r="E352" s="57" t="s">
        <v>347</v>
      </c>
      <c r="F352" s="57">
        <v>16</v>
      </c>
      <c r="G352" s="57" t="s">
        <v>347</v>
      </c>
    </row>
    <row r="353" spans="1:7">
      <c r="A353" s="57" t="s">
        <v>482</v>
      </c>
      <c r="B353" s="57" t="s">
        <v>444</v>
      </c>
      <c r="C353" s="57" t="s">
        <v>440</v>
      </c>
      <c r="D353" s="57" t="s">
        <v>486</v>
      </c>
      <c r="E353" s="57" t="s">
        <v>347</v>
      </c>
      <c r="F353" s="57">
        <v>16</v>
      </c>
      <c r="G353" s="57" t="s">
        <v>347</v>
      </c>
    </row>
    <row r="354" spans="1:7">
      <c r="A354" s="57" t="s">
        <v>482</v>
      </c>
      <c r="B354" s="57" t="s">
        <v>444</v>
      </c>
      <c r="C354" s="57" t="s">
        <v>442</v>
      </c>
      <c r="D354" s="57" t="s">
        <v>486</v>
      </c>
      <c r="E354" s="57" t="s">
        <v>347</v>
      </c>
      <c r="F354" s="57">
        <v>16</v>
      </c>
      <c r="G354" s="57" t="s">
        <v>347</v>
      </c>
    </row>
    <row r="355" spans="1:7">
      <c r="A355" s="57" t="s">
        <v>482</v>
      </c>
      <c r="B355" s="57" t="s">
        <v>444</v>
      </c>
      <c r="C355" s="57" t="s">
        <v>313</v>
      </c>
      <c r="D355" s="57" t="s">
        <v>486</v>
      </c>
      <c r="E355" s="57" t="s">
        <v>347</v>
      </c>
      <c r="F355" s="57">
        <v>15</v>
      </c>
      <c r="G355" s="57" t="s">
        <v>347</v>
      </c>
    </row>
    <row r="356" spans="1:7">
      <c r="A356" s="57" t="s">
        <v>482</v>
      </c>
      <c r="B356" s="57" t="s">
        <v>445</v>
      </c>
      <c r="C356" s="57" t="s">
        <v>440</v>
      </c>
      <c r="D356" s="57" t="s">
        <v>486</v>
      </c>
      <c r="E356" s="57" t="s">
        <v>347</v>
      </c>
      <c r="F356" s="57">
        <v>10</v>
      </c>
      <c r="G356" s="57" t="s">
        <v>347</v>
      </c>
    </row>
    <row r="357" spans="1:7">
      <c r="A357" s="57" t="s">
        <v>482</v>
      </c>
      <c r="B357" s="57" t="s">
        <v>445</v>
      </c>
      <c r="C357" s="57" t="s">
        <v>442</v>
      </c>
      <c r="D357" s="57" t="s">
        <v>486</v>
      </c>
      <c r="E357" s="57" t="s">
        <v>347</v>
      </c>
      <c r="F357" s="57">
        <v>10</v>
      </c>
      <c r="G357" s="57" t="s">
        <v>347</v>
      </c>
    </row>
    <row r="358" spans="1:7">
      <c r="A358" s="57" t="s">
        <v>482</v>
      </c>
      <c r="B358" s="57" t="s">
        <v>446</v>
      </c>
      <c r="C358" s="57" t="s">
        <v>440</v>
      </c>
      <c r="D358" s="57" t="s">
        <v>486</v>
      </c>
      <c r="F358" s="57" t="s">
        <v>347</v>
      </c>
    </row>
    <row r="359" spans="1:7">
      <c r="A359" s="57" t="s">
        <v>482</v>
      </c>
      <c r="B359" s="57" t="s">
        <v>446</v>
      </c>
      <c r="C359" s="57" t="s">
        <v>442</v>
      </c>
      <c r="D359" s="57" t="s">
        <v>486</v>
      </c>
      <c r="F359" s="57" t="s">
        <v>347</v>
      </c>
    </row>
    <row r="360" spans="1:7">
      <c r="A360" s="57" t="s">
        <v>482</v>
      </c>
      <c r="B360" s="57" t="s">
        <v>447</v>
      </c>
      <c r="C360" s="57" t="s">
        <v>440</v>
      </c>
      <c r="D360" s="57" t="s">
        <v>486</v>
      </c>
      <c r="F360" s="57" t="s">
        <v>347</v>
      </c>
    </row>
    <row r="361" spans="1:7">
      <c r="A361" s="57" t="s">
        <v>482</v>
      </c>
      <c r="B361" s="57" t="s">
        <v>447</v>
      </c>
      <c r="C361" s="57" t="s">
        <v>442</v>
      </c>
      <c r="D361" s="57" t="s">
        <v>486</v>
      </c>
      <c r="F361" s="57" t="s">
        <v>347</v>
      </c>
    </row>
    <row r="362" spans="1:7">
      <c r="A362" s="57" t="s">
        <v>482</v>
      </c>
      <c r="B362" s="57" t="s">
        <v>447</v>
      </c>
      <c r="C362" s="57" t="s">
        <v>313</v>
      </c>
      <c r="D362" s="57" t="s">
        <v>486</v>
      </c>
      <c r="F362" s="57" t="s">
        <v>347</v>
      </c>
    </row>
    <row r="364" spans="1:7">
      <c r="A364" s="57" t="s">
        <v>483</v>
      </c>
      <c r="B364" s="57" t="s">
        <v>439</v>
      </c>
      <c r="C364" s="57" t="s">
        <v>440</v>
      </c>
      <c r="D364" s="57" t="s">
        <v>486</v>
      </c>
      <c r="E364" s="57" t="s">
        <v>347</v>
      </c>
      <c r="F364" s="57">
        <v>45</v>
      </c>
      <c r="G364" s="57" t="s">
        <v>347</v>
      </c>
    </row>
    <row r="365" spans="1:7">
      <c r="A365" s="57" t="s">
        <v>483</v>
      </c>
      <c r="B365" s="57" t="s">
        <v>439</v>
      </c>
      <c r="C365" s="57" t="s">
        <v>442</v>
      </c>
      <c r="D365" s="57" t="s">
        <v>486</v>
      </c>
      <c r="E365" s="57" t="s">
        <v>347</v>
      </c>
      <c r="F365" s="57">
        <v>45</v>
      </c>
      <c r="G365" s="57" t="s">
        <v>347</v>
      </c>
    </row>
    <row r="366" spans="1:7">
      <c r="A366" s="57" t="s">
        <v>483</v>
      </c>
      <c r="B366" s="57" t="s">
        <v>443</v>
      </c>
      <c r="C366" s="57" t="s">
        <v>440</v>
      </c>
      <c r="D366" s="57" t="s">
        <v>486</v>
      </c>
      <c r="E366" s="57">
        <v>11</v>
      </c>
      <c r="F366" s="57">
        <v>34</v>
      </c>
      <c r="G366" s="58">
        <v>0.32400000000000001</v>
      </c>
    </row>
    <row r="367" spans="1:7">
      <c r="A367" s="57" t="s">
        <v>483</v>
      </c>
      <c r="B367" s="57" t="s">
        <v>443</v>
      </c>
      <c r="C367" s="57" t="s">
        <v>442</v>
      </c>
      <c r="D367" s="57" t="s">
        <v>486</v>
      </c>
      <c r="E367" s="57">
        <v>13</v>
      </c>
      <c r="F367" s="57">
        <v>34</v>
      </c>
      <c r="G367" s="58">
        <v>0.38200000000000001</v>
      </c>
    </row>
    <row r="368" spans="1:7">
      <c r="A368" s="57" t="s">
        <v>483</v>
      </c>
      <c r="B368" s="57" t="s">
        <v>444</v>
      </c>
      <c r="C368" s="57" t="s">
        <v>440</v>
      </c>
      <c r="D368" s="57" t="s">
        <v>486</v>
      </c>
      <c r="E368" s="57">
        <v>10</v>
      </c>
      <c r="F368" s="57">
        <v>18</v>
      </c>
      <c r="G368" s="58">
        <v>0.55600000000000005</v>
      </c>
    </row>
    <row r="369" spans="1:7">
      <c r="A369" s="57" t="s">
        <v>483</v>
      </c>
      <c r="B369" s="57" t="s">
        <v>444</v>
      </c>
      <c r="C369" s="57" t="s">
        <v>442</v>
      </c>
      <c r="D369" s="57" t="s">
        <v>486</v>
      </c>
      <c r="E369" s="57" t="s">
        <v>347</v>
      </c>
      <c r="F369" s="57">
        <v>18</v>
      </c>
      <c r="G369" s="57" t="s">
        <v>347</v>
      </c>
    </row>
    <row r="370" spans="1:7">
      <c r="A370" s="57" t="s">
        <v>483</v>
      </c>
      <c r="B370" s="57" t="s">
        <v>444</v>
      </c>
      <c r="C370" s="57" t="s">
        <v>313</v>
      </c>
      <c r="D370" s="57" t="s">
        <v>486</v>
      </c>
      <c r="E370" s="57" t="s">
        <v>347</v>
      </c>
      <c r="F370" s="57">
        <v>18</v>
      </c>
      <c r="G370" s="57" t="s">
        <v>347</v>
      </c>
    </row>
    <row r="371" spans="1:7">
      <c r="A371" s="57" t="s">
        <v>483</v>
      </c>
      <c r="B371" s="57" t="s">
        <v>445</v>
      </c>
      <c r="C371" s="57" t="s">
        <v>440</v>
      </c>
      <c r="D371" s="57" t="s">
        <v>486</v>
      </c>
      <c r="E371" s="57" t="s">
        <v>347</v>
      </c>
      <c r="F371" s="57">
        <v>24</v>
      </c>
      <c r="G371" s="57" t="s">
        <v>347</v>
      </c>
    </row>
    <row r="372" spans="1:7">
      <c r="A372" s="57" t="s">
        <v>483</v>
      </c>
      <c r="B372" s="57" t="s">
        <v>445</v>
      </c>
      <c r="C372" s="57" t="s">
        <v>442</v>
      </c>
      <c r="D372" s="57" t="s">
        <v>486</v>
      </c>
      <c r="E372" s="57" t="s">
        <v>347</v>
      </c>
      <c r="F372" s="57">
        <v>24</v>
      </c>
      <c r="G372" s="57" t="s">
        <v>347</v>
      </c>
    </row>
    <row r="373" spans="1:7">
      <c r="A373" s="57" t="s">
        <v>483</v>
      </c>
      <c r="B373" s="57" t="s">
        <v>446</v>
      </c>
      <c r="C373" s="57" t="s">
        <v>440</v>
      </c>
      <c r="D373" s="57" t="s">
        <v>486</v>
      </c>
      <c r="E373" s="57">
        <v>10</v>
      </c>
      <c r="F373" s="57">
        <v>23</v>
      </c>
      <c r="G373" s="58">
        <v>0.435</v>
      </c>
    </row>
    <row r="374" spans="1:7">
      <c r="A374" s="57" t="s">
        <v>483</v>
      </c>
      <c r="B374" s="57" t="s">
        <v>446</v>
      </c>
      <c r="C374" s="57" t="s">
        <v>442</v>
      </c>
      <c r="D374" s="57" t="s">
        <v>486</v>
      </c>
      <c r="E374" s="57" t="s">
        <v>347</v>
      </c>
      <c r="F374" s="57">
        <v>23</v>
      </c>
      <c r="G374" s="57" t="s">
        <v>347</v>
      </c>
    </row>
    <row r="375" spans="1:7">
      <c r="A375" s="57" t="s">
        <v>483</v>
      </c>
      <c r="B375" s="57" t="s">
        <v>447</v>
      </c>
      <c r="C375" s="57" t="s">
        <v>440</v>
      </c>
      <c r="D375" s="57" t="s">
        <v>486</v>
      </c>
      <c r="E375" s="57" t="s">
        <v>347</v>
      </c>
      <c r="F375" s="57">
        <v>27</v>
      </c>
      <c r="G375" s="57" t="s">
        <v>347</v>
      </c>
    </row>
    <row r="376" spans="1:7">
      <c r="A376" s="57" t="s">
        <v>483</v>
      </c>
      <c r="B376" s="57" t="s">
        <v>447</v>
      </c>
      <c r="C376" s="57" t="s">
        <v>442</v>
      </c>
      <c r="D376" s="57" t="s">
        <v>486</v>
      </c>
      <c r="E376" s="57" t="s">
        <v>347</v>
      </c>
      <c r="F376" s="57">
        <v>27</v>
      </c>
      <c r="G376" s="57" t="s">
        <v>347</v>
      </c>
    </row>
    <row r="377" spans="1:7">
      <c r="A377" s="57" t="s">
        <v>483</v>
      </c>
      <c r="B377" s="57" t="s">
        <v>447</v>
      </c>
      <c r="C377" s="57" t="s">
        <v>313</v>
      </c>
      <c r="D377" s="57" t="s">
        <v>486</v>
      </c>
      <c r="E377" s="57" t="s">
        <v>347</v>
      </c>
      <c r="F377" s="57">
        <v>27</v>
      </c>
      <c r="G377" s="57" t="s">
        <v>347</v>
      </c>
    </row>
    <row r="379" spans="1:7">
      <c r="A379" s="57" t="s">
        <v>484</v>
      </c>
      <c r="B379" s="57" t="s">
        <v>439</v>
      </c>
      <c r="C379" s="57" t="s">
        <v>440</v>
      </c>
      <c r="D379" s="57" t="s">
        <v>486</v>
      </c>
      <c r="E379" s="57" t="s">
        <v>347</v>
      </c>
      <c r="F379" s="57">
        <v>20</v>
      </c>
      <c r="G379" s="57" t="s">
        <v>347</v>
      </c>
    </row>
    <row r="380" spans="1:7">
      <c r="A380" s="57" t="s">
        <v>484</v>
      </c>
      <c r="B380" s="57" t="s">
        <v>439</v>
      </c>
      <c r="C380" s="57" t="s">
        <v>442</v>
      </c>
      <c r="D380" s="57" t="s">
        <v>486</v>
      </c>
      <c r="E380" s="57">
        <v>11</v>
      </c>
      <c r="F380" s="57">
        <v>20</v>
      </c>
      <c r="G380" s="58">
        <v>0.55000000000000004</v>
      </c>
    </row>
    <row r="381" spans="1:7">
      <c r="A381" s="57" t="s">
        <v>484</v>
      </c>
      <c r="B381" s="57" t="s">
        <v>443</v>
      </c>
      <c r="C381" s="57" t="s">
        <v>440</v>
      </c>
      <c r="D381" s="57" t="s">
        <v>486</v>
      </c>
      <c r="E381" s="57" t="s">
        <v>347</v>
      </c>
      <c r="F381" s="57">
        <v>15</v>
      </c>
      <c r="G381" s="57" t="s">
        <v>347</v>
      </c>
    </row>
    <row r="382" spans="1:7">
      <c r="A382" s="57" t="s">
        <v>484</v>
      </c>
      <c r="B382" s="57" t="s">
        <v>443</v>
      </c>
      <c r="C382" s="57" t="s">
        <v>442</v>
      </c>
      <c r="D382" s="57" t="s">
        <v>486</v>
      </c>
      <c r="E382" s="57" t="s">
        <v>347</v>
      </c>
      <c r="F382" s="57">
        <v>15</v>
      </c>
      <c r="G382" s="57" t="s">
        <v>347</v>
      </c>
    </row>
    <row r="383" spans="1:7">
      <c r="A383" s="57" t="s">
        <v>484</v>
      </c>
      <c r="B383" s="57" t="s">
        <v>444</v>
      </c>
      <c r="C383" s="57" t="s">
        <v>440</v>
      </c>
      <c r="D383" s="57" t="s">
        <v>486</v>
      </c>
      <c r="E383" s="57">
        <v>10</v>
      </c>
      <c r="F383" s="57">
        <v>32</v>
      </c>
      <c r="G383" s="58">
        <v>0.313</v>
      </c>
    </row>
    <row r="384" spans="1:7">
      <c r="A384" s="57" t="s">
        <v>484</v>
      </c>
      <c r="B384" s="57" t="s">
        <v>444</v>
      </c>
      <c r="C384" s="57" t="s">
        <v>442</v>
      </c>
      <c r="D384" s="57" t="s">
        <v>486</v>
      </c>
      <c r="E384" s="57" t="s">
        <v>347</v>
      </c>
      <c r="F384" s="57">
        <v>32</v>
      </c>
      <c r="G384" s="57" t="s">
        <v>347</v>
      </c>
    </row>
    <row r="385" spans="1:7">
      <c r="A385" s="57" t="s">
        <v>484</v>
      </c>
      <c r="B385" s="57" t="s">
        <v>444</v>
      </c>
      <c r="C385" s="57" t="s">
        <v>313</v>
      </c>
      <c r="D385" s="57" t="s">
        <v>486</v>
      </c>
      <c r="E385" s="57" t="s">
        <v>347</v>
      </c>
      <c r="F385" s="57">
        <v>32</v>
      </c>
      <c r="G385" s="57" t="s">
        <v>347</v>
      </c>
    </row>
    <row r="386" spans="1:7">
      <c r="A386" s="57" t="s">
        <v>484</v>
      </c>
      <c r="B386" s="57" t="s">
        <v>445</v>
      </c>
      <c r="C386" s="57" t="s">
        <v>440</v>
      </c>
      <c r="D386" s="57" t="s">
        <v>486</v>
      </c>
      <c r="E386" s="57" t="s">
        <v>347</v>
      </c>
      <c r="F386" s="57">
        <v>23</v>
      </c>
      <c r="G386" s="57" t="s">
        <v>347</v>
      </c>
    </row>
    <row r="387" spans="1:7">
      <c r="A387" s="57" t="s">
        <v>484</v>
      </c>
      <c r="B387" s="57" t="s">
        <v>445</v>
      </c>
      <c r="C387" s="57" t="s">
        <v>442</v>
      </c>
      <c r="D387" s="57" t="s">
        <v>486</v>
      </c>
      <c r="E387" s="57" t="s">
        <v>347</v>
      </c>
      <c r="F387" s="57">
        <v>23</v>
      </c>
      <c r="G387" s="57" t="s">
        <v>347</v>
      </c>
    </row>
    <row r="388" spans="1:7">
      <c r="A388" s="57" t="s">
        <v>484</v>
      </c>
      <c r="B388" s="57" t="s">
        <v>446</v>
      </c>
      <c r="C388" s="57" t="s">
        <v>440</v>
      </c>
      <c r="D388" s="57" t="s">
        <v>486</v>
      </c>
      <c r="E388" s="57" t="s">
        <v>347</v>
      </c>
      <c r="F388" s="57">
        <v>19</v>
      </c>
      <c r="G388" s="57" t="s">
        <v>347</v>
      </c>
    </row>
    <row r="389" spans="1:7">
      <c r="A389" s="57" t="s">
        <v>484</v>
      </c>
      <c r="B389" s="57" t="s">
        <v>446</v>
      </c>
      <c r="C389" s="57" t="s">
        <v>442</v>
      </c>
      <c r="D389" s="57" t="s">
        <v>486</v>
      </c>
      <c r="E389" s="57" t="s">
        <v>347</v>
      </c>
      <c r="F389" s="57">
        <v>19</v>
      </c>
      <c r="G389" s="57" t="s">
        <v>347</v>
      </c>
    </row>
    <row r="390" spans="1:7">
      <c r="A390" s="57" t="s">
        <v>484</v>
      </c>
      <c r="B390" s="57" t="s">
        <v>447</v>
      </c>
      <c r="C390" s="57" t="s">
        <v>440</v>
      </c>
      <c r="D390" s="57" t="s">
        <v>486</v>
      </c>
      <c r="E390" s="57" t="s">
        <v>347</v>
      </c>
      <c r="F390" s="57">
        <v>25</v>
      </c>
      <c r="G390" s="57" t="s">
        <v>347</v>
      </c>
    </row>
    <row r="391" spans="1:7">
      <c r="A391" s="57" t="s">
        <v>484</v>
      </c>
      <c r="B391" s="57" t="s">
        <v>447</v>
      </c>
      <c r="C391" s="57" t="s">
        <v>442</v>
      </c>
      <c r="D391" s="57" t="s">
        <v>486</v>
      </c>
      <c r="E391" s="57" t="s">
        <v>347</v>
      </c>
      <c r="F391" s="57">
        <v>25</v>
      </c>
      <c r="G391" s="57" t="s">
        <v>347</v>
      </c>
    </row>
    <row r="392" spans="1:7">
      <c r="A392" s="57" t="s">
        <v>484</v>
      </c>
      <c r="B392" s="57" t="s">
        <v>447</v>
      </c>
      <c r="C392" s="57" t="s">
        <v>313</v>
      </c>
      <c r="D392" s="57" t="s">
        <v>486</v>
      </c>
      <c r="E392" s="57">
        <v>12</v>
      </c>
      <c r="F392" s="57">
        <v>25</v>
      </c>
      <c r="G392" s="58">
        <v>0.48</v>
      </c>
    </row>
    <row r="393" spans="1:7">
      <c r="G393" s="58"/>
    </row>
    <row r="394" spans="1:7">
      <c r="A394" s="57" t="s">
        <v>485</v>
      </c>
      <c r="B394" s="57" t="s">
        <v>439</v>
      </c>
      <c r="C394" s="57" t="s">
        <v>440</v>
      </c>
      <c r="D394" s="57" t="s">
        <v>486</v>
      </c>
      <c r="E394" s="57" t="s">
        <v>347</v>
      </c>
      <c r="F394" s="57">
        <v>15</v>
      </c>
      <c r="G394" s="57" t="s">
        <v>347</v>
      </c>
    </row>
    <row r="395" spans="1:7">
      <c r="A395" s="57" t="s">
        <v>485</v>
      </c>
      <c r="B395" s="57" t="s">
        <v>439</v>
      </c>
      <c r="C395" s="57" t="s">
        <v>442</v>
      </c>
      <c r="D395" s="57" t="s">
        <v>486</v>
      </c>
      <c r="E395" s="57" t="s">
        <v>347</v>
      </c>
      <c r="F395" s="57">
        <v>15</v>
      </c>
      <c r="G395" s="57" t="s">
        <v>347</v>
      </c>
    </row>
    <row r="396" spans="1:7">
      <c r="A396" s="57" t="s">
        <v>485</v>
      </c>
      <c r="B396" s="57" t="s">
        <v>443</v>
      </c>
      <c r="C396" s="57" t="s">
        <v>440</v>
      </c>
      <c r="D396" s="57" t="s">
        <v>486</v>
      </c>
      <c r="E396" s="57" t="s">
        <v>347</v>
      </c>
      <c r="F396" s="57" t="s">
        <v>347</v>
      </c>
      <c r="G396" s="57" t="s">
        <v>347</v>
      </c>
    </row>
    <row r="397" spans="1:7">
      <c r="A397" s="57" t="s">
        <v>485</v>
      </c>
      <c r="B397" s="57" t="s">
        <v>443</v>
      </c>
      <c r="C397" s="57" t="s">
        <v>442</v>
      </c>
      <c r="D397" s="57" t="s">
        <v>486</v>
      </c>
      <c r="E397" s="57" t="s">
        <v>347</v>
      </c>
      <c r="F397" s="57" t="s">
        <v>347</v>
      </c>
      <c r="G397" s="57" t="s">
        <v>347</v>
      </c>
    </row>
    <row r="398" spans="1:7">
      <c r="A398" s="57" t="s">
        <v>485</v>
      </c>
      <c r="B398" s="57" t="s">
        <v>444</v>
      </c>
      <c r="C398" s="57" t="s">
        <v>440</v>
      </c>
      <c r="D398" s="57" t="s">
        <v>486</v>
      </c>
      <c r="E398" s="57" t="s">
        <v>347</v>
      </c>
      <c r="F398" s="57">
        <v>12</v>
      </c>
      <c r="G398" s="57" t="s">
        <v>347</v>
      </c>
    </row>
    <row r="399" spans="1:7">
      <c r="A399" s="57" t="s">
        <v>485</v>
      </c>
      <c r="B399" s="57" t="s">
        <v>444</v>
      </c>
      <c r="C399" s="57" t="s">
        <v>442</v>
      </c>
      <c r="D399" s="57" t="s">
        <v>486</v>
      </c>
      <c r="E399" s="57" t="s">
        <v>347</v>
      </c>
      <c r="F399" s="57">
        <v>12</v>
      </c>
      <c r="G399" s="57" t="s">
        <v>347</v>
      </c>
    </row>
    <row r="400" spans="1:7">
      <c r="A400" s="57" t="s">
        <v>485</v>
      </c>
      <c r="B400" s="57" t="s">
        <v>444</v>
      </c>
      <c r="C400" s="57" t="s">
        <v>313</v>
      </c>
      <c r="D400" s="57" t="s">
        <v>486</v>
      </c>
      <c r="E400" s="57" t="s">
        <v>347</v>
      </c>
      <c r="F400" s="57">
        <v>12</v>
      </c>
      <c r="G400" s="57" t="s">
        <v>347</v>
      </c>
    </row>
    <row r="401" spans="1:7">
      <c r="A401" s="57" t="s">
        <v>485</v>
      </c>
      <c r="B401" s="57" t="s">
        <v>445</v>
      </c>
      <c r="C401" s="57" t="s">
        <v>440</v>
      </c>
      <c r="D401" s="57" t="s">
        <v>486</v>
      </c>
      <c r="E401" s="57" t="s">
        <v>347</v>
      </c>
      <c r="F401" s="57">
        <v>12</v>
      </c>
      <c r="G401" s="57" t="s">
        <v>347</v>
      </c>
    </row>
    <row r="402" spans="1:7">
      <c r="A402" s="57" t="s">
        <v>485</v>
      </c>
      <c r="B402" s="57" t="s">
        <v>445</v>
      </c>
      <c r="C402" s="57" t="s">
        <v>442</v>
      </c>
      <c r="D402" s="57" t="s">
        <v>486</v>
      </c>
      <c r="E402" s="57" t="s">
        <v>347</v>
      </c>
      <c r="F402" s="57">
        <v>12</v>
      </c>
      <c r="G402" s="57" t="s">
        <v>347</v>
      </c>
    </row>
    <row r="403" spans="1:7">
      <c r="A403" s="57" t="s">
        <v>485</v>
      </c>
      <c r="B403" s="57" t="s">
        <v>446</v>
      </c>
      <c r="C403" s="57" t="s">
        <v>440</v>
      </c>
      <c r="D403" s="57" t="s">
        <v>486</v>
      </c>
      <c r="E403" s="57" t="s">
        <v>347</v>
      </c>
      <c r="F403" s="57" t="s">
        <v>347</v>
      </c>
      <c r="G403" s="57" t="s">
        <v>347</v>
      </c>
    </row>
    <row r="404" spans="1:7">
      <c r="A404" s="57" t="s">
        <v>485</v>
      </c>
      <c r="B404" s="57" t="s">
        <v>446</v>
      </c>
      <c r="C404" s="57" t="s">
        <v>442</v>
      </c>
      <c r="D404" s="57" t="s">
        <v>486</v>
      </c>
      <c r="E404" s="57" t="s">
        <v>347</v>
      </c>
      <c r="F404" s="57" t="s">
        <v>347</v>
      </c>
      <c r="G404" s="57" t="s">
        <v>347</v>
      </c>
    </row>
    <row r="405" spans="1:7">
      <c r="A405" s="57" t="s">
        <v>485</v>
      </c>
      <c r="B405" s="57" t="s">
        <v>447</v>
      </c>
      <c r="C405" s="57" t="s">
        <v>440</v>
      </c>
      <c r="D405" s="57" t="s">
        <v>486</v>
      </c>
      <c r="E405" s="57" t="s">
        <v>347</v>
      </c>
      <c r="F405" s="57" t="s">
        <v>347</v>
      </c>
      <c r="G405" s="57" t="s">
        <v>347</v>
      </c>
    </row>
    <row r="406" spans="1:7">
      <c r="A406" s="57" t="s">
        <v>485</v>
      </c>
      <c r="B406" s="57" t="s">
        <v>447</v>
      </c>
      <c r="C406" s="57" t="s">
        <v>442</v>
      </c>
      <c r="D406" s="57" t="s">
        <v>486</v>
      </c>
      <c r="E406" s="57" t="s">
        <v>347</v>
      </c>
      <c r="F406" s="57" t="s">
        <v>347</v>
      </c>
      <c r="G406" s="57" t="s">
        <v>347</v>
      </c>
    </row>
    <row r="407" spans="1:7">
      <c r="A407" s="57" t="s">
        <v>485</v>
      </c>
      <c r="B407" s="57" t="s">
        <v>447</v>
      </c>
      <c r="C407" s="57" t="s">
        <v>313</v>
      </c>
      <c r="D407" s="57" t="s">
        <v>486</v>
      </c>
      <c r="E407" s="57" t="s">
        <v>347</v>
      </c>
      <c r="F407" s="57" t="s">
        <v>347</v>
      </c>
      <c r="G407" s="57" t="s">
        <v>347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D44F2-D0E3-44F4-8580-4082DC7DE118}">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9224003f-e6e7-470a-941a-44de56618887">
      <UserInfo>
        <DisplayName/>
        <AccountId xsi:nil="true"/>
        <AccountType/>
      </UserInfo>
    </SharedWithUsers>
    <_ip_UnifiedCompliancePolicyUIAction xmlns="http://schemas.microsoft.com/sharepoint/v3" xsi:nil="true"/>
    <_ip_UnifiedCompliancePolicyProperties xmlns="http://schemas.microsoft.com/sharepoint/v3" xsi:nil="true"/>
    <Dateandtime xmlns="edb173ee-3fb8-4f75-bf43-79a22ca96f2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2D4A3EC0020B44F93019580CF4D642E" ma:contentTypeVersion="15" ma:contentTypeDescription="Create a new document." ma:contentTypeScope="" ma:versionID="63835a0702f433eed783fc2e4c957c80">
  <xsd:schema xmlns:xsd="http://www.w3.org/2001/XMLSchema" xmlns:xs="http://www.w3.org/2001/XMLSchema" xmlns:p="http://schemas.microsoft.com/office/2006/metadata/properties" xmlns:ns1="http://schemas.microsoft.com/sharepoint/v3" xmlns:ns2="edb173ee-3fb8-4f75-bf43-79a22ca96f2e" xmlns:ns3="9224003f-e6e7-470a-941a-44de56618887" targetNamespace="http://schemas.microsoft.com/office/2006/metadata/properties" ma:root="true" ma:fieldsID="a937eab7a69f6fef723c7e144725fdd8" ns1:_="" ns2:_="" ns3:_="">
    <xsd:import namespace="http://schemas.microsoft.com/sharepoint/v3"/>
    <xsd:import namespace="edb173ee-3fb8-4f75-bf43-79a22ca96f2e"/>
    <xsd:import namespace="9224003f-e6e7-470a-941a-44de5661888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EventHashCode" minOccurs="0"/>
                <xsd:element ref="ns2:MediaServiceGenerationTime" minOccurs="0"/>
                <xsd:element ref="ns2:MediaServiceAutoKeyPoints" minOccurs="0"/>
                <xsd:element ref="ns2:MediaServiceKeyPoints" minOccurs="0"/>
                <xsd:element ref="ns1:_ip_UnifiedCompliancePolicyProperties" minOccurs="0"/>
                <xsd:element ref="ns1:_ip_UnifiedCompliancePolicyUIAction" minOccurs="0"/>
                <xsd:element ref="ns2:MediaServiceOCR" minOccurs="0"/>
                <xsd:element ref="ns2:MediaServiceDateTaken" minOccurs="0"/>
                <xsd:element ref="ns2:MediaServiceLocation" minOccurs="0"/>
                <xsd:element ref="ns2:Dateand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b173ee-3fb8-4f75-bf43-79a22ca96f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Dateandtime" ma:index="22" nillable="true" ma:displayName="Date and time" ma:format="DateOnly" ma:internalName="Dateandtim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224003f-e6e7-470a-941a-44de566188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6D1FF4-D47C-4721-B34B-B31ED7C64F3F}"/>
</file>

<file path=customXml/itemProps2.xml><?xml version="1.0" encoding="utf-8"?>
<ds:datastoreItem xmlns:ds="http://schemas.openxmlformats.org/officeDocument/2006/customXml" ds:itemID="{B3DCDCD8-06CC-4D59-AC36-2AA77401BC4C}"/>
</file>

<file path=customXml/itemProps3.xml><?xml version="1.0" encoding="utf-8"?>
<ds:datastoreItem xmlns:ds="http://schemas.openxmlformats.org/officeDocument/2006/customXml" ds:itemID="{3A755FCF-584E-432B-A006-E9385BD9E15B}"/>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06</dc:title>
  <dc:subject/>
  <dc:creator>kcatani</dc:creator>
  <cp:keywords/>
  <dc:description/>
  <cp:lastModifiedBy>Danny Peltier</cp:lastModifiedBy>
  <cp:revision/>
  <dcterms:created xsi:type="dcterms:W3CDTF">2013-01-23T01:48:32Z</dcterms:created>
  <dcterms:modified xsi:type="dcterms:W3CDTF">2021-07-22T18:42:16Z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0x01010072D4A3EC0020B44F93019580CF4D642E</vt:lpwstr>
  </property>
</Properties>
</file>