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School Growth &amp; Development\Active Projects or Drafts\Nevada\Young Women's Leadership Academy (YWLA)\Amend_Enroll Reduction 5\Drafts\"/>
    </mc:Choice>
  </mc:AlternateContent>
  <xr:revisionPtr revIDLastSave="0" documentId="13_ncr:1_{C032B2C9-60BF-4ADC-B99B-6E9E545A2EE5}" xr6:coauthVersionLast="47" xr6:coauthVersionMax="47" xr10:uidLastSave="{00000000-0000-0000-0000-000000000000}"/>
  <bookViews>
    <workbookView xWindow="-28920" yWindow="-120" windowWidth="29040" windowHeight="15720" xr2:uid="{F37B33EB-6854-4665-B379-E3ACBFBB14FE}"/>
  </bookViews>
  <sheets>
    <sheet name="25-26" sheetId="1" r:id="rId1"/>
    <sheet name="26-27" sheetId="5" r:id="rId2"/>
    <sheet name="27-28" sheetId="7" r:id="rId3"/>
    <sheet name="28-29" sheetId="8" r:id="rId4"/>
    <sheet name="29-30" sheetId="9" r:id="rId5"/>
    <sheet name="30-31" sheetId="11" r:id="rId6"/>
    <sheet name="6-Year" sheetId="13" r:id="rId7"/>
    <sheet name="Per Pupil NV - Clark" sheetId="2" r:id="rId8"/>
  </sheets>
  <definedNames>
    <definedName name="_xlnm.Print_Area" localSheetId="0">'25-26'!$G$1:$P$282</definedName>
    <definedName name="_xlnm.Print_Area" localSheetId="1">'26-27'!$G$1:$P$293</definedName>
    <definedName name="_xlnm.Print_Area" localSheetId="2">'27-28'!$G$1:$P$293</definedName>
    <definedName name="_xlnm.Print_Area" localSheetId="3">'28-29'!$G$1:$P$293</definedName>
    <definedName name="_xlnm.Print_Area" localSheetId="4">'29-30'!$G$1:$P$293</definedName>
    <definedName name="_xlnm.Print_Area" localSheetId="5">'30-31'!$G$1:$P$293</definedName>
    <definedName name="_xlnm.Print_Area" localSheetId="6">'6-Year'!$B$1:$E$293</definedName>
    <definedName name="_xlnm.Print_Titles" localSheetId="0">'25-26'!$1:$1</definedName>
    <definedName name="PrintR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8" i="11" l="1"/>
  <c r="J238" i="9"/>
  <c r="J238" i="8"/>
  <c r="J238" i="7"/>
  <c r="J238" i="5"/>
  <c r="J254" i="11"/>
  <c r="J252" i="11"/>
  <c r="J249" i="11"/>
  <c r="J248" i="11"/>
  <c r="J254" i="9"/>
  <c r="J252" i="9"/>
  <c r="J249" i="9"/>
  <c r="J248" i="9"/>
  <c r="J254" i="8"/>
  <c r="J252" i="8"/>
  <c r="J249" i="8"/>
  <c r="J248" i="8"/>
  <c r="J254" i="7"/>
  <c r="J252" i="7"/>
  <c r="J249" i="7"/>
  <c r="J248" i="7"/>
  <c r="L256" i="11"/>
  <c r="L255" i="11"/>
  <c r="L256" i="9"/>
  <c r="L255" i="9"/>
  <c r="L256" i="8"/>
  <c r="L255" i="8"/>
  <c r="L256" i="7"/>
  <c r="L255" i="7"/>
  <c r="L256" i="5"/>
  <c r="L255" i="5"/>
  <c r="J254" i="5"/>
  <c r="J252" i="5"/>
  <c r="J249" i="5"/>
  <c r="J248" i="5"/>
  <c r="J270" i="11"/>
  <c r="J271" i="11"/>
  <c r="J272" i="11"/>
  <c r="J273" i="11"/>
  <c r="J274" i="11"/>
  <c r="J269" i="11"/>
  <c r="J270" i="9"/>
  <c r="J271" i="9"/>
  <c r="J272" i="9"/>
  <c r="J273" i="9"/>
  <c r="J274" i="9"/>
  <c r="J269" i="9"/>
  <c r="J270" i="8"/>
  <c r="J271" i="8"/>
  <c r="J272" i="8"/>
  <c r="J273" i="8"/>
  <c r="J274" i="8"/>
  <c r="J269" i="8"/>
  <c r="J270" i="7"/>
  <c r="J271" i="7"/>
  <c r="J272" i="7"/>
  <c r="J273" i="7"/>
  <c r="J274" i="7"/>
  <c r="J269" i="7"/>
  <c r="J270" i="5"/>
  <c r="J271" i="5"/>
  <c r="J272" i="5"/>
  <c r="J273" i="5"/>
  <c r="J274" i="5"/>
  <c r="J269" i="5"/>
  <c r="M196" i="11"/>
  <c r="K195" i="11"/>
  <c r="M192" i="11"/>
  <c r="J190" i="11"/>
  <c r="K189" i="11"/>
  <c r="J189" i="11"/>
  <c r="M188" i="11"/>
  <c r="K187" i="11"/>
  <c r="M185" i="11"/>
  <c r="M184" i="11"/>
  <c r="J185" i="11"/>
  <c r="J182" i="11"/>
  <c r="K181" i="11"/>
  <c r="J181" i="11"/>
  <c r="J204" i="11"/>
  <c r="J204" i="9"/>
  <c r="J204" i="8"/>
  <c r="J204" i="7"/>
  <c r="M196" i="9"/>
  <c r="M192" i="9"/>
  <c r="K195" i="9"/>
  <c r="J190" i="9"/>
  <c r="K189" i="9"/>
  <c r="J189" i="9"/>
  <c r="J189" i="8"/>
  <c r="M188" i="9"/>
  <c r="M184" i="9"/>
  <c r="M185" i="9"/>
  <c r="K187" i="9"/>
  <c r="J185" i="9"/>
  <c r="J182" i="9"/>
  <c r="K181" i="9"/>
  <c r="J181" i="9"/>
  <c r="J181" i="8"/>
  <c r="M196" i="8"/>
  <c r="M192" i="8"/>
  <c r="K195" i="8"/>
  <c r="J190" i="8"/>
  <c r="K189" i="8"/>
  <c r="M185" i="8"/>
  <c r="M184" i="8"/>
  <c r="M188" i="8"/>
  <c r="K187" i="8"/>
  <c r="J185" i="8"/>
  <c r="J182" i="8"/>
  <c r="K181" i="8"/>
  <c r="M196" i="7"/>
  <c r="K195" i="7"/>
  <c r="M192" i="7"/>
  <c r="J190" i="7"/>
  <c r="K189" i="7"/>
  <c r="J189" i="7"/>
  <c r="M188" i="7"/>
  <c r="K187" i="7"/>
  <c r="J185" i="7"/>
  <c r="M185" i="7"/>
  <c r="M184" i="7"/>
  <c r="K181" i="7"/>
  <c r="J181" i="7"/>
  <c r="J182" i="7"/>
  <c r="M177" i="11"/>
  <c r="M177" i="9"/>
  <c r="M177" i="8"/>
  <c r="M177" i="7"/>
  <c r="K169" i="11"/>
  <c r="K169" i="9"/>
  <c r="K169" i="8"/>
  <c r="K169" i="7"/>
  <c r="J162" i="11"/>
  <c r="J162" i="9"/>
  <c r="J162" i="8"/>
  <c r="J162" i="7"/>
  <c r="L148" i="11"/>
  <c r="J142" i="11"/>
  <c r="L141" i="11"/>
  <c r="L137" i="11"/>
  <c r="J137" i="11"/>
  <c r="J135" i="11"/>
  <c r="L148" i="9"/>
  <c r="J142" i="9"/>
  <c r="L141" i="9"/>
  <c r="J137" i="9"/>
  <c r="L137" i="9"/>
  <c r="J135" i="9"/>
  <c r="L148" i="8"/>
  <c r="J142" i="8"/>
  <c r="L141" i="8"/>
  <c r="J137" i="8"/>
  <c r="L137" i="8"/>
  <c r="J135" i="8"/>
  <c r="L148" i="7"/>
  <c r="J142" i="7"/>
  <c r="L141" i="7"/>
  <c r="L137" i="7"/>
  <c r="J137" i="7"/>
  <c r="J135" i="7"/>
  <c r="L132" i="11"/>
  <c r="L132" i="9"/>
  <c r="L132" i="8"/>
  <c r="L132" i="7"/>
  <c r="J121" i="11"/>
  <c r="J121" i="9"/>
  <c r="J121" i="8"/>
  <c r="J121" i="7"/>
  <c r="J101" i="11"/>
  <c r="J101" i="9"/>
  <c r="J101" i="8"/>
  <c r="J101" i="7"/>
  <c r="J95" i="11"/>
  <c r="J95" i="9"/>
  <c r="J95" i="8"/>
  <c r="J95" i="7"/>
  <c r="J95" i="5"/>
  <c r="M196" i="5"/>
  <c r="K195" i="5"/>
  <c r="M192" i="5"/>
  <c r="J190" i="5"/>
  <c r="K189" i="5"/>
  <c r="J189" i="5"/>
  <c r="M188" i="5"/>
  <c r="K187" i="5"/>
  <c r="J185" i="5"/>
  <c r="M184" i="5"/>
  <c r="K181" i="5"/>
  <c r="J181" i="5"/>
  <c r="J182" i="5"/>
  <c r="J204" i="5"/>
  <c r="M177" i="5"/>
  <c r="K169" i="5"/>
  <c r="J162" i="5"/>
  <c r="L148" i="5"/>
  <c r="J142" i="5"/>
  <c r="L141" i="5"/>
  <c r="L137" i="5"/>
  <c r="J137" i="5"/>
  <c r="J135" i="5"/>
  <c r="L132" i="5"/>
  <c r="J121" i="5"/>
  <c r="J101" i="5"/>
  <c r="L82" i="11"/>
  <c r="L82" i="9"/>
  <c r="L82" i="8"/>
  <c r="L82" i="7"/>
  <c r="L82" i="5"/>
  <c r="L81" i="11"/>
  <c r="L81" i="9"/>
  <c r="L81" i="8"/>
  <c r="L81" i="7"/>
  <c r="L81" i="5"/>
  <c r="J22" i="11"/>
  <c r="J22" i="9"/>
  <c r="J22" i="8"/>
  <c r="J22" i="7"/>
  <c r="K21" i="11"/>
  <c r="K21" i="9"/>
  <c r="K21" i="8"/>
  <c r="K21" i="7"/>
  <c r="J71" i="11" l="1"/>
  <c r="J70" i="11"/>
  <c r="J69" i="11"/>
  <c r="J71" i="9"/>
  <c r="J70" i="9"/>
  <c r="J69" i="9"/>
  <c r="J71" i="8"/>
  <c r="J70" i="8"/>
  <c r="J69" i="8"/>
  <c r="J71" i="7"/>
  <c r="J70" i="7"/>
  <c r="J69" i="7"/>
  <c r="J71" i="5"/>
  <c r="J70" i="5"/>
  <c r="J69" i="5"/>
  <c r="P17" i="5"/>
  <c r="O16" i="11" l="1"/>
  <c r="O15" i="11"/>
  <c r="O14" i="11"/>
  <c r="O13" i="11"/>
  <c r="O12" i="11"/>
  <c r="O11" i="11"/>
  <c r="O10" i="11"/>
  <c r="O9" i="11"/>
  <c r="O8" i="11"/>
  <c r="O7" i="11"/>
  <c r="O6" i="11"/>
  <c r="O5" i="11"/>
  <c r="O4" i="11"/>
  <c r="O16" i="9"/>
  <c r="O15" i="9"/>
  <c r="O14" i="9"/>
  <c r="O13" i="9"/>
  <c r="O12" i="9"/>
  <c r="O11" i="9"/>
  <c r="O10" i="9"/>
  <c r="O9" i="9"/>
  <c r="O8" i="9"/>
  <c r="O7" i="9"/>
  <c r="O6" i="9"/>
  <c r="O5" i="9"/>
  <c r="O4" i="9"/>
  <c r="O16" i="8"/>
  <c r="O15" i="8"/>
  <c r="O14" i="8"/>
  <c r="O13" i="8"/>
  <c r="O12" i="8"/>
  <c r="O11" i="8"/>
  <c r="O10" i="8"/>
  <c r="O9" i="8"/>
  <c r="O8" i="8"/>
  <c r="O7" i="8"/>
  <c r="O6" i="8"/>
  <c r="O5" i="8"/>
  <c r="O4" i="8"/>
  <c r="O288" i="11"/>
  <c r="O287" i="11"/>
  <c r="O286" i="11"/>
  <c r="N280" i="11"/>
  <c r="M280" i="11"/>
  <c r="L280" i="11"/>
  <c r="K280" i="11"/>
  <c r="O279" i="11"/>
  <c r="O278" i="11"/>
  <c r="O277" i="11"/>
  <c r="O276" i="11"/>
  <c r="O275" i="11"/>
  <c r="O274" i="11"/>
  <c r="O273" i="11"/>
  <c r="O272" i="11"/>
  <c r="O271" i="11"/>
  <c r="O270" i="11"/>
  <c r="O269" i="11"/>
  <c r="J280" i="11"/>
  <c r="O268" i="11"/>
  <c r="N268" i="11"/>
  <c r="M268" i="11"/>
  <c r="L268" i="11"/>
  <c r="K268" i="11"/>
  <c r="J268" i="11"/>
  <c r="N266" i="11"/>
  <c r="M266" i="11"/>
  <c r="L266" i="11"/>
  <c r="K266" i="11"/>
  <c r="O264" i="11"/>
  <c r="O263" i="11"/>
  <c r="J263" i="11"/>
  <c r="O262" i="11"/>
  <c r="O261" i="11"/>
  <c r="O259" i="11"/>
  <c r="O258" i="11"/>
  <c r="O257" i="11"/>
  <c r="O256" i="11"/>
  <c r="O255" i="11"/>
  <c r="O254" i="11"/>
  <c r="O252" i="11"/>
  <c r="O251" i="11"/>
  <c r="O250" i="11"/>
  <c r="O249" i="11"/>
  <c r="O247" i="11"/>
  <c r="N247" i="11"/>
  <c r="M247" i="11"/>
  <c r="L247" i="11"/>
  <c r="K247" i="11"/>
  <c r="J247" i="11"/>
  <c r="N245" i="11"/>
  <c r="M245" i="11"/>
  <c r="L245" i="11"/>
  <c r="K245" i="11"/>
  <c r="O243" i="11"/>
  <c r="O241" i="11"/>
  <c r="O240" i="11"/>
  <c r="O239" i="11"/>
  <c r="O237" i="11"/>
  <c r="O236" i="11"/>
  <c r="O235" i="11"/>
  <c r="N235" i="11"/>
  <c r="M235" i="11"/>
  <c r="L235" i="11"/>
  <c r="K235" i="11"/>
  <c r="J235" i="11"/>
  <c r="N233" i="11"/>
  <c r="L233" i="11"/>
  <c r="M232" i="11"/>
  <c r="O231" i="11"/>
  <c r="O230" i="11"/>
  <c r="M229" i="11"/>
  <c r="M233" i="11" s="1"/>
  <c r="O228" i="11"/>
  <c r="O225" i="11"/>
  <c r="O224" i="11"/>
  <c r="O223" i="11"/>
  <c r="N223" i="11"/>
  <c r="M223" i="11"/>
  <c r="L223" i="11"/>
  <c r="K223" i="11"/>
  <c r="J223" i="11"/>
  <c r="N221" i="11"/>
  <c r="M221" i="11"/>
  <c r="L221" i="11"/>
  <c r="K221" i="11"/>
  <c r="O219" i="11"/>
  <c r="J216" i="11"/>
  <c r="O216" i="11" s="1"/>
  <c r="O214" i="11"/>
  <c r="N214" i="11"/>
  <c r="M214" i="11"/>
  <c r="L214" i="11"/>
  <c r="K214" i="11"/>
  <c r="J214" i="11"/>
  <c r="N212" i="11"/>
  <c r="M212" i="11"/>
  <c r="L212" i="11"/>
  <c r="K212" i="11"/>
  <c r="K211" i="11"/>
  <c r="J211" i="11"/>
  <c r="O211" i="11" s="1"/>
  <c r="O209" i="11"/>
  <c r="J209" i="11"/>
  <c r="O207" i="11"/>
  <c r="O206" i="11"/>
  <c r="O205" i="11"/>
  <c r="O204" i="11"/>
  <c r="O203" i="11"/>
  <c r="N203" i="11"/>
  <c r="M203" i="11"/>
  <c r="L203" i="11"/>
  <c r="K203" i="11"/>
  <c r="J203" i="11"/>
  <c r="O200" i="11"/>
  <c r="J199" i="11"/>
  <c r="O199" i="11" s="1"/>
  <c r="K197" i="11"/>
  <c r="N196" i="11"/>
  <c r="L196" i="11"/>
  <c r="K196" i="11"/>
  <c r="J196" i="11"/>
  <c r="N195" i="11"/>
  <c r="M195" i="11"/>
  <c r="L195" i="11"/>
  <c r="J195" i="11"/>
  <c r="N194" i="11"/>
  <c r="M194" i="11"/>
  <c r="L194" i="11"/>
  <c r="K194" i="11"/>
  <c r="J194" i="11"/>
  <c r="N193" i="11"/>
  <c r="M193" i="11"/>
  <c r="L193" i="11"/>
  <c r="K193" i="11"/>
  <c r="J193" i="11"/>
  <c r="O193" i="11" s="1"/>
  <c r="N192" i="11"/>
  <c r="L192" i="11"/>
  <c r="K192" i="11"/>
  <c r="J192" i="11"/>
  <c r="N191" i="11"/>
  <c r="M191" i="11"/>
  <c r="L191" i="11"/>
  <c r="K191" i="11"/>
  <c r="J191" i="11"/>
  <c r="N190" i="11"/>
  <c r="M190" i="11"/>
  <c r="L190" i="11"/>
  <c r="K190" i="11"/>
  <c r="N189" i="11"/>
  <c r="M189" i="11"/>
  <c r="L189" i="11"/>
  <c r="N188" i="11"/>
  <c r="L188" i="11"/>
  <c r="K188" i="11"/>
  <c r="J188" i="11"/>
  <c r="N187" i="11"/>
  <c r="M187" i="11"/>
  <c r="L187" i="11"/>
  <c r="J187" i="11"/>
  <c r="N186" i="11"/>
  <c r="M186" i="11"/>
  <c r="L186" i="11"/>
  <c r="K186" i="11"/>
  <c r="J186" i="11"/>
  <c r="N185" i="11"/>
  <c r="L185" i="11"/>
  <c r="K185" i="11"/>
  <c r="O185" i="11"/>
  <c r="N184" i="11"/>
  <c r="L184" i="11"/>
  <c r="K184" i="11"/>
  <c r="J184" i="11"/>
  <c r="N183" i="11"/>
  <c r="M183" i="11"/>
  <c r="L183" i="11"/>
  <c r="K183" i="11"/>
  <c r="J183" i="11"/>
  <c r="N182" i="11"/>
  <c r="M182" i="11"/>
  <c r="L182" i="11"/>
  <c r="K182" i="11"/>
  <c r="N181" i="11"/>
  <c r="M181" i="11"/>
  <c r="L181" i="11"/>
  <c r="N180" i="11"/>
  <c r="L180" i="11"/>
  <c r="K180" i="11"/>
  <c r="O179" i="11"/>
  <c r="J179" i="11"/>
  <c r="O176" i="11"/>
  <c r="O175" i="11"/>
  <c r="O174" i="11"/>
  <c r="O173" i="11"/>
  <c r="O172" i="11"/>
  <c r="O171" i="11"/>
  <c r="O169" i="11"/>
  <c r="J169" i="11"/>
  <c r="O167" i="11"/>
  <c r="O166" i="11"/>
  <c r="O165" i="11"/>
  <c r="O164" i="11"/>
  <c r="K162" i="11"/>
  <c r="O161" i="11"/>
  <c r="O160" i="11"/>
  <c r="O159" i="11"/>
  <c r="M159" i="11"/>
  <c r="O158" i="11"/>
  <c r="O157" i="11"/>
  <c r="O155" i="11"/>
  <c r="N155" i="11"/>
  <c r="M155" i="11"/>
  <c r="L155" i="11"/>
  <c r="K155" i="11"/>
  <c r="J155" i="11"/>
  <c r="N153" i="11"/>
  <c r="O152" i="11"/>
  <c r="O151" i="11"/>
  <c r="N150" i="11"/>
  <c r="M150" i="11"/>
  <c r="L150" i="11"/>
  <c r="K150" i="11"/>
  <c r="J150" i="11"/>
  <c r="O150" i="11" s="1"/>
  <c r="N149" i="11"/>
  <c r="M149" i="11"/>
  <c r="L149" i="11"/>
  <c r="K149" i="11"/>
  <c r="J149" i="11"/>
  <c r="O149" i="11" s="1"/>
  <c r="N148" i="11"/>
  <c r="M148" i="11"/>
  <c r="K148" i="11"/>
  <c r="N147" i="11"/>
  <c r="M147" i="11"/>
  <c r="L147" i="11"/>
  <c r="K147" i="11"/>
  <c r="J147" i="11"/>
  <c r="O147" i="11" s="1"/>
  <c r="N146" i="11"/>
  <c r="M146" i="11"/>
  <c r="L146" i="11"/>
  <c r="K146" i="11"/>
  <c r="J146" i="11"/>
  <c r="N145" i="11"/>
  <c r="M145" i="11"/>
  <c r="L145" i="11"/>
  <c r="K145" i="11"/>
  <c r="J145" i="11"/>
  <c r="O145" i="11" s="1"/>
  <c r="N144" i="11"/>
  <c r="M144" i="11"/>
  <c r="L144" i="11"/>
  <c r="K144" i="11"/>
  <c r="J144" i="11"/>
  <c r="N143" i="11"/>
  <c r="M143" i="11"/>
  <c r="L143" i="11"/>
  <c r="K143" i="11"/>
  <c r="J143" i="11"/>
  <c r="O143" i="11" s="1"/>
  <c r="N142" i="11"/>
  <c r="M142" i="11"/>
  <c r="L142" i="11"/>
  <c r="K142" i="11"/>
  <c r="N141" i="11"/>
  <c r="M141" i="11"/>
  <c r="K141" i="11"/>
  <c r="J141" i="11"/>
  <c r="N140" i="11"/>
  <c r="M140" i="11"/>
  <c r="L140" i="11"/>
  <c r="K140" i="11"/>
  <c r="J140" i="11"/>
  <c r="N139" i="11"/>
  <c r="M139" i="11"/>
  <c r="L139" i="11"/>
  <c r="K139" i="11"/>
  <c r="J139" i="11"/>
  <c r="N138" i="11"/>
  <c r="M138" i="11"/>
  <c r="L138" i="11"/>
  <c r="K138" i="11"/>
  <c r="J138" i="11"/>
  <c r="O138" i="11" s="1"/>
  <c r="N137" i="11"/>
  <c r="M137" i="11"/>
  <c r="K137" i="11"/>
  <c r="O137" i="11"/>
  <c r="N136" i="11"/>
  <c r="M136" i="11"/>
  <c r="L136" i="11"/>
  <c r="K136" i="11"/>
  <c r="J136" i="11"/>
  <c r="O136" i="11" s="1"/>
  <c r="N135" i="11"/>
  <c r="M135" i="11"/>
  <c r="M153" i="11" s="1"/>
  <c r="L135" i="11"/>
  <c r="K135" i="11"/>
  <c r="K153" i="11" s="1"/>
  <c r="O135" i="11"/>
  <c r="N134" i="11"/>
  <c r="M134" i="11"/>
  <c r="K134" i="11"/>
  <c r="O133" i="11"/>
  <c r="J132" i="11"/>
  <c r="J148" i="11" s="1"/>
  <c r="O130" i="11"/>
  <c r="O129" i="11"/>
  <c r="J128" i="11"/>
  <c r="O128" i="11" s="1"/>
  <c r="O126" i="11"/>
  <c r="O125" i="11"/>
  <c r="O124" i="11"/>
  <c r="O123" i="11"/>
  <c r="O122" i="11"/>
  <c r="J122" i="11"/>
  <c r="O121" i="11"/>
  <c r="O119" i="11"/>
  <c r="O118" i="11"/>
  <c r="O117" i="11"/>
  <c r="O116" i="11"/>
  <c r="O115" i="11"/>
  <c r="O114" i="11"/>
  <c r="O113" i="11"/>
  <c r="O112" i="11"/>
  <c r="O111" i="11"/>
  <c r="O110" i="11"/>
  <c r="O109" i="11"/>
  <c r="O108" i="11"/>
  <c r="O107" i="11"/>
  <c r="O106" i="11"/>
  <c r="O105" i="11"/>
  <c r="O104" i="11"/>
  <c r="O103" i="11"/>
  <c r="O102" i="11"/>
  <c r="O101" i="11"/>
  <c r="O99" i="11"/>
  <c r="O98" i="11"/>
  <c r="O96" i="11"/>
  <c r="O95" i="11"/>
  <c r="O94" i="11"/>
  <c r="O92" i="11"/>
  <c r="N92" i="11"/>
  <c r="M92" i="11"/>
  <c r="L92" i="11"/>
  <c r="K92" i="11"/>
  <c r="J92" i="11"/>
  <c r="N89" i="11"/>
  <c r="M89" i="11"/>
  <c r="L89" i="11"/>
  <c r="K89" i="11"/>
  <c r="J89" i="11"/>
  <c r="O88" i="11"/>
  <c r="O89" i="11" s="1"/>
  <c r="O87" i="11"/>
  <c r="O86" i="11"/>
  <c r="O85" i="11"/>
  <c r="N85" i="11"/>
  <c r="M85" i="11"/>
  <c r="L85" i="11"/>
  <c r="K85" i="11"/>
  <c r="J85" i="11"/>
  <c r="N83" i="11"/>
  <c r="L83" i="11"/>
  <c r="O82" i="11"/>
  <c r="O81" i="11"/>
  <c r="O80" i="11"/>
  <c r="O79" i="11"/>
  <c r="M78" i="11"/>
  <c r="O78" i="11" s="1"/>
  <c r="O77" i="11"/>
  <c r="O76" i="11"/>
  <c r="K75" i="11"/>
  <c r="O75" i="11" s="1"/>
  <c r="K74" i="11"/>
  <c r="K83" i="11" s="1"/>
  <c r="O73" i="11"/>
  <c r="O72" i="11"/>
  <c r="O71" i="11"/>
  <c r="O69" i="11"/>
  <c r="O67" i="11"/>
  <c r="N67" i="11"/>
  <c r="M67" i="11"/>
  <c r="L67" i="11"/>
  <c r="K67" i="11"/>
  <c r="J67" i="11"/>
  <c r="N63" i="11"/>
  <c r="N65" i="11" s="1"/>
  <c r="M63" i="11"/>
  <c r="M65" i="11" s="1"/>
  <c r="L63" i="11"/>
  <c r="L65" i="11" s="1"/>
  <c r="K63" i="11"/>
  <c r="K65" i="11" s="1"/>
  <c r="N61" i="11"/>
  <c r="N64" i="11" s="1"/>
  <c r="M61" i="11"/>
  <c r="M64" i="11" s="1"/>
  <c r="L61" i="11"/>
  <c r="L64" i="11" s="1"/>
  <c r="K61" i="11"/>
  <c r="K64" i="11" s="1"/>
  <c r="J61" i="11"/>
  <c r="J64" i="11" s="1"/>
  <c r="O60" i="11"/>
  <c r="O59" i="11"/>
  <c r="O58" i="11"/>
  <c r="O57" i="11"/>
  <c r="O56" i="11"/>
  <c r="O55" i="11"/>
  <c r="O54" i="11"/>
  <c r="O53" i="11"/>
  <c r="O52" i="11"/>
  <c r="O51" i="11"/>
  <c r="O50" i="11"/>
  <c r="O49" i="11"/>
  <c r="O48" i="11"/>
  <c r="O47" i="11"/>
  <c r="O46" i="11"/>
  <c r="O45" i="11"/>
  <c r="O44" i="11"/>
  <c r="O43" i="11"/>
  <c r="O42" i="11"/>
  <c r="O41" i="11"/>
  <c r="O40" i="11"/>
  <c r="O39" i="11"/>
  <c r="O61" i="11" s="1"/>
  <c r="O64" i="11" s="1"/>
  <c r="O38" i="11"/>
  <c r="N38" i="11"/>
  <c r="M38" i="11"/>
  <c r="L38" i="11"/>
  <c r="K38" i="11"/>
  <c r="J38" i="11"/>
  <c r="N36" i="11"/>
  <c r="N198" i="11" s="1"/>
  <c r="M36" i="11"/>
  <c r="M198" i="11" s="1"/>
  <c r="L36" i="11"/>
  <c r="L198" i="11" s="1"/>
  <c r="K36" i="11"/>
  <c r="K227" i="11" s="1"/>
  <c r="J36" i="11"/>
  <c r="J63" i="11" s="1"/>
  <c r="O35" i="11"/>
  <c r="O34" i="11"/>
  <c r="O33" i="11"/>
  <c r="O32" i="11"/>
  <c r="O31" i="11"/>
  <c r="O30" i="11"/>
  <c r="O29" i="11"/>
  <c r="O28" i="11"/>
  <c r="O27" i="11"/>
  <c r="O26" i="11"/>
  <c r="N26" i="11"/>
  <c r="M26" i="11"/>
  <c r="L26" i="11"/>
  <c r="K26" i="11"/>
  <c r="J26" i="11"/>
  <c r="O25" i="11"/>
  <c r="O24" i="11"/>
  <c r="O23" i="11"/>
  <c r="O22" i="11"/>
  <c r="O21" i="11"/>
  <c r="O288" i="9"/>
  <c r="O287" i="9"/>
  <c r="O286" i="9"/>
  <c r="N280" i="9"/>
  <c r="M280" i="9"/>
  <c r="L280" i="9"/>
  <c r="K280" i="9"/>
  <c r="O279" i="9"/>
  <c r="O278" i="9"/>
  <c r="O277" i="9"/>
  <c r="O276" i="9"/>
  <c r="O275" i="9"/>
  <c r="O274" i="9"/>
  <c r="O273" i="9"/>
  <c r="O272" i="9"/>
  <c r="O271" i="9"/>
  <c r="O270" i="9"/>
  <c r="O269" i="9"/>
  <c r="J280" i="9"/>
  <c r="O268" i="9"/>
  <c r="N268" i="9"/>
  <c r="M268" i="9"/>
  <c r="L268" i="9"/>
  <c r="K268" i="9"/>
  <c r="J268" i="9"/>
  <c r="N266" i="9"/>
  <c r="M266" i="9"/>
  <c r="L266" i="9"/>
  <c r="K266" i="9"/>
  <c r="O264" i="9"/>
  <c r="J263" i="9"/>
  <c r="O263" i="9" s="1"/>
  <c r="O262" i="9"/>
  <c r="O261" i="9"/>
  <c r="O259" i="9"/>
  <c r="O258" i="9"/>
  <c r="O257" i="9"/>
  <c r="O256" i="9"/>
  <c r="O255" i="9"/>
  <c r="O254" i="9"/>
  <c r="O251" i="9"/>
  <c r="O250" i="9"/>
  <c r="O249" i="9"/>
  <c r="O248" i="9"/>
  <c r="O247" i="9"/>
  <c r="N247" i="9"/>
  <c r="M247" i="9"/>
  <c r="L247" i="9"/>
  <c r="K247" i="9"/>
  <c r="J247" i="9"/>
  <c r="N245" i="9"/>
  <c r="M245" i="9"/>
  <c r="L245" i="9"/>
  <c r="K245" i="9"/>
  <c r="O243" i="9"/>
  <c r="O241" i="9"/>
  <c r="O240" i="9"/>
  <c r="O239" i="9"/>
  <c r="O237" i="9"/>
  <c r="O236" i="9"/>
  <c r="O235" i="9"/>
  <c r="N235" i="9"/>
  <c r="M235" i="9"/>
  <c r="L235" i="9"/>
  <c r="K235" i="9"/>
  <c r="J235" i="9"/>
  <c r="N233" i="9"/>
  <c r="L233" i="9"/>
  <c r="M232" i="9"/>
  <c r="O231" i="9"/>
  <c r="O230" i="9"/>
  <c r="M229" i="9"/>
  <c r="M233" i="9" s="1"/>
  <c r="O228" i="9"/>
  <c r="O225" i="9"/>
  <c r="O224" i="9"/>
  <c r="O223" i="9"/>
  <c r="N223" i="9"/>
  <c r="M223" i="9"/>
  <c r="L223" i="9"/>
  <c r="K223" i="9"/>
  <c r="J223" i="9"/>
  <c r="N221" i="9"/>
  <c r="M221" i="9"/>
  <c r="L221" i="9"/>
  <c r="K221" i="9"/>
  <c r="O219" i="9"/>
  <c r="J216" i="9"/>
  <c r="O216" i="9" s="1"/>
  <c r="O214" i="9"/>
  <c r="N214" i="9"/>
  <c r="M214" i="9"/>
  <c r="L214" i="9"/>
  <c r="K214" i="9"/>
  <c r="J214" i="9"/>
  <c r="N212" i="9"/>
  <c r="M212" i="9"/>
  <c r="L212" i="9"/>
  <c r="K211" i="9"/>
  <c r="K212" i="9" s="1"/>
  <c r="J211" i="9"/>
  <c r="J209" i="9"/>
  <c r="O209" i="9" s="1"/>
  <c r="O207" i="9"/>
  <c r="O206" i="9"/>
  <c r="O205" i="9"/>
  <c r="O204" i="9"/>
  <c r="O203" i="9"/>
  <c r="N203" i="9"/>
  <c r="M203" i="9"/>
  <c r="L203" i="9"/>
  <c r="K203" i="9"/>
  <c r="J203" i="9"/>
  <c r="O200" i="9"/>
  <c r="J199" i="9"/>
  <c r="O199" i="9" s="1"/>
  <c r="N198" i="9"/>
  <c r="K197" i="9"/>
  <c r="J197" i="9"/>
  <c r="N196" i="9"/>
  <c r="L196" i="9"/>
  <c r="K196" i="9"/>
  <c r="J196" i="9"/>
  <c r="N195" i="9"/>
  <c r="M195" i="9"/>
  <c r="L195" i="9"/>
  <c r="J195" i="9"/>
  <c r="N194" i="9"/>
  <c r="M194" i="9"/>
  <c r="L194" i="9"/>
  <c r="K194" i="9"/>
  <c r="J194" i="9"/>
  <c r="N193" i="9"/>
  <c r="M193" i="9"/>
  <c r="L193" i="9"/>
  <c r="K193" i="9"/>
  <c r="J193" i="9"/>
  <c r="N192" i="9"/>
  <c r="L192" i="9"/>
  <c r="K192" i="9"/>
  <c r="J192" i="9"/>
  <c r="N191" i="9"/>
  <c r="M191" i="9"/>
  <c r="L191" i="9"/>
  <c r="K191" i="9"/>
  <c r="J191" i="9"/>
  <c r="N190" i="9"/>
  <c r="M190" i="9"/>
  <c r="L190" i="9"/>
  <c r="K190" i="9"/>
  <c r="N189" i="9"/>
  <c r="M189" i="9"/>
  <c r="L189" i="9"/>
  <c r="N188" i="9"/>
  <c r="L188" i="9"/>
  <c r="K188" i="9"/>
  <c r="J188" i="9"/>
  <c r="N187" i="9"/>
  <c r="M187" i="9"/>
  <c r="L187" i="9"/>
  <c r="J187" i="9"/>
  <c r="N186" i="9"/>
  <c r="M186" i="9"/>
  <c r="L186" i="9"/>
  <c r="K186" i="9"/>
  <c r="J186" i="9"/>
  <c r="N185" i="9"/>
  <c r="L185" i="9"/>
  <c r="K185" i="9"/>
  <c r="N184" i="9"/>
  <c r="L184" i="9"/>
  <c r="K184" i="9"/>
  <c r="J184" i="9"/>
  <c r="N183" i="9"/>
  <c r="M183" i="9"/>
  <c r="L183" i="9"/>
  <c r="K183" i="9"/>
  <c r="J183" i="9"/>
  <c r="O183" i="9" s="1"/>
  <c r="N182" i="9"/>
  <c r="M182" i="9"/>
  <c r="L182" i="9"/>
  <c r="K182" i="9"/>
  <c r="N181" i="9"/>
  <c r="M181" i="9"/>
  <c r="L181" i="9"/>
  <c r="N180" i="9"/>
  <c r="L180" i="9"/>
  <c r="J179" i="9"/>
  <c r="O179" i="9" s="1"/>
  <c r="O177" i="9"/>
  <c r="O176" i="9"/>
  <c r="O175" i="9"/>
  <c r="O174" i="9"/>
  <c r="O173" i="9"/>
  <c r="O172" i="9"/>
  <c r="O171" i="9"/>
  <c r="O169" i="9"/>
  <c r="J169" i="9"/>
  <c r="O167" i="9"/>
  <c r="O166" i="9"/>
  <c r="O165" i="9"/>
  <c r="O164" i="9"/>
  <c r="K162" i="9"/>
  <c r="K180" i="9" s="1"/>
  <c r="O161" i="9"/>
  <c r="O160" i="9"/>
  <c r="M159" i="9"/>
  <c r="O158" i="9"/>
  <c r="O157" i="9"/>
  <c r="O155" i="9"/>
  <c r="N155" i="9"/>
  <c r="M155" i="9"/>
  <c r="L155" i="9"/>
  <c r="K155" i="9"/>
  <c r="J155" i="9"/>
  <c r="O152" i="9"/>
  <c r="O151" i="9"/>
  <c r="N150" i="9"/>
  <c r="M150" i="9"/>
  <c r="L150" i="9"/>
  <c r="K150" i="9"/>
  <c r="J150" i="9"/>
  <c r="O150" i="9" s="1"/>
  <c r="N149" i="9"/>
  <c r="M149" i="9"/>
  <c r="L149" i="9"/>
  <c r="K149" i="9"/>
  <c r="J149" i="9"/>
  <c r="O149" i="9" s="1"/>
  <c r="N148" i="9"/>
  <c r="M148" i="9"/>
  <c r="K148" i="9"/>
  <c r="N147" i="9"/>
  <c r="M147" i="9"/>
  <c r="L147" i="9"/>
  <c r="K147" i="9"/>
  <c r="J147" i="9"/>
  <c r="O147" i="9" s="1"/>
  <c r="N146" i="9"/>
  <c r="M146" i="9"/>
  <c r="L146" i="9"/>
  <c r="K146" i="9"/>
  <c r="J146" i="9"/>
  <c r="N145" i="9"/>
  <c r="M145" i="9"/>
  <c r="L145" i="9"/>
  <c r="K145" i="9"/>
  <c r="J145" i="9"/>
  <c r="O145" i="9" s="1"/>
  <c r="N144" i="9"/>
  <c r="M144" i="9"/>
  <c r="L144" i="9"/>
  <c r="K144" i="9"/>
  <c r="J144" i="9"/>
  <c r="N143" i="9"/>
  <c r="M143" i="9"/>
  <c r="L143" i="9"/>
  <c r="K143" i="9"/>
  <c r="J143" i="9"/>
  <c r="O143" i="9" s="1"/>
  <c r="N142" i="9"/>
  <c r="M142" i="9"/>
  <c r="L142" i="9"/>
  <c r="K142" i="9"/>
  <c r="N141" i="9"/>
  <c r="M141" i="9"/>
  <c r="K141" i="9"/>
  <c r="J141" i="9"/>
  <c r="N140" i="9"/>
  <c r="M140" i="9"/>
  <c r="L140" i="9"/>
  <c r="K140" i="9"/>
  <c r="J140" i="9"/>
  <c r="N139" i="9"/>
  <c r="M139" i="9"/>
  <c r="L139" i="9"/>
  <c r="K139" i="9"/>
  <c r="J139" i="9"/>
  <c r="N138" i="9"/>
  <c r="M138" i="9"/>
  <c r="L138" i="9"/>
  <c r="K138" i="9"/>
  <c r="J138" i="9"/>
  <c r="O138" i="9" s="1"/>
  <c r="N137" i="9"/>
  <c r="M137" i="9"/>
  <c r="K137" i="9"/>
  <c r="O137" i="9"/>
  <c r="N136" i="9"/>
  <c r="M136" i="9"/>
  <c r="L136" i="9"/>
  <c r="K136" i="9"/>
  <c r="J136" i="9"/>
  <c r="O136" i="9" s="1"/>
  <c r="N135" i="9"/>
  <c r="N153" i="9" s="1"/>
  <c r="M135" i="9"/>
  <c r="M153" i="9" s="1"/>
  <c r="L135" i="9"/>
  <c r="K135" i="9"/>
  <c r="K153" i="9" s="1"/>
  <c r="O135" i="9"/>
  <c r="N134" i="9"/>
  <c r="M134" i="9"/>
  <c r="L134" i="9"/>
  <c r="K134" i="9"/>
  <c r="O133" i="9"/>
  <c r="J132" i="9"/>
  <c r="J148" i="9" s="1"/>
  <c r="O130" i="9"/>
  <c r="O129" i="9"/>
  <c r="J128" i="9"/>
  <c r="O128" i="9" s="1"/>
  <c r="O126" i="9"/>
  <c r="O125" i="9"/>
  <c r="O124" i="9"/>
  <c r="O123" i="9"/>
  <c r="J122" i="9"/>
  <c r="O122" i="9" s="1"/>
  <c r="O121" i="9"/>
  <c r="O119" i="9"/>
  <c r="O118" i="9"/>
  <c r="O117" i="9"/>
  <c r="O116" i="9"/>
  <c r="O115" i="9"/>
  <c r="O114" i="9"/>
  <c r="O113" i="9"/>
  <c r="O112" i="9"/>
  <c r="O111" i="9"/>
  <c r="O110" i="9"/>
  <c r="O109" i="9"/>
  <c r="O108" i="9"/>
  <c r="O107" i="9"/>
  <c r="O106" i="9"/>
  <c r="O105" i="9"/>
  <c r="O104" i="9"/>
  <c r="O103" i="9"/>
  <c r="O102" i="9"/>
  <c r="O101" i="9"/>
  <c r="O99" i="9"/>
  <c r="O98" i="9"/>
  <c r="O96" i="9"/>
  <c r="O95" i="9"/>
  <c r="O94" i="9"/>
  <c r="O92" i="9"/>
  <c r="N92" i="9"/>
  <c r="M92" i="9"/>
  <c r="L92" i="9"/>
  <c r="K92" i="9"/>
  <c r="J92" i="9"/>
  <c r="N89" i="9"/>
  <c r="M89" i="9"/>
  <c r="L89" i="9"/>
  <c r="K89" i="9"/>
  <c r="J89" i="9"/>
  <c r="O88" i="9"/>
  <c r="O87" i="9"/>
  <c r="O86" i="9"/>
  <c r="O89" i="9" s="1"/>
  <c r="O85" i="9"/>
  <c r="N85" i="9"/>
  <c r="M85" i="9"/>
  <c r="L85" i="9"/>
  <c r="K85" i="9"/>
  <c r="J85" i="9"/>
  <c r="N83" i="9"/>
  <c r="L83" i="9"/>
  <c r="O82" i="9"/>
  <c r="O81" i="9"/>
  <c r="O80" i="9"/>
  <c r="O79" i="9"/>
  <c r="M78" i="9"/>
  <c r="O78" i="9" s="1"/>
  <c r="O77" i="9"/>
  <c r="O76" i="9"/>
  <c r="K75" i="9"/>
  <c r="O75" i="9" s="1"/>
  <c r="K74" i="9"/>
  <c r="O73" i="9"/>
  <c r="O72" i="9"/>
  <c r="O71" i="9"/>
  <c r="O69" i="9"/>
  <c r="O67" i="9"/>
  <c r="N67" i="9"/>
  <c r="M67" i="9"/>
  <c r="L67" i="9"/>
  <c r="K67" i="9"/>
  <c r="J67" i="9"/>
  <c r="N63" i="9"/>
  <c r="N65" i="9" s="1"/>
  <c r="M63" i="9"/>
  <c r="M65" i="9" s="1"/>
  <c r="L63" i="9"/>
  <c r="L65" i="9" s="1"/>
  <c r="K63" i="9"/>
  <c r="N61" i="9"/>
  <c r="N64" i="9" s="1"/>
  <c r="M61" i="9"/>
  <c r="M64" i="9" s="1"/>
  <c r="L61" i="9"/>
  <c r="L64" i="9" s="1"/>
  <c r="K61" i="9"/>
  <c r="K64" i="9" s="1"/>
  <c r="J61" i="9"/>
  <c r="J64" i="9" s="1"/>
  <c r="O60" i="9"/>
  <c r="O59" i="9"/>
  <c r="O58" i="9"/>
  <c r="O57" i="9"/>
  <c r="O56" i="9"/>
  <c r="O55" i="9"/>
  <c r="O54" i="9"/>
  <c r="O53" i="9"/>
  <c r="O52" i="9"/>
  <c r="O51" i="9"/>
  <c r="O50" i="9"/>
  <c r="O49" i="9"/>
  <c r="O48" i="9"/>
  <c r="O47" i="9"/>
  <c r="O46" i="9"/>
  <c r="O45" i="9"/>
  <c r="O44" i="9"/>
  <c r="O43" i="9"/>
  <c r="O42" i="9"/>
  <c r="O41" i="9"/>
  <c r="O40" i="9"/>
  <c r="O39" i="9"/>
  <c r="O61" i="9" s="1"/>
  <c r="O64" i="9" s="1"/>
  <c r="O38" i="9"/>
  <c r="N38" i="9"/>
  <c r="M38" i="9"/>
  <c r="L38" i="9"/>
  <c r="K38" i="9"/>
  <c r="J38" i="9"/>
  <c r="N36" i="9"/>
  <c r="N197" i="9" s="1"/>
  <c r="M36" i="9"/>
  <c r="M198" i="9" s="1"/>
  <c r="L36" i="9"/>
  <c r="L198" i="9" s="1"/>
  <c r="K36" i="9"/>
  <c r="K227" i="9" s="1"/>
  <c r="J36" i="9"/>
  <c r="J63" i="9" s="1"/>
  <c r="O35" i="9"/>
  <c r="O34" i="9"/>
  <c r="O33" i="9"/>
  <c r="O32" i="9"/>
  <c r="O31" i="9"/>
  <c r="O30" i="9"/>
  <c r="O29" i="9"/>
  <c r="O36" i="9" s="1"/>
  <c r="O63" i="9" s="1"/>
  <c r="O65" i="9" s="1"/>
  <c r="O28" i="9"/>
  <c r="O27" i="9"/>
  <c r="O26" i="9"/>
  <c r="N26" i="9"/>
  <c r="M26" i="9"/>
  <c r="L26" i="9"/>
  <c r="K26" i="9"/>
  <c r="J26" i="9"/>
  <c r="O25" i="9"/>
  <c r="O24" i="9"/>
  <c r="O23" i="9"/>
  <c r="O22" i="9"/>
  <c r="O21" i="9"/>
  <c r="O288" i="8"/>
  <c r="O287" i="8"/>
  <c r="O286" i="8"/>
  <c r="N280" i="8"/>
  <c r="M280" i="8"/>
  <c r="L280" i="8"/>
  <c r="K280" i="8"/>
  <c r="O279" i="8"/>
  <c r="O278" i="8"/>
  <c r="O277" i="8"/>
  <c r="O276" i="8"/>
  <c r="O275" i="8"/>
  <c r="O274" i="8"/>
  <c r="O273" i="8"/>
  <c r="O272" i="8"/>
  <c r="O271" i="8"/>
  <c r="O270" i="8"/>
  <c r="O269" i="8"/>
  <c r="J280" i="8"/>
  <c r="O268" i="8"/>
  <c r="N268" i="8"/>
  <c r="M268" i="8"/>
  <c r="L268" i="8"/>
  <c r="K268" i="8"/>
  <c r="J268" i="8"/>
  <c r="N266" i="8"/>
  <c r="M266" i="8"/>
  <c r="L266" i="8"/>
  <c r="K266" i="8"/>
  <c r="O264" i="8"/>
  <c r="O263" i="8"/>
  <c r="J263" i="8"/>
  <c r="O262" i="8"/>
  <c r="O261" i="8"/>
  <c r="O259" i="8"/>
  <c r="O258" i="8"/>
  <c r="O257" i="8"/>
  <c r="O256" i="8"/>
  <c r="O255" i="8"/>
  <c r="O254" i="8"/>
  <c r="O251" i="8"/>
  <c r="O250" i="8"/>
  <c r="O249" i="8"/>
  <c r="O248" i="8"/>
  <c r="O247" i="8"/>
  <c r="N247" i="8"/>
  <c r="M247" i="8"/>
  <c r="L247" i="8"/>
  <c r="K247" i="8"/>
  <c r="J247" i="8"/>
  <c r="N245" i="8"/>
  <c r="M245" i="8"/>
  <c r="L245" i="8"/>
  <c r="K245" i="8"/>
  <c r="O243" i="8"/>
  <c r="O241" i="8"/>
  <c r="O240" i="8"/>
  <c r="O239" i="8"/>
  <c r="O237" i="8"/>
  <c r="O236" i="8"/>
  <c r="O235" i="8"/>
  <c r="N235" i="8"/>
  <c r="M235" i="8"/>
  <c r="L235" i="8"/>
  <c r="K235" i="8"/>
  <c r="J235" i="8"/>
  <c r="N233" i="8"/>
  <c r="L233" i="8"/>
  <c r="M232" i="8"/>
  <c r="O231" i="8"/>
  <c r="O230" i="8"/>
  <c r="M229" i="8"/>
  <c r="M233" i="8" s="1"/>
  <c r="O228" i="8"/>
  <c r="O225" i="8"/>
  <c r="O224" i="8"/>
  <c r="O223" i="8"/>
  <c r="N223" i="8"/>
  <c r="M223" i="8"/>
  <c r="L223" i="8"/>
  <c r="K223" i="8"/>
  <c r="J223" i="8"/>
  <c r="N221" i="8"/>
  <c r="M221" i="8"/>
  <c r="L221" i="8"/>
  <c r="K221" i="8"/>
  <c r="O219" i="8"/>
  <c r="J216" i="8"/>
  <c r="O216" i="8" s="1"/>
  <c r="O214" i="8"/>
  <c r="N214" i="8"/>
  <c r="M214" i="8"/>
  <c r="L214" i="8"/>
  <c r="K214" i="8"/>
  <c r="J214" i="8"/>
  <c r="N212" i="8"/>
  <c r="M212" i="8"/>
  <c r="L212" i="8"/>
  <c r="K211" i="8"/>
  <c r="K212" i="8" s="1"/>
  <c r="J211" i="8"/>
  <c r="O209" i="8"/>
  <c r="J209" i="8"/>
  <c r="O207" i="8"/>
  <c r="O206" i="8"/>
  <c r="O205" i="8"/>
  <c r="O204" i="8"/>
  <c r="O203" i="8"/>
  <c r="N203" i="8"/>
  <c r="M203" i="8"/>
  <c r="L203" i="8"/>
  <c r="K203" i="8"/>
  <c r="J203" i="8"/>
  <c r="O200" i="8"/>
  <c r="J199" i="8"/>
  <c r="O199" i="8" s="1"/>
  <c r="J197" i="8"/>
  <c r="N196" i="8"/>
  <c r="L196" i="8"/>
  <c r="K196" i="8"/>
  <c r="J196" i="8"/>
  <c r="N195" i="8"/>
  <c r="M195" i="8"/>
  <c r="L195" i="8"/>
  <c r="J195" i="8"/>
  <c r="N194" i="8"/>
  <c r="M194" i="8"/>
  <c r="L194" i="8"/>
  <c r="K194" i="8"/>
  <c r="J194" i="8"/>
  <c r="N193" i="8"/>
  <c r="M193" i="8"/>
  <c r="L193" i="8"/>
  <c r="K193" i="8"/>
  <c r="J193" i="8"/>
  <c r="N192" i="8"/>
  <c r="L192" i="8"/>
  <c r="K192" i="8"/>
  <c r="J192" i="8"/>
  <c r="O192" i="8" s="1"/>
  <c r="N191" i="8"/>
  <c r="M191" i="8"/>
  <c r="L191" i="8"/>
  <c r="K191" i="8"/>
  <c r="J191" i="8"/>
  <c r="N190" i="8"/>
  <c r="M190" i="8"/>
  <c r="L190" i="8"/>
  <c r="K190" i="8"/>
  <c r="N189" i="8"/>
  <c r="M189" i="8"/>
  <c r="L189" i="8"/>
  <c r="N188" i="8"/>
  <c r="L188" i="8"/>
  <c r="K188" i="8"/>
  <c r="J188" i="8"/>
  <c r="N187" i="8"/>
  <c r="M187" i="8"/>
  <c r="L187" i="8"/>
  <c r="J187" i="8"/>
  <c r="N186" i="8"/>
  <c r="M186" i="8"/>
  <c r="L186" i="8"/>
  <c r="K186" i="8"/>
  <c r="J186" i="8"/>
  <c r="N185" i="8"/>
  <c r="L185" i="8"/>
  <c r="K185" i="8"/>
  <c r="N184" i="8"/>
  <c r="L184" i="8"/>
  <c r="K184" i="8"/>
  <c r="J184" i="8"/>
  <c r="N183" i="8"/>
  <c r="M183" i="8"/>
  <c r="L183" i="8"/>
  <c r="K183" i="8"/>
  <c r="J183" i="8"/>
  <c r="O183" i="8" s="1"/>
  <c r="N182" i="8"/>
  <c r="M182" i="8"/>
  <c r="L182" i="8"/>
  <c r="K182" i="8"/>
  <c r="N181" i="8"/>
  <c r="M181" i="8"/>
  <c r="L181" i="8"/>
  <c r="N180" i="8"/>
  <c r="M180" i="8"/>
  <c r="L180" i="8"/>
  <c r="J179" i="8"/>
  <c r="O179" i="8" s="1"/>
  <c r="O177" i="8"/>
  <c r="O176" i="8"/>
  <c r="O175" i="8"/>
  <c r="O174" i="8"/>
  <c r="O173" i="8"/>
  <c r="O172" i="8"/>
  <c r="O171" i="8"/>
  <c r="O169" i="8"/>
  <c r="J169" i="8"/>
  <c r="O167" i="8"/>
  <c r="O166" i="8"/>
  <c r="O165" i="8"/>
  <c r="O164" i="8"/>
  <c r="K162" i="8"/>
  <c r="K180" i="8" s="1"/>
  <c r="O161" i="8"/>
  <c r="O160" i="8"/>
  <c r="M159" i="8"/>
  <c r="O158" i="8"/>
  <c r="O157" i="8"/>
  <c r="O155" i="8"/>
  <c r="N155" i="8"/>
  <c r="M155" i="8"/>
  <c r="L155" i="8"/>
  <c r="K155" i="8"/>
  <c r="J155" i="8"/>
  <c r="O152" i="8"/>
  <c r="O151" i="8"/>
  <c r="N150" i="8"/>
  <c r="M150" i="8"/>
  <c r="L150" i="8"/>
  <c r="K150" i="8"/>
  <c r="J150" i="8"/>
  <c r="O150" i="8" s="1"/>
  <c r="N149" i="8"/>
  <c r="M149" i="8"/>
  <c r="L149" i="8"/>
  <c r="K149" i="8"/>
  <c r="J149" i="8"/>
  <c r="O149" i="8" s="1"/>
  <c r="N148" i="8"/>
  <c r="M148" i="8"/>
  <c r="K148" i="8"/>
  <c r="J148" i="8"/>
  <c r="N147" i="8"/>
  <c r="M147" i="8"/>
  <c r="L147" i="8"/>
  <c r="K147" i="8"/>
  <c r="J147" i="8"/>
  <c r="O147" i="8" s="1"/>
  <c r="N146" i="8"/>
  <c r="M146" i="8"/>
  <c r="L146" i="8"/>
  <c r="K146" i="8"/>
  <c r="J146" i="8"/>
  <c r="O146" i="8" s="1"/>
  <c r="N145" i="8"/>
  <c r="M145" i="8"/>
  <c r="L145" i="8"/>
  <c r="K145" i="8"/>
  <c r="J145" i="8"/>
  <c r="O145" i="8" s="1"/>
  <c r="N144" i="8"/>
  <c r="M144" i="8"/>
  <c r="L144" i="8"/>
  <c r="K144" i="8"/>
  <c r="J144" i="8"/>
  <c r="O144" i="8" s="1"/>
  <c r="N143" i="8"/>
  <c r="M143" i="8"/>
  <c r="L143" i="8"/>
  <c r="K143" i="8"/>
  <c r="J143" i="8"/>
  <c r="O143" i="8" s="1"/>
  <c r="N142" i="8"/>
  <c r="M142" i="8"/>
  <c r="L142" i="8"/>
  <c r="K142" i="8"/>
  <c r="N141" i="8"/>
  <c r="M141" i="8"/>
  <c r="K141" i="8"/>
  <c r="J141" i="8"/>
  <c r="N140" i="8"/>
  <c r="M140" i="8"/>
  <c r="L140" i="8"/>
  <c r="K140" i="8"/>
  <c r="J140" i="8"/>
  <c r="N139" i="8"/>
  <c r="M139" i="8"/>
  <c r="L139" i="8"/>
  <c r="K139" i="8"/>
  <c r="J139" i="8"/>
  <c r="N138" i="8"/>
  <c r="M138" i="8"/>
  <c r="L138" i="8"/>
  <c r="K138" i="8"/>
  <c r="J138" i="8"/>
  <c r="N137" i="8"/>
  <c r="M137" i="8"/>
  <c r="K137" i="8"/>
  <c r="O137" i="8"/>
  <c r="N136" i="8"/>
  <c r="M136" i="8"/>
  <c r="M153" i="8" s="1"/>
  <c r="L136" i="8"/>
  <c r="K136" i="8"/>
  <c r="J136" i="8"/>
  <c r="O136" i="8" s="1"/>
  <c r="N135" i="8"/>
  <c r="N153" i="8" s="1"/>
  <c r="M135" i="8"/>
  <c r="L135" i="8"/>
  <c r="K135" i="8"/>
  <c r="K153" i="8" s="1"/>
  <c r="O135" i="8"/>
  <c r="N134" i="8"/>
  <c r="M134" i="8"/>
  <c r="L134" i="8"/>
  <c r="K134" i="8"/>
  <c r="O133" i="8"/>
  <c r="O132" i="8"/>
  <c r="J132" i="8"/>
  <c r="O130" i="8"/>
  <c r="O129" i="8"/>
  <c r="J128" i="8"/>
  <c r="O128" i="8" s="1"/>
  <c r="O126" i="8"/>
  <c r="O125" i="8"/>
  <c r="O124" i="8"/>
  <c r="O123" i="8"/>
  <c r="J122" i="8"/>
  <c r="O122" i="8" s="1"/>
  <c r="O121" i="8"/>
  <c r="O119" i="8"/>
  <c r="O118" i="8"/>
  <c r="O117" i="8"/>
  <c r="O116" i="8"/>
  <c r="O115" i="8"/>
  <c r="O114" i="8"/>
  <c r="O113" i="8"/>
  <c r="O112" i="8"/>
  <c r="O111" i="8"/>
  <c r="O110" i="8"/>
  <c r="O109" i="8"/>
  <c r="O108" i="8"/>
  <c r="O107" i="8"/>
  <c r="O106" i="8"/>
  <c r="O105" i="8"/>
  <c r="O104" i="8"/>
  <c r="O103" i="8"/>
  <c r="O102" i="8"/>
  <c r="O101" i="8"/>
  <c r="O99" i="8"/>
  <c r="O98" i="8"/>
  <c r="O96" i="8"/>
  <c r="O95" i="8"/>
  <c r="O94" i="8"/>
  <c r="O92" i="8"/>
  <c r="N92" i="8"/>
  <c r="M92" i="8"/>
  <c r="L92" i="8"/>
  <c r="K92" i="8"/>
  <c r="J92" i="8"/>
  <c r="N89" i="8"/>
  <c r="M89" i="8"/>
  <c r="L89" i="8"/>
  <c r="K89" i="8"/>
  <c r="J89" i="8"/>
  <c r="O88" i="8"/>
  <c r="O89" i="8" s="1"/>
  <c r="O87" i="8"/>
  <c r="O86" i="8"/>
  <c r="O85" i="8"/>
  <c r="N85" i="8"/>
  <c r="M85" i="8"/>
  <c r="L85" i="8"/>
  <c r="K85" i="8"/>
  <c r="J85" i="8"/>
  <c r="N83" i="8"/>
  <c r="L83" i="8"/>
  <c r="O82" i="8"/>
  <c r="O81" i="8"/>
  <c r="O80" i="8"/>
  <c r="O79" i="8"/>
  <c r="M78" i="8"/>
  <c r="M83" i="8" s="1"/>
  <c r="O77" i="8"/>
  <c r="O76" i="8"/>
  <c r="K75" i="8"/>
  <c r="O75" i="8" s="1"/>
  <c r="K74" i="8"/>
  <c r="O73" i="8"/>
  <c r="O72" i="8"/>
  <c r="O71" i="8"/>
  <c r="O70" i="8"/>
  <c r="O69" i="8"/>
  <c r="O67" i="8"/>
  <c r="N67" i="8"/>
  <c r="M67" i="8"/>
  <c r="L67" i="8"/>
  <c r="K67" i="8"/>
  <c r="J67" i="8"/>
  <c r="K63" i="8"/>
  <c r="N61" i="8"/>
  <c r="N64" i="8" s="1"/>
  <c r="M61" i="8"/>
  <c r="M64" i="8" s="1"/>
  <c r="L61" i="8"/>
  <c r="L64" i="8" s="1"/>
  <c r="K61" i="8"/>
  <c r="K64" i="8" s="1"/>
  <c r="K65" i="8" s="1"/>
  <c r="J61" i="8"/>
  <c r="J64" i="8" s="1"/>
  <c r="O60" i="8"/>
  <c r="O59" i="8"/>
  <c r="O58" i="8"/>
  <c r="O57" i="8"/>
  <c r="O56" i="8"/>
  <c r="O55" i="8"/>
  <c r="O54" i="8"/>
  <c r="O53" i="8"/>
  <c r="O52" i="8"/>
  <c r="O51" i="8"/>
  <c r="O50" i="8"/>
  <c r="O49" i="8"/>
  <c r="O48" i="8"/>
  <c r="O47" i="8"/>
  <c r="O46" i="8"/>
  <c r="O45" i="8"/>
  <c r="O44" i="8"/>
  <c r="O43" i="8"/>
  <c r="O42" i="8"/>
  <c r="O41" i="8"/>
  <c r="O40" i="8"/>
  <c r="O39" i="8"/>
  <c r="O61" i="8" s="1"/>
  <c r="O64" i="8" s="1"/>
  <c r="O38" i="8"/>
  <c r="N38" i="8"/>
  <c r="M38" i="8"/>
  <c r="L38" i="8"/>
  <c r="K38" i="8"/>
  <c r="J38" i="8"/>
  <c r="N36" i="8"/>
  <c r="N198" i="8" s="1"/>
  <c r="M36" i="8"/>
  <c r="M198" i="8" s="1"/>
  <c r="L36" i="8"/>
  <c r="L198" i="8" s="1"/>
  <c r="K36" i="8"/>
  <c r="K227" i="8" s="1"/>
  <c r="J36" i="8"/>
  <c r="J63" i="8" s="1"/>
  <c r="O35" i="8"/>
  <c r="O34" i="8"/>
  <c r="O33" i="8"/>
  <c r="O32" i="8"/>
  <c r="O31" i="8"/>
  <c r="O30" i="8"/>
  <c r="O29" i="8"/>
  <c r="O28" i="8"/>
  <c r="O27" i="8"/>
  <c r="O26" i="8"/>
  <c r="N26" i="8"/>
  <c r="M26" i="8"/>
  <c r="L26" i="8"/>
  <c r="K26" i="8"/>
  <c r="J26" i="8"/>
  <c r="O25" i="8"/>
  <c r="O24" i="8"/>
  <c r="O23" i="8"/>
  <c r="O22" i="8"/>
  <c r="O21" i="8"/>
  <c r="J289" i="7"/>
  <c r="O288" i="7"/>
  <c r="O287" i="7"/>
  <c r="O286" i="7"/>
  <c r="N285" i="7"/>
  <c r="N289" i="7" s="1"/>
  <c r="M285" i="7"/>
  <c r="M289" i="7" s="1"/>
  <c r="L285" i="7"/>
  <c r="L289" i="7" s="1"/>
  <c r="K285" i="7"/>
  <c r="K289" i="7" s="1"/>
  <c r="J285" i="7"/>
  <c r="O285" i="7" s="1"/>
  <c r="O289" i="7" s="1"/>
  <c r="N280" i="7"/>
  <c r="M280" i="7"/>
  <c r="L280" i="7"/>
  <c r="K280" i="7"/>
  <c r="O279" i="7"/>
  <c r="O278" i="7"/>
  <c r="O277" i="7"/>
  <c r="O276" i="7"/>
  <c r="O275" i="7"/>
  <c r="O274" i="7"/>
  <c r="O273" i="7"/>
  <c r="O272" i="7"/>
  <c r="O271" i="7"/>
  <c r="O270" i="7"/>
  <c r="O269" i="7"/>
  <c r="O280" i="7" s="1"/>
  <c r="J280" i="7"/>
  <c r="O268" i="7"/>
  <c r="N268" i="7"/>
  <c r="M268" i="7"/>
  <c r="L268" i="7"/>
  <c r="K268" i="7"/>
  <c r="J268" i="7"/>
  <c r="N266" i="7"/>
  <c r="M266" i="7"/>
  <c r="K266" i="7"/>
  <c r="O264" i="7"/>
  <c r="J263" i="7"/>
  <c r="O263" i="7" s="1"/>
  <c r="O262" i="7"/>
  <c r="O261" i="7"/>
  <c r="J260" i="7"/>
  <c r="O260" i="7" s="1"/>
  <c r="O259" i="7"/>
  <c r="O258" i="7"/>
  <c r="O257" i="7"/>
  <c r="O256" i="7"/>
  <c r="O255" i="7"/>
  <c r="O254" i="7"/>
  <c r="J253" i="7"/>
  <c r="O253" i="7" s="1"/>
  <c r="O252" i="7"/>
  <c r="O251" i="7"/>
  <c r="O250" i="7"/>
  <c r="J266" i="7"/>
  <c r="O248" i="7"/>
  <c r="O247" i="7"/>
  <c r="N247" i="7"/>
  <c r="M247" i="7"/>
  <c r="L247" i="7"/>
  <c r="K247" i="7"/>
  <c r="J247" i="7"/>
  <c r="N245" i="7"/>
  <c r="M245" i="7"/>
  <c r="L245" i="7"/>
  <c r="K245" i="7"/>
  <c r="O243" i="7"/>
  <c r="J242" i="7"/>
  <c r="O242" i="7" s="1"/>
  <c r="O241" i="7"/>
  <c r="O240" i="7"/>
  <c r="O239" i="7"/>
  <c r="O238" i="7"/>
  <c r="O237" i="7"/>
  <c r="O236" i="7"/>
  <c r="O235" i="7"/>
  <c r="N235" i="7"/>
  <c r="M235" i="7"/>
  <c r="L235" i="7"/>
  <c r="K235" i="7"/>
  <c r="J235" i="7"/>
  <c r="N233" i="7"/>
  <c r="L233" i="7"/>
  <c r="M232" i="7"/>
  <c r="O231" i="7"/>
  <c r="O230" i="7"/>
  <c r="M229" i="7"/>
  <c r="M233" i="7" s="1"/>
  <c r="O228" i="7"/>
  <c r="K226" i="7"/>
  <c r="K233" i="7" s="1"/>
  <c r="O225" i="7"/>
  <c r="O224" i="7"/>
  <c r="O223" i="7"/>
  <c r="N223" i="7"/>
  <c r="M223" i="7"/>
  <c r="L223" i="7"/>
  <c r="K223" i="7"/>
  <c r="J223" i="7"/>
  <c r="N221" i="7"/>
  <c r="M221" i="7"/>
  <c r="L221" i="7"/>
  <c r="K221" i="7"/>
  <c r="J220" i="7"/>
  <c r="O220" i="7" s="1"/>
  <c r="O219" i="7"/>
  <c r="O218" i="7"/>
  <c r="J218" i="7"/>
  <c r="J217" i="7"/>
  <c r="O217" i="7" s="1"/>
  <c r="J216" i="7"/>
  <c r="O216" i="7" s="1"/>
  <c r="J215" i="7"/>
  <c r="O215" i="7" s="1"/>
  <c r="O214" i="7"/>
  <c r="N214" i="7"/>
  <c r="M214" i="7"/>
  <c r="L214" i="7"/>
  <c r="K214" i="7"/>
  <c r="J214" i="7"/>
  <c r="N212" i="7"/>
  <c r="M212" i="7"/>
  <c r="L212" i="7"/>
  <c r="K211" i="7"/>
  <c r="K212" i="7" s="1"/>
  <c r="J211" i="7"/>
  <c r="J210" i="7"/>
  <c r="O209" i="7"/>
  <c r="J209" i="7"/>
  <c r="O208" i="7"/>
  <c r="J208" i="7"/>
  <c r="O207" i="7"/>
  <c r="O206" i="7"/>
  <c r="O205" i="7"/>
  <c r="O204" i="7"/>
  <c r="O203" i="7"/>
  <c r="N203" i="7"/>
  <c r="M203" i="7"/>
  <c r="L203" i="7"/>
  <c r="K203" i="7"/>
  <c r="J203" i="7"/>
  <c r="O200" i="7"/>
  <c r="J199" i="7"/>
  <c r="O199" i="7" s="1"/>
  <c r="N196" i="7"/>
  <c r="L196" i="7"/>
  <c r="K196" i="7"/>
  <c r="J196" i="7"/>
  <c r="N195" i="7"/>
  <c r="M195" i="7"/>
  <c r="L195" i="7"/>
  <c r="J195" i="7"/>
  <c r="N194" i="7"/>
  <c r="M194" i="7"/>
  <c r="L194" i="7"/>
  <c r="K194" i="7"/>
  <c r="J194" i="7"/>
  <c r="N193" i="7"/>
  <c r="M193" i="7"/>
  <c r="L193" i="7"/>
  <c r="K193" i="7"/>
  <c r="J193" i="7"/>
  <c r="N192" i="7"/>
  <c r="L192" i="7"/>
  <c r="K192" i="7"/>
  <c r="J192" i="7"/>
  <c r="N191" i="7"/>
  <c r="M191" i="7"/>
  <c r="L191" i="7"/>
  <c r="K191" i="7"/>
  <c r="J191" i="7"/>
  <c r="N190" i="7"/>
  <c r="M190" i="7"/>
  <c r="L190" i="7"/>
  <c r="K190" i="7"/>
  <c r="N189" i="7"/>
  <c r="M189" i="7"/>
  <c r="L189" i="7"/>
  <c r="N188" i="7"/>
  <c r="L188" i="7"/>
  <c r="K188" i="7"/>
  <c r="J188" i="7"/>
  <c r="N187" i="7"/>
  <c r="M187" i="7"/>
  <c r="L187" i="7"/>
  <c r="J187" i="7"/>
  <c r="N186" i="7"/>
  <c r="M186" i="7"/>
  <c r="L186" i="7"/>
  <c r="K186" i="7"/>
  <c r="J186" i="7"/>
  <c r="N185" i="7"/>
  <c r="L185" i="7"/>
  <c r="K185" i="7"/>
  <c r="N184" i="7"/>
  <c r="L184" i="7"/>
  <c r="K184" i="7"/>
  <c r="J184" i="7"/>
  <c r="N183" i="7"/>
  <c r="M183" i="7"/>
  <c r="L183" i="7"/>
  <c r="K183" i="7"/>
  <c r="J183" i="7"/>
  <c r="N182" i="7"/>
  <c r="M182" i="7"/>
  <c r="L182" i="7"/>
  <c r="K182" i="7"/>
  <c r="N181" i="7"/>
  <c r="M181" i="7"/>
  <c r="L181" i="7"/>
  <c r="N180" i="7"/>
  <c r="M180" i="7"/>
  <c r="L180" i="7"/>
  <c r="O179" i="7"/>
  <c r="J179" i="7"/>
  <c r="O177" i="7"/>
  <c r="O176" i="7"/>
  <c r="O175" i="7"/>
  <c r="O174" i="7"/>
  <c r="O173" i="7"/>
  <c r="O172" i="7"/>
  <c r="O171" i="7"/>
  <c r="O169" i="7"/>
  <c r="J169" i="7"/>
  <c r="O167" i="7"/>
  <c r="O166" i="7"/>
  <c r="O165" i="7"/>
  <c r="O164" i="7"/>
  <c r="J163" i="7"/>
  <c r="O163" i="7" s="1"/>
  <c r="K162" i="7"/>
  <c r="K180" i="7" s="1"/>
  <c r="O161" i="7"/>
  <c r="O160" i="7"/>
  <c r="O159" i="7"/>
  <c r="M159" i="7"/>
  <c r="O158" i="7"/>
  <c r="O157" i="7"/>
  <c r="O155" i="7"/>
  <c r="N155" i="7"/>
  <c r="M155" i="7"/>
  <c r="L155" i="7"/>
  <c r="K155" i="7"/>
  <c r="J155" i="7"/>
  <c r="N153" i="7"/>
  <c r="O152" i="7"/>
  <c r="O151" i="7"/>
  <c r="N150" i="7"/>
  <c r="M150" i="7"/>
  <c r="L150" i="7"/>
  <c r="K150" i="7"/>
  <c r="J150" i="7"/>
  <c r="O150" i="7" s="1"/>
  <c r="N149" i="7"/>
  <c r="M149" i="7"/>
  <c r="L149" i="7"/>
  <c r="K149" i="7"/>
  <c r="J149" i="7"/>
  <c r="O149" i="7" s="1"/>
  <c r="N148" i="7"/>
  <c r="M148" i="7"/>
  <c r="K148" i="7"/>
  <c r="J148" i="7"/>
  <c r="N147" i="7"/>
  <c r="M147" i="7"/>
  <c r="L147" i="7"/>
  <c r="K147" i="7"/>
  <c r="J147" i="7"/>
  <c r="N146" i="7"/>
  <c r="M146" i="7"/>
  <c r="L146" i="7"/>
  <c r="K146" i="7"/>
  <c r="J146" i="7"/>
  <c r="N145" i="7"/>
  <c r="M145" i="7"/>
  <c r="L145" i="7"/>
  <c r="K145" i="7"/>
  <c r="J145" i="7"/>
  <c r="O145" i="7" s="1"/>
  <c r="N144" i="7"/>
  <c r="M144" i="7"/>
  <c r="L144" i="7"/>
  <c r="K144" i="7"/>
  <c r="J144" i="7"/>
  <c r="O144" i="7" s="1"/>
  <c r="N143" i="7"/>
  <c r="M143" i="7"/>
  <c r="L143" i="7"/>
  <c r="K143" i="7"/>
  <c r="J143" i="7"/>
  <c r="N142" i="7"/>
  <c r="M142" i="7"/>
  <c r="L142" i="7"/>
  <c r="K142" i="7"/>
  <c r="N141" i="7"/>
  <c r="M141" i="7"/>
  <c r="K141" i="7"/>
  <c r="J141" i="7"/>
  <c r="N140" i="7"/>
  <c r="M140" i="7"/>
  <c r="L140" i="7"/>
  <c r="K140" i="7"/>
  <c r="J140" i="7"/>
  <c r="N139" i="7"/>
  <c r="M139" i="7"/>
  <c r="L139" i="7"/>
  <c r="K139" i="7"/>
  <c r="J139" i="7"/>
  <c r="N138" i="7"/>
  <c r="M138" i="7"/>
  <c r="L138" i="7"/>
  <c r="K138" i="7"/>
  <c r="J138" i="7"/>
  <c r="O138" i="7" s="1"/>
  <c r="N137" i="7"/>
  <c r="M137" i="7"/>
  <c r="K137" i="7"/>
  <c r="N136" i="7"/>
  <c r="M136" i="7"/>
  <c r="M153" i="7" s="1"/>
  <c r="L136" i="7"/>
  <c r="K136" i="7"/>
  <c r="J136" i="7"/>
  <c r="N135" i="7"/>
  <c r="M135" i="7"/>
  <c r="L135" i="7"/>
  <c r="K135" i="7"/>
  <c r="K153" i="7" s="1"/>
  <c r="N134" i="7"/>
  <c r="M134" i="7"/>
  <c r="L134" i="7"/>
  <c r="K134" i="7"/>
  <c r="J134" i="7"/>
  <c r="O133" i="7"/>
  <c r="J132" i="7"/>
  <c r="O132" i="7" s="1"/>
  <c r="O130" i="7"/>
  <c r="O129" i="7"/>
  <c r="J128" i="7"/>
  <c r="O128" i="7" s="1"/>
  <c r="O126" i="7"/>
  <c r="O125" i="7"/>
  <c r="O124" i="7"/>
  <c r="O123" i="7"/>
  <c r="O122" i="7"/>
  <c r="J122" i="7"/>
  <c r="O121" i="7"/>
  <c r="O119" i="7"/>
  <c r="O118" i="7"/>
  <c r="O117" i="7"/>
  <c r="O116" i="7"/>
  <c r="O115" i="7"/>
  <c r="O114" i="7"/>
  <c r="O113" i="7"/>
  <c r="O112" i="7"/>
  <c r="O111" i="7"/>
  <c r="O110" i="7"/>
  <c r="O109" i="7"/>
  <c r="O108" i="7"/>
  <c r="O107" i="7"/>
  <c r="O106" i="7"/>
  <c r="O105" i="7"/>
  <c r="O104" i="7"/>
  <c r="O103" i="7"/>
  <c r="O102" i="7"/>
  <c r="O101" i="7"/>
  <c r="O99" i="7"/>
  <c r="O98" i="7"/>
  <c r="O96" i="7"/>
  <c r="O95" i="7"/>
  <c r="O94" i="7"/>
  <c r="O92" i="7"/>
  <c r="N92" i="7"/>
  <c r="M92" i="7"/>
  <c r="L92" i="7"/>
  <c r="K92" i="7"/>
  <c r="J92" i="7"/>
  <c r="O89" i="7"/>
  <c r="N89" i="7"/>
  <c r="M89" i="7"/>
  <c r="L89" i="7"/>
  <c r="K89" i="7"/>
  <c r="J89" i="7"/>
  <c r="O88" i="7"/>
  <c r="O87" i="7"/>
  <c r="O86" i="7"/>
  <c r="O85" i="7"/>
  <c r="N85" i="7"/>
  <c r="M85" i="7"/>
  <c r="L85" i="7"/>
  <c r="K85" i="7"/>
  <c r="J85" i="7"/>
  <c r="N83" i="7"/>
  <c r="O82" i="7"/>
  <c r="O81" i="7"/>
  <c r="O80" i="7"/>
  <c r="O79" i="7"/>
  <c r="M78" i="7"/>
  <c r="O78" i="7" s="1"/>
  <c r="O77" i="7"/>
  <c r="O76" i="7"/>
  <c r="K75" i="7"/>
  <c r="O75" i="7" s="1"/>
  <c r="K74" i="7"/>
  <c r="O73" i="7"/>
  <c r="O72" i="7"/>
  <c r="O71" i="7"/>
  <c r="J83" i="7"/>
  <c r="O69" i="7"/>
  <c r="O68" i="7"/>
  <c r="J68" i="7"/>
  <c r="J265" i="7" s="1"/>
  <c r="O265" i="7" s="1"/>
  <c r="O67" i="7"/>
  <c r="N67" i="7"/>
  <c r="M67" i="7"/>
  <c r="L67" i="7"/>
  <c r="K67" i="7"/>
  <c r="J67" i="7"/>
  <c r="N64" i="7"/>
  <c r="K64" i="7"/>
  <c r="K63" i="7"/>
  <c r="K65" i="7" s="1"/>
  <c r="N61" i="7"/>
  <c r="M61" i="7"/>
  <c r="M64" i="7" s="1"/>
  <c r="L61" i="7"/>
  <c r="L64" i="7" s="1"/>
  <c r="K61" i="7"/>
  <c r="J61" i="7"/>
  <c r="J64" i="7" s="1"/>
  <c r="O60" i="7"/>
  <c r="O59" i="7"/>
  <c r="O58" i="7"/>
  <c r="O57" i="7"/>
  <c r="O56" i="7"/>
  <c r="O55" i="7"/>
  <c r="O54" i="7"/>
  <c r="O53" i="7"/>
  <c r="O52" i="7"/>
  <c r="O51" i="7"/>
  <c r="O50" i="7"/>
  <c r="O49" i="7"/>
  <c r="O48" i="7"/>
  <c r="O47" i="7"/>
  <c r="O46" i="7"/>
  <c r="O45" i="7"/>
  <c r="O44" i="7"/>
  <c r="O43" i="7"/>
  <c r="O42" i="7"/>
  <c r="O41" i="7"/>
  <c r="O40" i="7"/>
  <c r="O39" i="7"/>
  <c r="O61" i="7" s="1"/>
  <c r="O64" i="7" s="1"/>
  <c r="O38" i="7"/>
  <c r="N38" i="7"/>
  <c r="M38" i="7"/>
  <c r="L38" i="7"/>
  <c r="K38" i="7"/>
  <c r="J38" i="7"/>
  <c r="N36" i="7"/>
  <c r="N198" i="7" s="1"/>
  <c r="M36" i="7"/>
  <c r="M198" i="7" s="1"/>
  <c r="L36" i="7"/>
  <c r="L198" i="7" s="1"/>
  <c r="K36" i="7"/>
  <c r="K227" i="7" s="1"/>
  <c r="J36" i="7"/>
  <c r="J63" i="7" s="1"/>
  <c r="O35" i="7"/>
  <c r="O34" i="7"/>
  <c r="O33" i="7"/>
  <c r="O32" i="7"/>
  <c r="O31" i="7"/>
  <c r="O30" i="7"/>
  <c r="O29" i="7"/>
  <c r="O28" i="7"/>
  <c r="O27" i="7"/>
  <c r="O26" i="7"/>
  <c r="N26" i="7"/>
  <c r="M26" i="7"/>
  <c r="L26" i="7"/>
  <c r="K26" i="7"/>
  <c r="J26" i="7"/>
  <c r="O25" i="7"/>
  <c r="O24" i="7"/>
  <c r="O23" i="7"/>
  <c r="O22" i="7"/>
  <c r="O21" i="7"/>
  <c r="M289" i="5"/>
  <c r="L289" i="5"/>
  <c r="K289" i="5"/>
  <c r="J289" i="5"/>
  <c r="O288" i="5"/>
  <c r="O287" i="5"/>
  <c r="O286" i="5"/>
  <c r="O285" i="5"/>
  <c r="O289" i="5" s="1"/>
  <c r="N285" i="5"/>
  <c r="N289" i="5" s="1"/>
  <c r="M285" i="5"/>
  <c r="L285" i="5"/>
  <c r="K285" i="5"/>
  <c r="J285" i="5"/>
  <c r="N280" i="5"/>
  <c r="M280" i="5"/>
  <c r="L280" i="5"/>
  <c r="K280" i="5"/>
  <c r="O279" i="5"/>
  <c r="O278" i="5"/>
  <c r="O277" i="5"/>
  <c r="O276" i="5"/>
  <c r="O275" i="5"/>
  <c r="O274" i="5"/>
  <c r="O273" i="5"/>
  <c r="O272" i="5"/>
  <c r="O271" i="5"/>
  <c r="O270" i="5"/>
  <c r="O269" i="5"/>
  <c r="J280" i="5"/>
  <c r="O268" i="5"/>
  <c r="N268" i="5"/>
  <c r="M268" i="5"/>
  <c r="L268" i="5"/>
  <c r="K268" i="5"/>
  <c r="J268" i="5"/>
  <c r="N266" i="5"/>
  <c r="M266" i="5"/>
  <c r="L266" i="5"/>
  <c r="K266" i="5"/>
  <c r="O264" i="5"/>
  <c r="J263" i="5"/>
  <c r="O263" i="5" s="1"/>
  <c r="O262" i="5"/>
  <c r="O261" i="5"/>
  <c r="J260" i="5"/>
  <c r="O260" i="5" s="1"/>
  <c r="O259" i="5"/>
  <c r="O258" i="5"/>
  <c r="O257" i="5"/>
  <c r="O256" i="5"/>
  <c r="O255" i="5"/>
  <c r="O254" i="5"/>
  <c r="J253" i="5"/>
  <c r="O253" i="5" s="1"/>
  <c r="O251" i="5"/>
  <c r="O250" i="5"/>
  <c r="O249" i="5"/>
  <c r="O248" i="5"/>
  <c r="O247" i="5"/>
  <c r="N247" i="5"/>
  <c r="M247" i="5"/>
  <c r="L247" i="5"/>
  <c r="K247" i="5"/>
  <c r="J247" i="5"/>
  <c r="N245" i="5"/>
  <c r="M245" i="5"/>
  <c r="L245" i="5"/>
  <c r="K245" i="5"/>
  <c r="O243" i="5"/>
  <c r="J242" i="5"/>
  <c r="O242" i="5" s="1"/>
  <c r="O241" i="5"/>
  <c r="O240" i="5"/>
  <c r="O239" i="5"/>
  <c r="O238" i="5"/>
  <c r="O237" i="5"/>
  <c r="O236" i="5"/>
  <c r="O235" i="5"/>
  <c r="N235" i="5"/>
  <c r="M235" i="5"/>
  <c r="L235" i="5"/>
  <c r="K235" i="5"/>
  <c r="J235" i="5"/>
  <c r="N233" i="5"/>
  <c r="L233" i="5"/>
  <c r="M232" i="5"/>
  <c r="O231" i="5"/>
  <c r="O230" i="5"/>
  <c r="M229" i="5"/>
  <c r="M233" i="5" s="1"/>
  <c r="O228" i="5"/>
  <c r="K226" i="5"/>
  <c r="O226" i="5" s="1"/>
  <c r="O225" i="5"/>
  <c r="O224" i="5"/>
  <c r="O223" i="5"/>
  <c r="N223" i="5"/>
  <c r="M223" i="5"/>
  <c r="L223" i="5"/>
  <c r="K223" i="5"/>
  <c r="J223" i="5"/>
  <c r="N221" i="5"/>
  <c r="M221" i="5"/>
  <c r="L221" i="5"/>
  <c r="K221" i="5"/>
  <c r="J220" i="5"/>
  <c r="O220" i="5" s="1"/>
  <c r="O219" i="5"/>
  <c r="O218" i="5"/>
  <c r="J218" i="5"/>
  <c r="J217" i="5"/>
  <c r="O217" i="5" s="1"/>
  <c r="O216" i="5"/>
  <c r="J216" i="5"/>
  <c r="J221" i="5" s="1"/>
  <c r="O215" i="5"/>
  <c r="J215" i="5"/>
  <c r="O214" i="5"/>
  <c r="N214" i="5"/>
  <c r="M214" i="5"/>
  <c r="L214" i="5"/>
  <c r="K214" i="5"/>
  <c r="J214" i="5"/>
  <c r="N212" i="5"/>
  <c r="M212" i="5"/>
  <c r="L212" i="5"/>
  <c r="J211" i="5"/>
  <c r="J210" i="5"/>
  <c r="O210" i="5" s="1"/>
  <c r="O209" i="5"/>
  <c r="J209" i="5"/>
  <c r="J208" i="5"/>
  <c r="O208" i="5" s="1"/>
  <c r="O207" i="5"/>
  <c r="O206" i="5"/>
  <c r="O205" i="5"/>
  <c r="O203" i="5"/>
  <c r="N203" i="5"/>
  <c r="M203" i="5"/>
  <c r="L203" i="5"/>
  <c r="K203" i="5"/>
  <c r="J203" i="5"/>
  <c r="O200" i="5"/>
  <c r="J199" i="5"/>
  <c r="O199" i="5" s="1"/>
  <c r="N196" i="5"/>
  <c r="L196" i="5"/>
  <c r="K196" i="5"/>
  <c r="J196" i="5"/>
  <c r="N195" i="5"/>
  <c r="M195" i="5"/>
  <c r="L195" i="5"/>
  <c r="J195" i="5"/>
  <c r="N194" i="5"/>
  <c r="M194" i="5"/>
  <c r="L194" i="5"/>
  <c r="K194" i="5"/>
  <c r="J194" i="5"/>
  <c r="N193" i="5"/>
  <c r="M193" i="5"/>
  <c r="L193" i="5"/>
  <c r="K193" i="5"/>
  <c r="J193" i="5"/>
  <c r="N192" i="5"/>
  <c r="L192" i="5"/>
  <c r="K192" i="5"/>
  <c r="J192" i="5"/>
  <c r="N191" i="5"/>
  <c r="M191" i="5"/>
  <c r="L191" i="5"/>
  <c r="K191" i="5"/>
  <c r="J191" i="5"/>
  <c r="N190" i="5"/>
  <c r="M190" i="5"/>
  <c r="L190" i="5"/>
  <c r="K190" i="5"/>
  <c r="N189" i="5"/>
  <c r="M189" i="5"/>
  <c r="L189" i="5"/>
  <c r="N188" i="5"/>
  <c r="L188" i="5"/>
  <c r="K188" i="5"/>
  <c r="J188" i="5"/>
  <c r="N187" i="5"/>
  <c r="M187" i="5"/>
  <c r="L187" i="5"/>
  <c r="J187" i="5"/>
  <c r="O187" i="5" s="1"/>
  <c r="N186" i="5"/>
  <c r="M186" i="5"/>
  <c r="L186" i="5"/>
  <c r="K186" i="5"/>
  <c r="J186" i="5"/>
  <c r="N185" i="5"/>
  <c r="M185" i="5"/>
  <c r="L185" i="5"/>
  <c r="K185" i="5"/>
  <c r="N184" i="5"/>
  <c r="L184" i="5"/>
  <c r="K184" i="5"/>
  <c r="J184" i="5"/>
  <c r="N183" i="5"/>
  <c r="M183" i="5"/>
  <c r="L183" i="5"/>
  <c r="K183" i="5"/>
  <c r="J183" i="5"/>
  <c r="O183" i="5" s="1"/>
  <c r="N182" i="5"/>
  <c r="M182" i="5"/>
  <c r="L182" i="5"/>
  <c r="K182" i="5"/>
  <c r="N181" i="5"/>
  <c r="M181" i="5"/>
  <c r="L181" i="5"/>
  <c r="N180" i="5"/>
  <c r="L180" i="5"/>
  <c r="J179" i="5"/>
  <c r="O179" i="5" s="1"/>
  <c r="O176" i="5"/>
  <c r="O175" i="5"/>
  <c r="O174" i="5"/>
  <c r="O173" i="5"/>
  <c r="O172" i="5"/>
  <c r="O171" i="5"/>
  <c r="O169" i="5"/>
  <c r="J169" i="5"/>
  <c r="O167" i="5"/>
  <c r="O166" i="5"/>
  <c r="O165" i="5"/>
  <c r="O164" i="5"/>
  <c r="J163" i="5"/>
  <c r="O190" i="5" s="1"/>
  <c r="K162" i="5"/>
  <c r="K180" i="5" s="1"/>
  <c r="O161" i="5"/>
  <c r="O160" i="5"/>
  <c r="M159" i="5"/>
  <c r="O159" i="5" s="1"/>
  <c r="O158" i="5"/>
  <c r="O157" i="5"/>
  <c r="O155" i="5"/>
  <c r="N155" i="5"/>
  <c r="M155" i="5"/>
  <c r="L155" i="5"/>
  <c r="K155" i="5"/>
  <c r="J155" i="5"/>
  <c r="O152" i="5"/>
  <c r="O151" i="5"/>
  <c r="N150" i="5"/>
  <c r="M150" i="5"/>
  <c r="L150" i="5"/>
  <c r="K150" i="5"/>
  <c r="J150" i="5"/>
  <c r="N149" i="5"/>
  <c r="M149" i="5"/>
  <c r="L149" i="5"/>
  <c r="K149" i="5"/>
  <c r="J149" i="5"/>
  <c r="O149" i="5" s="1"/>
  <c r="N148" i="5"/>
  <c r="M148" i="5"/>
  <c r="K148" i="5"/>
  <c r="N147" i="5"/>
  <c r="M147" i="5"/>
  <c r="L147" i="5"/>
  <c r="K147" i="5"/>
  <c r="J147" i="5"/>
  <c r="N146" i="5"/>
  <c r="M146" i="5"/>
  <c r="L146" i="5"/>
  <c r="K146" i="5"/>
  <c r="J146" i="5"/>
  <c r="O146" i="5" s="1"/>
  <c r="N145" i="5"/>
  <c r="M145" i="5"/>
  <c r="L145" i="5"/>
  <c r="K145" i="5"/>
  <c r="J145" i="5"/>
  <c r="N144" i="5"/>
  <c r="M144" i="5"/>
  <c r="L144" i="5"/>
  <c r="K144" i="5"/>
  <c r="J144" i="5"/>
  <c r="O144" i="5" s="1"/>
  <c r="N143" i="5"/>
  <c r="M143" i="5"/>
  <c r="L143" i="5"/>
  <c r="K143" i="5"/>
  <c r="J143" i="5"/>
  <c r="O143" i="5" s="1"/>
  <c r="N142" i="5"/>
  <c r="M142" i="5"/>
  <c r="L142" i="5"/>
  <c r="K142" i="5"/>
  <c r="N141" i="5"/>
  <c r="M141" i="5"/>
  <c r="K141" i="5"/>
  <c r="J141" i="5"/>
  <c r="O141" i="5" s="1"/>
  <c r="N140" i="5"/>
  <c r="M140" i="5"/>
  <c r="L140" i="5"/>
  <c r="K140" i="5"/>
  <c r="J140" i="5"/>
  <c r="N139" i="5"/>
  <c r="M139" i="5"/>
  <c r="L139" i="5"/>
  <c r="K139" i="5"/>
  <c r="J139" i="5"/>
  <c r="N138" i="5"/>
  <c r="M138" i="5"/>
  <c r="L138" i="5"/>
  <c r="K138" i="5"/>
  <c r="J138" i="5"/>
  <c r="O138" i="5" s="1"/>
  <c r="N137" i="5"/>
  <c r="M137" i="5"/>
  <c r="K137" i="5"/>
  <c r="N136" i="5"/>
  <c r="N153" i="5" s="1"/>
  <c r="M136" i="5"/>
  <c r="L136" i="5"/>
  <c r="K136" i="5"/>
  <c r="J136" i="5"/>
  <c r="O136" i="5" s="1"/>
  <c r="N135" i="5"/>
  <c r="M135" i="5"/>
  <c r="M153" i="5" s="1"/>
  <c r="L135" i="5"/>
  <c r="K135" i="5"/>
  <c r="K153" i="5" s="1"/>
  <c r="O135" i="5"/>
  <c r="N134" i="5"/>
  <c r="M134" i="5"/>
  <c r="L134" i="5"/>
  <c r="K134" i="5"/>
  <c r="O133" i="5"/>
  <c r="J132" i="5"/>
  <c r="J148" i="5" s="1"/>
  <c r="O130" i="5"/>
  <c r="O129" i="5"/>
  <c r="J128" i="5"/>
  <c r="O128" i="5" s="1"/>
  <c r="O126" i="5"/>
  <c r="O125" i="5"/>
  <c r="O124" i="5"/>
  <c r="O123" i="5"/>
  <c r="J122" i="5"/>
  <c r="O122" i="5" s="1"/>
  <c r="O121" i="5"/>
  <c r="O119" i="5"/>
  <c r="O118" i="5"/>
  <c r="O117" i="5"/>
  <c r="O116" i="5"/>
  <c r="O115" i="5"/>
  <c r="O114" i="5"/>
  <c r="O113" i="5"/>
  <c r="O112" i="5"/>
  <c r="O111" i="5"/>
  <c r="O110" i="5"/>
  <c r="O109" i="5"/>
  <c r="O108" i="5"/>
  <c r="O107" i="5"/>
  <c r="O106" i="5"/>
  <c r="O105" i="5"/>
  <c r="O104" i="5"/>
  <c r="O103" i="5"/>
  <c r="O102" i="5"/>
  <c r="O101" i="5"/>
  <c r="O99" i="5"/>
  <c r="O98" i="5"/>
  <c r="O96" i="5"/>
  <c r="O95" i="5"/>
  <c r="O94" i="5"/>
  <c r="O92" i="5"/>
  <c r="N92" i="5"/>
  <c r="M92" i="5"/>
  <c r="L92" i="5"/>
  <c r="K92" i="5"/>
  <c r="J92" i="5"/>
  <c r="N89" i="5"/>
  <c r="M89" i="5"/>
  <c r="L89" i="5"/>
  <c r="K89" i="5"/>
  <c r="J89" i="5"/>
  <c r="O88" i="5"/>
  <c r="O87" i="5"/>
  <c r="O86" i="5"/>
  <c r="O89" i="5" s="1"/>
  <c r="O85" i="5"/>
  <c r="N85" i="5"/>
  <c r="M85" i="5"/>
  <c r="L85" i="5"/>
  <c r="K85" i="5"/>
  <c r="J85" i="5"/>
  <c r="N83" i="5"/>
  <c r="L83" i="5"/>
  <c r="O82" i="5"/>
  <c r="O81" i="5"/>
  <c r="O80" i="5"/>
  <c r="O79" i="5"/>
  <c r="M78" i="5"/>
  <c r="O78" i="5" s="1"/>
  <c r="O77" i="5"/>
  <c r="O76" i="5"/>
  <c r="O73" i="5"/>
  <c r="O72" i="5"/>
  <c r="O71" i="5"/>
  <c r="J83" i="5"/>
  <c r="O69" i="5"/>
  <c r="O68" i="5"/>
  <c r="J68" i="5"/>
  <c r="J265" i="5" s="1"/>
  <c r="O265" i="5" s="1"/>
  <c r="O67" i="5"/>
  <c r="N67" i="5"/>
  <c r="M67" i="5"/>
  <c r="L67" i="5"/>
  <c r="K67" i="5"/>
  <c r="J67" i="5"/>
  <c r="M63" i="5"/>
  <c r="L63" i="5"/>
  <c r="K63" i="5"/>
  <c r="K65" i="5" s="1"/>
  <c r="N61" i="5"/>
  <c r="N64" i="5" s="1"/>
  <c r="M61" i="5"/>
  <c r="M64" i="5" s="1"/>
  <c r="L61" i="5"/>
  <c r="L64" i="5" s="1"/>
  <c r="K61" i="5"/>
  <c r="K64" i="5" s="1"/>
  <c r="J61" i="5"/>
  <c r="J64" i="5" s="1"/>
  <c r="O60" i="5"/>
  <c r="O59" i="5"/>
  <c r="O58" i="5"/>
  <c r="O57" i="5"/>
  <c r="O56" i="5"/>
  <c r="O55" i="5"/>
  <c r="O54" i="5"/>
  <c r="O53" i="5"/>
  <c r="O52" i="5"/>
  <c r="O51" i="5"/>
  <c r="O50" i="5"/>
  <c r="O49" i="5"/>
  <c r="O48" i="5"/>
  <c r="O47" i="5"/>
  <c r="O46" i="5"/>
  <c r="O45" i="5"/>
  <c r="O44" i="5"/>
  <c r="O43" i="5"/>
  <c r="O42" i="5"/>
  <c r="O41" i="5"/>
  <c r="O40" i="5"/>
  <c r="O39" i="5"/>
  <c r="O38" i="5"/>
  <c r="N38" i="5"/>
  <c r="M38" i="5"/>
  <c r="L38" i="5"/>
  <c r="K38" i="5"/>
  <c r="J38" i="5"/>
  <c r="N36" i="5"/>
  <c r="N198" i="5" s="1"/>
  <c r="M36" i="5"/>
  <c r="M198" i="5" s="1"/>
  <c r="L36" i="5"/>
  <c r="L198" i="5" s="1"/>
  <c r="K36" i="5"/>
  <c r="K227" i="5" s="1"/>
  <c r="K233" i="5" s="1"/>
  <c r="J36" i="5"/>
  <c r="J227" i="5" s="1"/>
  <c r="O35" i="5"/>
  <c r="O34" i="5"/>
  <c r="O33" i="5"/>
  <c r="O32" i="5"/>
  <c r="O31" i="5"/>
  <c r="O30" i="5"/>
  <c r="O29" i="5"/>
  <c r="O28" i="5"/>
  <c r="O27" i="5"/>
  <c r="O26" i="5"/>
  <c r="N26" i="5"/>
  <c r="M26" i="5"/>
  <c r="L26" i="5"/>
  <c r="K26" i="5"/>
  <c r="J26" i="5"/>
  <c r="O25" i="5"/>
  <c r="O24" i="5"/>
  <c r="O23" i="5"/>
  <c r="O22" i="5"/>
  <c r="O16" i="7"/>
  <c r="O15" i="7"/>
  <c r="O14" i="7"/>
  <c r="O13" i="7"/>
  <c r="O12" i="7"/>
  <c r="O11" i="7"/>
  <c r="O10" i="7"/>
  <c r="O9" i="7"/>
  <c r="O8" i="7"/>
  <c r="O7" i="7"/>
  <c r="O6" i="7"/>
  <c r="O5" i="7"/>
  <c r="O4" i="7"/>
  <c r="K289" i="1"/>
  <c r="O288" i="1"/>
  <c r="O287" i="1"/>
  <c r="O286" i="1"/>
  <c r="N285" i="1"/>
  <c r="N289" i="1" s="1"/>
  <c r="M285" i="1"/>
  <c r="L285" i="1"/>
  <c r="L289" i="1" s="1"/>
  <c r="K285" i="1"/>
  <c r="N280" i="1"/>
  <c r="M280" i="1"/>
  <c r="L280" i="1"/>
  <c r="K280" i="1"/>
  <c r="O279" i="1"/>
  <c r="O278" i="1"/>
  <c r="O277" i="1"/>
  <c r="O276" i="1"/>
  <c r="O275" i="1"/>
  <c r="O274" i="1"/>
  <c r="J274" i="1"/>
  <c r="O273" i="1"/>
  <c r="O272" i="1"/>
  <c r="J272" i="1"/>
  <c r="J271" i="1"/>
  <c r="O271" i="1" s="1"/>
  <c r="J270" i="1"/>
  <c r="J280" i="1" s="1"/>
  <c r="O269" i="1"/>
  <c r="J269" i="1"/>
  <c r="O268" i="1"/>
  <c r="N268" i="1"/>
  <c r="M268" i="1"/>
  <c r="L268" i="1"/>
  <c r="K268" i="1"/>
  <c r="J268" i="1"/>
  <c r="N266" i="1"/>
  <c r="M266" i="1"/>
  <c r="L266" i="1"/>
  <c r="K266" i="1"/>
  <c r="O264" i="1"/>
  <c r="J263" i="1"/>
  <c r="O263" i="1" s="1"/>
  <c r="O262" i="1"/>
  <c r="O261" i="1"/>
  <c r="O259" i="1"/>
  <c r="O258" i="1"/>
  <c r="O257" i="1"/>
  <c r="L256" i="1"/>
  <c r="O256" i="1" s="1"/>
  <c r="O255" i="1"/>
  <c r="L255" i="1"/>
  <c r="O254" i="1"/>
  <c r="J254" i="1"/>
  <c r="J252" i="1"/>
  <c r="O252" i="1" s="1"/>
  <c r="O251" i="1"/>
  <c r="O250" i="1"/>
  <c r="J249" i="1"/>
  <c r="O249" i="1" s="1"/>
  <c r="O248" i="1"/>
  <c r="J248" i="1"/>
  <c r="O247" i="1"/>
  <c r="N247" i="1"/>
  <c r="M247" i="1"/>
  <c r="L247" i="1"/>
  <c r="K247" i="1"/>
  <c r="J247" i="1"/>
  <c r="N245" i="1"/>
  <c r="M245" i="1"/>
  <c r="L245" i="1"/>
  <c r="K245" i="1"/>
  <c r="O243" i="1"/>
  <c r="O241" i="1"/>
  <c r="O240" i="1"/>
  <c r="O239" i="1"/>
  <c r="O237" i="1"/>
  <c r="O236" i="1"/>
  <c r="O235" i="1"/>
  <c r="N235" i="1"/>
  <c r="M235" i="1"/>
  <c r="L235" i="1"/>
  <c r="K235" i="1"/>
  <c r="J235" i="1"/>
  <c r="N233" i="1"/>
  <c r="L233" i="1"/>
  <c r="M232" i="1"/>
  <c r="O231" i="1"/>
  <c r="O230" i="1"/>
  <c r="M229" i="1"/>
  <c r="M233" i="1" s="1"/>
  <c r="O228" i="1"/>
  <c r="O225" i="1"/>
  <c r="O224" i="1"/>
  <c r="O223" i="1"/>
  <c r="N223" i="1"/>
  <c r="M223" i="1"/>
  <c r="L223" i="1"/>
  <c r="K223" i="1"/>
  <c r="J223" i="1"/>
  <c r="N221" i="1"/>
  <c r="M221" i="1"/>
  <c r="L221" i="1"/>
  <c r="K221" i="1"/>
  <c r="O219" i="1"/>
  <c r="O216" i="1"/>
  <c r="J216" i="1"/>
  <c r="O214" i="1"/>
  <c r="N214" i="1"/>
  <c r="M214" i="1"/>
  <c r="L214" i="1"/>
  <c r="K214" i="1"/>
  <c r="J214" i="1"/>
  <c r="N212" i="1"/>
  <c r="M212" i="1"/>
  <c r="L212" i="1"/>
  <c r="K212" i="1"/>
  <c r="O211" i="1"/>
  <c r="K211" i="1"/>
  <c r="J211" i="1"/>
  <c r="J209" i="1"/>
  <c r="O209" i="1" s="1"/>
  <c r="O207" i="1"/>
  <c r="O206" i="1"/>
  <c r="O205" i="1"/>
  <c r="O204" i="1"/>
  <c r="J204" i="1"/>
  <c r="O203" i="1"/>
  <c r="N203" i="1"/>
  <c r="M203" i="1"/>
  <c r="L203" i="1"/>
  <c r="K203" i="1"/>
  <c r="J203" i="1"/>
  <c r="O200" i="1"/>
  <c r="J199" i="1"/>
  <c r="O199" i="1" s="1"/>
  <c r="N198" i="1"/>
  <c r="N197" i="1"/>
  <c r="N196" i="1"/>
  <c r="L196" i="1"/>
  <c r="K196" i="1"/>
  <c r="J196" i="1"/>
  <c r="N195" i="1"/>
  <c r="M195" i="1"/>
  <c r="L195" i="1"/>
  <c r="J195" i="1"/>
  <c r="N194" i="1"/>
  <c r="M194" i="1"/>
  <c r="L194" i="1"/>
  <c r="K194" i="1"/>
  <c r="J194" i="1"/>
  <c r="O194" i="1" s="1"/>
  <c r="N193" i="1"/>
  <c r="M193" i="1"/>
  <c r="L193" i="1"/>
  <c r="K193" i="1"/>
  <c r="J193" i="1"/>
  <c r="O193" i="1" s="1"/>
  <c r="N192" i="1"/>
  <c r="M192" i="1"/>
  <c r="L192" i="1"/>
  <c r="K192" i="1"/>
  <c r="J192" i="1"/>
  <c r="O192" i="1" s="1"/>
  <c r="N191" i="1"/>
  <c r="M191" i="1"/>
  <c r="L191" i="1"/>
  <c r="K191" i="1"/>
  <c r="J191" i="1"/>
  <c r="O191" i="1" s="1"/>
  <c r="N190" i="1"/>
  <c r="M190" i="1"/>
  <c r="L190" i="1"/>
  <c r="K190" i="1"/>
  <c r="N189" i="1"/>
  <c r="M189" i="1"/>
  <c r="L189" i="1"/>
  <c r="K189" i="1"/>
  <c r="N188" i="1"/>
  <c r="L188" i="1"/>
  <c r="K188" i="1"/>
  <c r="J188" i="1"/>
  <c r="N187" i="1"/>
  <c r="M187" i="1"/>
  <c r="L187" i="1"/>
  <c r="J187" i="1"/>
  <c r="N186" i="1"/>
  <c r="M186" i="1"/>
  <c r="L186" i="1"/>
  <c r="K186" i="1"/>
  <c r="J186" i="1"/>
  <c r="O186" i="1" s="1"/>
  <c r="N185" i="1"/>
  <c r="M185" i="1"/>
  <c r="L185" i="1"/>
  <c r="K185" i="1"/>
  <c r="J185" i="1"/>
  <c r="O185" i="1" s="1"/>
  <c r="N184" i="1"/>
  <c r="M184" i="1"/>
  <c r="L184" i="1"/>
  <c r="K184" i="1"/>
  <c r="J184" i="1"/>
  <c r="O184" i="1" s="1"/>
  <c r="N183" i="1"/>
  <c r="M183" i="1"/>
  <c r="L183" i="1"/>
  <c r="K183" i="1"/>
  <c r="J183" i="1"/>
  <c r="O183" i="1" s="1"/>
  <c r="N182" i="1"/>
  <c r="M182" i="1"/>
  <c r="L182" i="1"/>
  <c r="K182" i="1"/>
  <c r="N181" i="1"/>
  <c r="N201" i="1" s="1"/>
  <c r="N282" i="1" s="1"/>
  <c r="M181" i="1"/>
  <c r="L181" i="1"/>
  <c r="K181" i="1"/>
  <c r="N180" i="1"/>
  <c r="L180" i="1"/>
  <c r="J179" i="1"/>
  <c r="O179" i="1" s="1"/>
  <c r="M177" i="1"/>
  <c r="M188" i="1" s="1"/>
  <c r="O176" i="1"/>
  <c r="O175" i="1"/>
  <c r="O174" i="1"/>
  <c r="O173" i="1"/>
  <c r="O172" i="1"/>
  <c r="O171" i="1"/>
  <c r="K169" i="1"/>
  <c r="O169" i="1" s="1"/>
  <c r="J169" i="1"/>
  <c r="O167" i="1"/>
  <c r="O166" i="1"/>
  <c r="O165" i="1"/>
  <c r="O164" i="1"/>
  <c r="K162" i="1"/>
  <c r="K180" i="1" s="1"/>
  <c r="O161" i="1"/>
  <c r="O160" i="1"/>
  <c r="M159" i="1"/>
  <c r="O159" i="1" s="1"/>
  <c r="O158" i="1"/>
  <c r="O157" i="1"/>
  <c r="O155" i="1"/>
  <c r="N155" i="1"/>
  <c r="M155" i="1"/>
  <c r="L155" i="1"/>
  <c r="K155" i="1"/>
  <c r="J155" i="1"/>
  <c r="N153" i="1"/>
  <c r="O152" i="1"/>
  <c r="O151" i="1"/>
  <c r="N150" i="1"/>
  <c r="M150" i="1"/>
  <c r="L150" i="1"/>
  <c r="K150" i="1"/>
  <c r="J150" i="1"/>
  <c r="O150" i="1" s="1"/>
  <c r="N149" i="1"/>
  <c r="M149" i="1"/>
  <c r="L149" i="1"/>
  <c r="K149" i="1"/>
  <c r="J149" i="1"/>
  <c r="O149" i="1" s="1"/>
  <c r="N148" i="1"/>
  <c r="M148" i="1"/>
  <c r="L148" i="1"/>
  <c r="K148" i="1"/>
  <c r="N147" i="1"/>
  <c r="M147" i="1"/>
  <c r="L147" i="1"/>
  <c r="K147" i="1"/>
  <c r="J147" i="1"/>
  <c r="O147" i="1" s="1"/>
  <c r="N146" i="1"/>
  <c r="M146" i="1"/>
  <c r="L146" i="1"/>
  <c r="K146" i="1"/>
  <c r="J146" i="1"/>
  <c r="O146" i="1" s="1"/>
  <c r="N145" i="1"/>
  <c r="M145" i="1"/>
  <c r="L145" i="1"/>
  <c r="K145" i="1"/>
  <c r="J145" i="1"/>
  <c r="O145" i="1" s="1"/>
  <c r="N144" i="1"/>
  <c r="M144" i="1"/>
  <c r="L144" i="1"/>
  <c r="K144" i="1"/>
  <c r="J144" i="1"/>
  <c r="O144" i="1" s="1"/>
  <c r="N143" i="1"/>
  <c r="M143" i="1"/>
  <c r="L143" i="1"/>
  <c r="K143" i="1"/>
  <c r="J143" i="1"/>
  <c r="O143" i="1" s="1"/>
  <c r="N142" i="1"/>
  <c r="M142" i="1"/>
  <c r="L142" i="1"/>
  <c r="K142" i="1"/>
  <c r="N141" i="1"/>
  <c r="M141" i="1"/>
  <c r="L141" i="1"/>
  <c r="K141" i="1"/>
  <c r="N140" i="1"/>
  <c r="M140" i="1"/>
  <c r="L140" i="1"/>
  <c r="K140" i="1"/>
  <c r="J140" i="1"/>
  <c r="O140" i="1" s="1"/>
  <c r="N139" i="1"/>
  <c r="M139" i="1"/>
  <c r="L139" i="1"/>
  <c r="K139" i="1"/>
  <c r="J139" i="1"/>
  <c r="O139" i="1" s="1"/>
  <c r="N138" i="1"/>
  <c r="M138" i="1"/>
  <c r="L138" i="1"/>
  <c r="K138" i="1"/>
  <c r="J138" i="1"/>
  <c r="O138" i="1" s="1"/>
  <c r="N137" i="1"/>
  <c r="M137" i="1"/>
  <c r="L137" i="1"/>
  <c r="K137" i="1"/>
  <c r="J137" i="1"/>
  <c r="O137" i="1" s="1"/>
  <c r="N136" i="1"/>
  <c r="M136" i="1"/>
  <c r="L136" i="1"/>
  <c r="K136" i="1"/>
  <c r="J136" i="1"/>
  <c r="O136" i="1" s="1"/>
  <c r="N135" i="1"/>
  <c r="M135" i="1"/>
  <c r="M153" i="1" s="1"/>
  <c r="L135" i="1"/>
  <c r="L153" i="1" s="1"/>
  <c r="K135" i="1"/>
  <c r="K153" i="1" s="1"/>
  <c r="J135" i="1"/>
  <c r="O135" i="1" s="1"/>
  <c r="N134" i="1"/>
  <c r="M134" i="1"/>
  <c r="L134" i="1"/>
  <c r="K134" i="1"/>
  <c r="O133" i="1"/>
  <c r="L132" i="1"/>
  <c r="J132" i="1"/>
  <c r="J148" i="1" s="1"/>
  <c r="O148" i="1" s="1"/>
  <c r="O130" i="1"/>
  <c r="O129" i="1"/>
  <c r="J128" i="1"/>
  <c r="O128" i="1" s="1"/>
  <c r="O126" i="1"/>
  <c r="O125" i="1"/>
  <c r="O124" i="1"/>
  <c r="O123" i="1"/>
  <c r="J122" i="1"/>
  <c r="O122" i="1" s="1"/>
  <c r="J121" i="1"/>
  <c r="O121" i="1" s="1"/>
  <c r="O119" i="1"/>
  <c r="O118" i="1"/>
  <c r="O117" i="1"/>
  <c r="O116" i="1"/>
  <c r="O115" i="1"/>
  <c r="O114" i="1"/>
  <c r="O113" i="1"/>
  <c r="O112" i="1"/>
  <c r="O111" i="1"/>
  <c r="O110" i="1"/>
  <c r="O109" i="1"/>
  <c r="O108" i="1"/>
  <c r="O107" i="1"/>
  <c r="O106" i="1"/>
  <c r="O105" i="1"/>
  <c r="O104" i="1"/>
  <c r="O103" i="1"/>
  <c r="O102" i="1"/>
  <c r="J101" i="1"/>
  <c r="O101" i="1" s="1"/>
  <c r="O99" i="1"/>
  <c r="O98" i="1"/>
  <c r="O96" i="1"/>
  <c r="O95" i="1"/>
  <c r="O94" i="1"/>
  <c r="O92" i="1"/>
  <c r="N92" i="1"/>
  <c r="M92" i="1"/>
  <c r="L92" i="1"/>
  <c r="K92" i="1"/>
  <c r="J92" i="1"/>
  <c r="N89" i="1"/>
  <c r="M89" i="1"/>
  <c r="L89" i="1"/>
  <c r="K89" i="1"/>
  <c r="J89" i="1"/>
  <c r="O88" i="1"/>
  <c r="O89" i="1" s="1"/>
  <c r="O87" i="1"/>
  <c r="O86" i="1"/>
  <c r="O85" i="1"/>
  <c r="N85" i="1"/>
  <c r="M85" i="1"/>
  <c r="L85" i="1"/>
  <c r="K85" i="1"/>
  <c r="J85" i="1"/>
  <c r="N83" i="1"/>
  <c r="L83" i="1"/>
  <c r="L82" i="1"/>
  <c r="O82" i="1" s="1"/>
  <c r="L81" i="1"/>
  <c r="O81" i="1" s="1"/>
  <c r="O80" i="1"/>
  <c r="J79" i="1"/>
  <c r="O79" i="1" s="1"/>
  <c r="M78" i="1"/>
  <c r="O78" i="1" s="1"/>
  <c r="O77" i="1"/>
  <c r="O76" i="1"/>
  <c r="K75" i="1"/>
  <c r="O75" i="1" s="1"/>
  <c r="O74" i="1"/>
  <c r="K74" i="1"/>
  <c r="K83" i="1" s="1"/>
  <c r="O73" i="1"/>
  <c r="O72" i="1"/>
  <c r="O71" i="1"/>
  <c r="J70" i="1"/>
  <c r="O69" i="1"/>
  <c r="O67" i="1"/>
  <c r="N67" i="1"/>
  <c r="M67" i="1"/>
  <c r="L67" i="1"/>
  <c r="K67" i="1"/>
  <c r="J67" i="1"/>
  <c r="N63" i="1"/>
  <c r="N65" i="1" s="1"/>
  <c r="M63" i="1"/>
  <c r="M65" i="1" s="1"/>
  <c r="L63" i="1"/>
  <c r="L65" i="1" s="1"/>
  <c r="K63" i="1"/>
  <c r="K65" i="1" s="1"/>
  <c r="N61" i="1"/>
  <c r="N64" i="1" s="1"/>
  <c r="M61" i="1"/>
  <c r="M64" i="1" s="1"/>
  <c r="L61" i="1"/>
  <c r="L64" i="1" s="1"/>
  <c r="K61" i="1"/>
  <c r="K64" i="1" s="1"/>
  <c r="J61" i="1"/>
  <c r="J64" i="1" s="1"/>
  <c r="O60" i="1"/>
  <c r="O59" i="1"/>
  <c r="O58" i="1"/>
  <c r="O57" i="1"/>
  <c r="O56" i="1"/>
  <c r="O55" i="1"/>
  <c r="O54" i="1"/>
  <c r="O53" i="1"/>
  <c r="O52" i="1"/>
  <c r="O51" i="1"/>
  <c r="O50" i="1"/>
  <c r="O49" i="1"/>
  <c r="O48" i="1"/>
  <c r="O47" i="1"/>
  <c r="O46" i="1"/>
  <c r="O45" i="1"/>
  <c r="O44" i="1"/>
  <c r="O43" i="1"/>
  <c r="O42" i="1"/>
  <c r="O41" i="1"/>
  <c r="O40" i="1"/>
  <c r="O39" i="1"/>
  <c r="O61" i="1" s="1"/>
  <c r="O64" i="1" s="1"/>
  <c r="O38" i="1"/>
  <c r="N38" i="1"/>
  <c r="M38" i="1"/>
  <c r="L38" i="1"/>
  <c r="K38" i="1"/>
  <c r="J38" i="1"/>
  <c r="O36" i="1"/>
  <c r="O63" i="1" s="1"/>
  <c r="O65" i="1" s="1"/>
  <c r="N36" i="1"/>
  <c r="M36" i="1"/>
  <c r="M198" i="1" s="1"/>
  <c r="L36" i="1"/>
  <c r="L198" i="1" s="1"/>
  <c r="K36" i="1"/>
  <c r="K227" i="1" s="1"/>
  <c r="J36" i="1"/>
  <c r="J63" i="1" s="1"/>
  <c r="O35" i="1"/>
  <c r="O34" i="1"/>
  <c r="O33" i="1"/>
  <c r="O32" i="1"/>
  <c r="O31" i="1"/>
  <c r="O30" i="1"/>
  <c r="O29" i="1"/>
  <c r="O28" i="1"/>
  <c r="O27" i="1"/>
  <c r="O26" i="1"/>
  <c r="N26" i="1"/>
  <c r="M26" i="1"/>
  <c r="L26" i="1"/>
  <c r="K26" i="1"/>
  <c r="J26" i="1"/>
  <c r="O25" i="1"/>
  <c r="O24" i="1"/>
  <c r="O23" i="1"/>
  <c r="O22" i="1"/>
  <c r="O21" i="1"/>
  <c r="O280" i="9" l="1"/>
  <c r="O183" i="11"/>
  <c r="O184" i="11"/>
  <c r="O191" i="9"/>
  <c r="O196" i="9"/>
  <c r="O186" i="9"/>
  <c r="O184" i="9"/>
  <c r="O185" i="9"/>
  <c r="O185" i="8"/>
  <c r="O186" i="8"/>
  <c r="O191" i="11"/>
  <c r="O196" i="11"/>
  <c r="O186" i="11"/>
  <c r="O194" i="11"/>
  <c r="O192" i="11"/>
  <c r="O187" i="11"/>
  <c r="O194" i="9"/>
  <c r="O192" i="9"/>
  <c r="O187" i="9"/>
  <c r="O195" i="9"/>
  <c r="O193" i="9"/>
  <c r="O187" i="8"/>
  <c r="O195" i="8"/>
  <c r="O193" i="8"/>
  <c r="O191" i="8"/>
  <c r="O194" i="8"/>
  <c r="O184" i="8"/>
  <c r="O185" i="7"/>
  <c r="O193" i="7"/>
  <c r="O183" i="7"/>
  <c r="O188" i="7"/>
  <c r="O191" i="7"/>
  <c r="O196" i="7"/>
  <c r="O186" i="7"/>
  <c r="O194" i="7"/>
  <c r="O184" i="7"/>
  <c r="O192" i="7"/>
  <c r="O140" i="11"/>
  <c r="O141" i="11"/>
  <c r="O146" i="11"/>
  <c r="O139" i="11"/>
  <c r="O144" i="11"/>
  <c r="O140" i="9"/>
  <c r="L153" i="9"/>
  <c r="O141" i="9"/>
  <c r="O146" i="9"/>
  <c r="O139" i="9"/>
  <c r="O144" i="9"/>
  <c r="O142" i="8"/>
  <c r="O140" i="8"/>
  <c r="O138" i="8"/>
  <c r="O148" i="8"/>
  <c r="O141" i="8"/>
  <c r="L153" i="8"/>
  <c r="L282" i="8" s="1"/>
  <c r="O139" i="8"/>
  <c r="O136" i="7"/>
  <c r="O146" i="7"/>
  <c r="O139" i="7"/>
  <c r="O137" i="7"/>
  <c r="O147" i="7"/>
  <c r="O140" i="7"/>
  <c r="O143" i="7"/>
  <c r="O134" i="7"/>
  <c r="O185" i="5"/>
  <c r="O195" i="5"/>
  <c r="O193" i="5"/>
  <c r="O191" i="5"/>
  <c r="O139" i="5"/>
  <c r="O148" i="5"/>
  <c r="O137" i="5"/>
  <c r="O147" i="5"/>
  <c r="O140" i="5"/>
  <c r="O145" i="5"/>
  <c r="L153" i="5"/>
  <c r="O36" i="11"/>
  <c r="O63" i="11" s="1"/>
  <c r="J197" i="11"/>
  <c r="O36" i="8"/>
  <c r="O63" i="8" s="1"/>
  <c r="O65" i="8" s="1"/>
  <c r="O36" i="7"/>
  <c r="O63" i="7" s="1"/>
  <c r="O65" i="7" s="1"/>
  <c r="J65" i="8"/>
  <c r="O150" i="5"/>
  <c r="O61" i="5"/>
  <c r="O64" i="5" s="1"/>
  <c r="K83" i="9"/>
  <c r="K83" i="8"/>
  <c r="O211" i="8"/>
  <c r="K83" i="7"/>
  <c r="O211" i="7"/>
  <c r="O182" i="7"/>
  <c r="O190" i="7"/>
  <c r="J212" i="7"/>
  <c r="J212" i="5"/>
  <c r="O196" i="5"/>
  <c r="O163" i="5"/>
  <c r="O211" i="9"/>
  <c r="O186" i="5"/>
  <c r="O194" i="5"/>
  <c r="O192" i="5"/>
  <c r="J63" i="5"/>
  <c r="J65" i="5" s="1"/>
  <c r="O184" i="5"/>
  <c r="J197" i="5"/>
  <c r="O36" i="5"/>
  <c r="O63" i="5" s="1"/>
  <c r="L153" i="11"/>
  <c r="L282" i="11" s="1"/>
  <c r="J65" i="11"/>
  <c r="O148" i="11"/>
  <c r="L201" i="11"/>
  <c r="O65" i="11"/>
  <c r="O280" i="11"/>
  <c r="M83" i="11"/>
  <c r="K201" i="11"/>
  <c r="O229" i="11"/>
  <c r="L197" i="11"/>
  <c r="O70" i="11"/>
  <c r="O177" i="11"/>
  <c r="M197" i="11"/>
  <c r="O132" i="11"/>
  <c r="O134" i="11" s="1"/>
  <c r="N197" i="11"/>
  <c r="N201" i="11" s="1"/>
  <c r="N282" i="11" s="1"/>
  <c r="J134" i="11"/>
  <c r="O142" i="11"/>
  <c r="J198" i="11"/>
  <c r="K198" i="11"/>
  <c r="O74" i="11"/>
  <c r="L134" i="11"/>
  <c r="J227" i="11"/>
  <c r="O248" i="11"/>
  <c r="M180" i="11"/>
  <c r="O188" i="11"/>
  <c r="J65" i="9"/>
  <c r="N201" i="9"/>
  <c r="N282" i="9" s="1"/>
  <c r="O148" i="9"/>
  <c r="K65" i="9"/>
  <c r="O229" i="9"/>
  <c r="L197" i="9"/>
  <c r="O197" i="9" s="1"/>
  <c r="O252" i="9"/>
  <c r="O70" i="9"/>
  <c r="M197" i="9"/>
  <c r="M83" i="9"/>
  <c r="O132" i="9"/>
  <c r="O134" i="9" s="1"/>
  <c r="O159" i="9"/>
  <c r="J134" i="9"/>
  <c r="O142" i="9"/>
  <c r="J198" i="9"/>
  <c r="O198" i="9" s="1"/>
  <c r="K198" i="9"/>
  <c r="K201" i="9" s="1"/>
  <c r="O74" i="9"/>
  <c r="J227" i="9"/>
  <c r="M180" i="9"/>
  <c r="O188" i="9"/>
  <c r="O280" i="8"/>
  <c r="K201" i="8"/>
  <c r="O196" i="8"/>
  <c r="O134" i="8"/>
  <c r="L63" i="8"/>
  <c r="L65" i="8" s="1"/>
  <c r="K197" i="8"/>
  <c r="O197" i="8" s="1"/>
  <c r="O229" i="8"/>
  <c r="M63" i="8"/>
  <c r="M65" i="8" s="1"/>
  <c r="O78" i="8"/>
  <c r="J153" i="8"/>
  <c r="L197" i="8"/>
  <c r="L201" i="8" s="1"/>
  <c r="O252" i="8"/>
  <c r="N63" i="8"/>
  <c r="N65" i="8" s="1"/>
  <c r="M197" i="8"/>
  <c r="N197" i="8"/>
  <c r="N201" i="8" s="1"/>
  <c r="N282" i="8" s="1"/>
  <c r="O159" i="8"/>
  <c r="J134" i="8"/>
  <c r="J198" i="8"/>
  <c r="O198" i="8" s="1"/>
  <c r="K198" i="8"/>
  <c r="O74" i="8"/>
  <c r="J227" i="8"/>
  <c r="O188" i="8"/>
  <c r="O245" i="7"/>
  <c r="N282" i="7"/>
  <c r="N291" i="7" s="1"/>
  <c r="O221" i="7"/>
  <c r="O148" i="7"/>
  <c r="J65" i="7"/>
  <c r="M83" i="7"/>
  <c r="O187" i="7"/>
  <c r="O195" i="7"/>
  <c r="K197" i="7"/>
  <c r="O210" i="7"/>
  <c r="O212" i="7" s="1"/>
  <c r="O229" i="7"/>
  <c r="L266" i="7"/>
  <c r="M63" i="7"/>
  <c r="M65" i="7" s="1"/>
  <c r="L153" i="7"/>
  <c r="L197" i="7"/>
  <c r="L201" i="7" s="1"/>
  <c r="L83" i="7"/>
  <c r="J197" i="7"/>
  <c r="O197" i="7" s="1"/>
  <c r="N63" i="7"/>
  <c r="N65" i="7" s="1"/>
  <c r="O70" i="7"/>
  <c r="M197" i="7"/>
  <c r="M201" i="7" s="1"/>
  <c r="M282" i="7" s="1"/>
  <c r="L63" i="7"/>
  <c r="L65" i="7" s="1"/>
  <c r="N197" i="7"/>
  <c r="N201" i="7" s="1"/>
  <c r="J221" i="7"/>
  <c r="J232" i="7"/>
  <c r="O232" i="7" s="1"/>
  <c r="J244" i="7"/>
  <c r="O244" i="7" s="1"/>
  <c r="J198" i="7"/>
  <c r="K198" i="7"/>
  <c r="O226" i="7"/>
  <c r="J245" i="7"/>
  <c r="O142" i="7"/>
  <c r="O74" i="7"/>
  <c r="J227" i="7"/>
  <c r="O249" i="7"/>
  <c r="O266" i="7" s="1"/>
  <c r="K201" i="5"/>
  <c r="L201" i="5"/>
  <c r="N201" i="5"/>
  <c r="N282" i="5" s="1"/>
  <c r="L65" i="5"/>
  <c r="J266" i="5"/>
  <c r="M65" i="5"/>
  <c r="O65" i="5"/>
  <c r="O280" i="5"/>
  <c r="O227" i="5"/>
  <c r="O233" i="5" s="1"/>
  <c r="J233" i="5"/>
  <c r="N291" i="5"/>
  <c r="O221" i="5"/>
  <c r="L197" i="5"/>
  <c r="O252" i="5"/>
  <c r="O266" i="5" s="1"/>
  <c r="K197" i="5"/>
  <c r="M197" i="5"/>
  <c r="M83" i="5"/>
  <c r="N63" i="5"/>
  <c r="N65" i="5" s="1"/>
  <c r="O70" i="5"/>
  <c r="N197" i="5"/>
  <c r="O204" i="5"/>
  <c r="J232" i="5"/>
  <c r="O232" i="5" s="1"/>
  <c r="O177" i="5"/>
  <c r="O132" i="5"/>
  <c r="O134" i="5" s="1"/>
  <c r="J244" i="5"/>
  <c r="O244" i="5" s="1"/>
  <c r="O245" i="5" s="1"/>
  <c r="O142" i="5"/>
  <c r="J180" i="5"/>
  <c r="O182" i="5"/>
  <c r="J198" i="5"/>
  <c r="O198" i="5" s="1"/>
  <c r="O229" i="5"/>
  <c r="J134" i="5"/>
  <c r="K198" i="5"/>
  <c r="M180" i="5"/>
  <c r="M201" i="5"/>
  <c r="M282" i="5" s="1"/>
  <c r="O187" i="1"/>
  <c r="O195" i="1"/>
  <c r="J65" i="1"/>
  <c r="M201" i="1"/>
  <c r="M282" i="1" s="1"/>
  <c r="O196" i="1"/>
  <c r="L201" i="1"/>
  <c r="N291" i="1"/>
  <c r="O153" i="1"/>
  <c r="O188" i="1"/>
  <c r="L282" i="1"/>
  <c r="L291" i="1" s="1"/>
  <c r="J141" i="1"/>
  <c r="O141" i="1" s="1"/>
  <c r="J197" i="1"/>
  <c r="O197" i="1" s="1"/>
  <c r="K187" i="1"/>
  <c r="K201" i="1" s="1"/>
  <c r="K195" i="1"/>
  <c r="K197" i="1"/>
  <c r="O229" i="1"/>
  <c r="L197" i="1"/>
  <c r="O270" i="1"/>
  <c r="O280" i="1" s="1"/>
  <c r="M83" i="1"/>
  <c r="O177" i="1"/>
  <c r="M197" i="1"/>
  <c r="M289" i="1"/>
  <c r="J153" i="1"/>
  <c r="O70" i="1"/>
  <c r="O132" i="1"/>
  <c r="O134" i="1" s="1"/>
  <c r="J142" i="1"/>
  <c r="O142" i="1" s="1"/>
  <c r="J198" i="1"/>
  <c r="J134" i="1"/>
  <c r="K198" i="1"/>
  <c r="J227" i="1"/>
  <c r="M196" i="1"/>
  <c r="M180" i="1"/>
  <c r="L282" i="7" l="1"/>
  <c r="M201" i="9"/>
  <c r="M282" i="9" s="1"/>
  <c r="O153" i="11"/>
  <c r="O153" i="9"/>
  <c r="O153" i="8"/>
  <c r="L282" i="5"/>
  <c r="L291" i="5" s="1"/>
  <c r="O153" i="5"/>
  <c r="O83" i="7"/>
  <c r="O197" i="5"/>
  <c r="O162" i="5"/>
  <c r="O180" i="5" s="1"/>
  <c r="O181" i="5"/>
  <c r="O189" i="5"/>
  <c r="M201" i="11"/>
  <c r="M282" i="11" s="1"/>
  <c r="O195" i="11"/>
  <c r="O198" i="11"/>
  <c r="J153" i="11"/>
  <c r="O197" i="11"/>
  <c r="O227" i="11"/>
  <c r="O227" i="9"/>
  <c r="L201" i="9"/>
  <c r="L282" i="9" s="1"/>
  <c r="J153" i="9"/>
  <c r="M201" i="8"/>
  <c r="M282" i="8" s="1"/>
  <c r="O227" i="8"/>
  <c r="O135" i="7"/>
  <c r="J153" i="7"/>
  <c r="O141" i="7"/>
  <c r="L291" i="7"/>
  <c r="O198" i="7"/>
  <c r="K201" i="7"/>
  <c r="K282" i="7" s="1"/>
  <c r="K291" i="7" s="1"/>
  <c r="M291" i="7"/>
  <c r="O227" i="7"/>
  <c r="O233" i="7" s="1"/>
  <c r="J233" i="7"/>
  <c r="O162" i="7"/>
  <c r="O180" i="7" s="1"/>
  <c r="J180" i="7"/>
  <c r="O189" i="7"/>
  <c r="M291" i="5"/>
  <c r="J153" i="5"/>
  <c r="O188" i="5"/>
  <c r="J245" i="5"/>
  <c r="O198" i="1"/>
  <c r="M291" i="1"/>
  <c r="O227" i="1"/>
  <c r="O153" i="7" l="1"/>
  <c r="O201" i="5"/>
  <c r="J201" i="5"/>
  <c r="J282" i="5" s="1"/>
  <c r="J291" i="5" s="1"/>
  <c r="O181" i="7"/>
  <c r="O201" i="7" s="1"/>
  <c r="O282" i="7" s="1"/>
  <c r="O291" i="7" s="1"/>
  <c r="J201" i="7"/>
  <c r="J282" i="7" s="1"/>
  <c r="J291" i="7" s="1"/>
  <c r="Q2" i="13" l="1"/>
  <c r="N2" i="13"/>
  <c r="O2" i="13"/>
  <c r="P2" i="13"/>
  <c r="M2" i="13"/>
  <c r="L2" i="13"/>
  <c r="F33" i="13" l="1"/>
  <c r="F29" i="13"/>
  <c r="F27" i="13"/>
  <c r="D7" i="1" l="1"/>
  <c r="D8" i="1"/>
  <c r="D9" i="1"/>
  <c r="D10" i="1"/>
  <c r="D12" i="1"/>
  <c r="D13" i="1"/>
  <c r="D15" i="1"/>
  <c r="C6" i="1"/>
  <c r="C7" i="1"/>
  <c r="C8" i="1"/>
  <c r="C9" i="1"/>
  <c r="C10" i="1"/>
  <c r="C11" i="1"/>
  <c r="C12" i="1"/>
  <c r="C13" i="1"/>
  <c r="C14" i="1"/>
  <c r="J17" i="1" l="1"/>
  <c r="J3" i="1"/>
  <c r="J2" i="1"/>
  <c r="E278" i="13"/>
  <c r="E277" i="13"/>
  <c r="E276" i="13"/>
  <c r="E274" i="13"/>
  <c r="E259" i="13"/>
  <c r="E258" i="13"/>
  <c r="E257" i="13"/>
  <c r="E251" i="13"/>
  <c r="E250" i="13"/>
  <c r="E240" i="13"/>
  <c r="E236" i="13"/>
  <c r="E228" i="13"/>
  <c r="K303" i="1"/>
  <c r="J303" i="1"/>
  <c r="E206" i="13"/>
  <c r="E200" i="13"/>
  <c r="E199" i="13"/>
  <c r="E191" i="13"/>
  <c r="E179" i="13"/>
  <c r="E174" i="13"/>
  <c r="E169" i="13"/>
  <c r="E164" i="13"/>
  <c r="E152" i="13"/>
  <c r="E150" i="13"/>
  <c r="N315" i="1"/>
  <c r="N302" i="1"/>
  <c r="M315" i="1"/>
  <c r="M302" i="1"/>
  <c r="L314" i="1"/>
  <c r="E128" i="13"/>
  <c r="E126" i="13"/>
  <c r="E125" i="13"/>
  <c r="E122" i="13"/>
  <c r="E121" i="13"/>
  <c r="E117" i="13"/>
  <c r="E109" i="13"/>
  <c r="E108" i="13"/>
  <c r="E107" i="13"/>
  <c r="E98" i="13"/>
  <c r="E96" i="13"/>
  <c r="C15" i="1"/>
  <c r="E81" i="13"/>
  <c r="E80" i="13"/>
  <c r="E79" i="13"/>
  <c r="E58" i="13"/>
  <c r="E57" i="13"/>
  <c r="E55" i="13"/>
  <c r="E53" i="13"/>
  <c r="E52" i="13"/>
  <c r="E48" i="13"/>
  <c r="E47" i="13"/>
  <c r="E46" i="13"/>
  <c r="E44" i="13"/>
  <c r="E33" i="13"/>
  <c r="E32" i="13"/>
  <c r="E31" i="13"/>
  <c r="E24" i="13"/>
  <c r="E22" i="13"/>
  <c r="O2" i="1"/>
  <c r="E2" i="13" s="1"/>
  <c r="O4" i="1"/>
  <c r="E4" i="13" s="1"/>
  <c r="O5" i="1"/>
  <c r="E5" i="13" s="1"/>
  <c r="O6" i="1"/>
  <c r="O7" i="1"/>
  <c r="O8" i="1"/>
  <c r="O9" i="1"/>
  <c r="E9" i="13" s="1"/>
  <c r="O10" i="1"/>
  <c r="E10" i="13" s="1"/>
  <c r="O11" i="1"/>
  <c r="E11" i="13" s="1"/>
  <c r="O12" i="1"/>
  <c r="O13" i="1"/>
  <c r="E13" i="13" s="1"/>
  <c r="O14" i="1"/>
  <c r="O15" i="1"/>
  <c r="O16" i="1"/>
  <c r="E16" i="13" s="1"/>
  <c r="K17" i="1"/>
  <c r="L17" i="1"/>
  <c r="M17" i="1"/>
  <c r="N17" i="1"/>
  <c r="P17" i="1"/>
  <c r="E41" i="13"/>
  <c r="E54" i="13"/>
  <c r="K297" i="1"/>
  <c r="E73" i="13"/>
  <c r="E74" i="13"/>
  <c r="E99" i="13"/>
  <c r="E111" i="13"/>
  <c r="E119" i="13"/>
  <c r="E129" i="13"/>
  <c r="K315" i="1"/>
  <c r="E165" i="13"/>
  <c r="E166" i="13"/>
  <c r="E167" i="13"/>
  <c r="E175" i="13"/>
  <c r="E241" i="13"/>
  <c r="E252" i="13"/>
  <c r="E261" i="13"/>
  <c r="E263" i="13"/>
  <c r="E270" i="13"/>
  <c r="E272" i="13"/>
  <c r="E279" i="13"/>
  <c r="I293" i="1"/>
  <c r="J293" i="1"/>
  <c r="K293" i="1"/>
  <c r="L293" i="1"/>
  <c r="M293" i="1"/>
  <c r="N293" i="1"/>
  <c r="O293" i="1"/>
  <c r="J297" i="1"/>
  <c r="L297" i="1"/>
  <c r="M297" i="1"/>
  <c r="N297" i="1"/>
  <c r="J298" i="1"/>
  <c r="L298" i="1"/>
  <c r="M298" i="1"/>
  <c r="N298" i="1"/>
  <c r="J299" i="1"/>
  <c r="L299" i="1"/>
  <c r="M299" i="1"/>
  <c r="N299" i="1"/>
  <c r="L301" i="1"/>
  <c r="M301" i="1"/>
  <c r="N301" i="1"/>
  <c r="L303" i="1"/>
  <c r="M303" i="1"/>
  <c r="N303" i="1"/>
  <c r="J304" i="1"/>
  <c r="L304" i="1"/>
  <c r="M304" i="1"/>
  <c r="N304" i="1"/>
  <c r="J305" i="1"/>
  <c r="O305" i="1" s="1"/>
  <c r="K305" i="1"/>
  <c r="L305" i="1"/>
  <c r="M305" i="1"/>
  <c r="N305" i="1"/>
  <c r="O306" i="1"/>
  <c r="J311" i="1"/>
  <c r="K311" i="1"/>
  <c r="M311" i="1"/>
  <c r="N311" i="1"/>
  <c r="J312" i="1"/>
  <c r="K312" i="1"/>
  <c r="M312" i="1"/>
  <c r="N312" i="1"/>
  <c r="J314" i="1"/>
  <c r="K314" i="1"/>
  <c r="M314" i="1"/>
  <c r="N314" i="1"/>
  <c r="J316" i="1"/>
  <c r="K316" i="1"/>
  <c r="O316" i="1" s="1"/>
  <c r="L316" i="1"/>
  <c r="M316" i="1"/>
  <c r="N316" i="1"/>
  <c r="J317" i="1"/>
  <c r="K317" i="1"/>
  <c r="O317" i="1" s="1"/>
  <c r="L317" i="1"/>
  <c r="M317" i="1"/>
  <c r="N317" i="1"/>
  <c r="J318" i="1"/>
  <c r="K318" i="1"/>
  <c r="L318" i="1"/>
  <c r="M318" i="1"/>
  <c r="N318" i="1"/>
  <c r="O319" i="1"/>
  <c r="E271" i="13"/>
  <c r="E262" i="13"/>
  <c r="E205" i="13"/>
  <c r="E159" i="13"/>
  <c r="E158" i="13"/>
  <c r="E130" i="13"/>
  <c r="E72" i="13"/>
  <c r="E43" i="13"/>
  <c r="E34" i="13"/>
  <c r="E28" i="13"/>
  <c r="E21" i="13"/>
  <c r="E49" i="13"/>
  <c r="E114" i="13"/>
  <c r="E124" i="13"/>
  <c r="E56" i="13"/>
  <c r="E40" i="13"/>
  <c r="E69" i="13"/>
  <c r="E151" i="13"/>
  <c r="E256" i="13"/>
  <c r="E255" i="13"/>
  <c r="E172" i="13"/>
  <c r="E105" i="13"/>
  <c r="E60" i="13"/>
  <c r="E286" i="13"/>
  <c r="E287" i="13"/>
  <c r="E301" i="13" s="1"/>
  <c r="E273" i="13"/>
  <c r="E275" i="13"/>
  <c r="E264" i="13"/>
  <c r="E237" i="13"/>
  <c r="E243" i="13"/>
  <c r="E225" i="13"/>
  <c r="E207" i="13"/>
  <c r="E177" i="13"/>
  <c r="E171" i="13"/>
  <c r="E161" i="13"/>
  <c r="E133" i="13"/>
  <c r="E123" i="13"/>
  <c r="E102" i="13"/>
  <c r="E103" i="13"/>
  <c r="E106" i="13"/>
  <c r="E113" i="13"/>
  <c r="E115" i="13"/>
  <c r="E87" i="13"/>
  <c r="E88" i="13"/>
  <c r="E86" i="13"/>
  <c r="E76" i="13"/>
  <c r="E45" i="13"/>
  <c r="E50" i="13"/>
  <c r="E51" i="13"/>
  <c r="E59" i="13"/>
  <c r="E39" i="13"/>
  <c r="E29" i="13"/>
  <c r="E30" i="13"/>
  <c r="E35" i="13"/>
  <c r="E23" i="13"/>
  <c r="E25" i="13"/>
  <c r="E7" i="13"/>
  <c r="E8" i="13"/>
  <c r="E12" i="13"/>
  <c r="E14" i="13"/>
  <c r="E15" i="13"/>
  <c r="D301" i="13"/>
  <c r="E300" i="13"/>
  <c r="D300" i="13"/>
  <c r="D299" i="13"/>
  <c r="G293" i="13"/>
  <c r="D293" i="13"/>
  <c r="J20" i="13"/>
  <c r="J247" i="13" s="1"/>
  <c r="I20" i="13"/>
  <c r="I92" i="13" s="1"/>
  <c r="H20" i="13"/>
  <c r="H26" i="13" s="1"/>
  <c r="G20" i="13"/>
  <c r="G268" i="13" s="1"/>
  <c r="F20" i="13"/>
  <c r="F293" i="13" s="1"/>
  <c r="E20" i="13"/>
  <c r="E293" i="13" s="1"/>
  <c r="J242" i="1" l="1"/>
  <c r="O242" i="1" s="1"/>
  <c r="J220" i="1"/>
  <c r="O220" i="1" s="1"/>
  <c r="J163" i="1"/>
  <c r="J208" i="1"/>
  <c r="J217" i="1"/>
  <c r="O217" i="1" s="1"/>
  <c r="J215" i="1"/>
  <c r="K226" i="1"/>
  <c r="J238" i="1"/>
  <c r="J253" i="1"/>
  <c r="J218" i="1"/>
  <c r="O218" i="1" s="1"/>
  <c r="J68" i="1"/>
  <c r="J260" i="1"/>
  <c r="O260" i="1" s="1"/>
  <c r="E260" i="13" s="1"/>
  <c r="J285" i="1"/>
  <c r="J210" i="1"/>
  <c r="O210" i="1" s="1"/>
  <c r="G85" i="13"/>
  <c r="G247" i="13"/>
  <c r="G214" i="13"/>
  <c r="G223" i="13"/>
  <c r="G38" i="13"/>
  <c r="G203" i="13"/>
  <c r="O318" i="1"/>
  <c r="E148" i="13"/>
  <c r="E183" i="13"/>
  <c r="E186" i="13"/>
  <c r="K301" i="1"/>
  <c r="M307" i="1"/>
  <c r="E194" i="13"/>
  <c r="O314" i="1"/>
  <c r="E137" i="13"/>
  <c r="E145" i="13"/>
  <c r="J301" i="1"/>
  <c r="E104" i="13"/>
  <c r="E143" i="13"/>
  <c r="E217" i="13"/>
  <c r="E138" i="13"/>
  <c r="E196" i="13"/>
  <c r="E188" i="13"/>
  <c r="M320" i="1"/>
  <c r="K299" i="1"/>
  <c r="O299" i="1" s="1"/>
  <c r="E136" i="13"/>
  <c r="E185" i="13"/>
  <c r="O3" i="1"/>
  <c r="E193" i="13"/>
  <c r="O303" i="1"/>
  <c r="N320" i="1"/>
  <c r="E229" i="13"/>
  <c r="E211" i="13"/>
  <c r="E70" i="13"/>
  <c r="E82" i="13"/>
  <c r="E132" i="13"/>
  <c r="L312" i="1"/>
  <c r="O312" i="1" s="1"/>
  <c r="N307" i="1"/>
  <c r="E77" i="13"/>
  <c r="E184" i="13"/>
  <c r="K320" i="1"/>
  <c r="L311" i="1"/>
  <c r="K298" i="1"/>
  <c r="O298" i="1" s="1"/>
  <c r="O17" i="1"/>
  <c r="O297" i="1"/>
  <c r="E144" i="13"/>
  <c r="L302" i="1"/>
  <c r="L307" i="1" s="1"/>
  <c r="E112" i="13"/>
  <c r="E75" i="13"/>
  <c r="E209" i="13"/>
  <c r="E288" i="13"/>
  <c r="E78" i="13"/>
  <c r="E140" i="13"/>
  <c r="E248" i="13"/>
  <c r="E176" i="13"/>
  <c r="E242" i="13"/>
  <c r="E110" i="13"/>
  <c r="E239" i="13"/>
  <c r="E249" i="13"/>
  <c r="E149" i="13"/>
  <c r="E42" i="13"/>
  <c r="E61" i="13" s="1"/>
  <c r="E64" i="13" s="1"/>
  <c r="E101" i="13"/>
  <c r="E192" i="13"/>
  <c r="E216" i="13"/>
  <c r="E89" i="13"/>
  <c r="E224" i="13"/>
  <c r="E254" i="13"/>
  <c r="E204" i="13"/>
  <c r="E6" i="13"/>
  <c r="E17" i="13" s="1"/>
  <c r="E27" i="13"/>
  <c r="E36" i="13" s="1"/>
  <c r="E63" i="13" s="1"/>
  <c r="E173" i="13"/>
  <c r="E116" i="13"/>
  <c r="E146" i="13"/>
  <c r="E197" i="13"/>
  <c r="E94" i="13"/>
  <c r="E219" i="13"/>
  <c r="E157" i="13"/>
  <c r="H155" i="13"/>
  <c r="I26" i="13"/>
  <c r="I155" i="13"/>
  <c r="I235" i="13"/>
  <c r="J67" i="13"/>
  <c r="J92" i="13"/>
  <c r="J155" i="13"/>
  <c r="J235" i="13"/>
  <c r="J268" i="13"/>
  <c r="I293" i="13"/>
  <c r="H235" i="13"/>
  <c r="H268" i="13"/>
  <c r="I268" i="13"/>
  <c r="E38" i="13"/>
  <c r="E85" i="13"/>
  <c r="E203" i="13"/>
  <c r="E214" i="13"/>
  <c r="E223" i="13"/>
  <c r="E247" i="13"/>
  <c r="J293" i="13"/>
  <c r="F38" i="13"/>
  <c r="F85" i="13"/>
  <c r="F203" i="13"/>
  <c r="F214" i="13"/>
  <c r="F223" i="13"/>
  <c r="F247" i="13"/>
  <c r="H67" i="13"/>
  <c r="H92" i="13"/>
  <c r="I67" i="13"/>
  <c r="J26" i="13"/>
  <c r="H293" i="13"/>
  <c r="H38" i="13"/>
  <c r="H85" i="13"/>
  <c r="H203" i="13"/>
  <c r="H214" i="13"/>
  <c r="H223" i="13"/>
  <c r="H247" i="13"/>
  <c r="I38" i="13"/>
  <c r="I85" i="13"/>
  <c r="I203" i="13"/>
  <c r="I214" i="13"/>
  <c r="I223" i="13"/>
  <c r="I247" i="13"/>
  <c r="J38" i="13"/>
  <c r="J85" i="13"/>
  <c r="J203" i="13"/>
  <c r="J214" i="13"/>
  <c r="J223" i="13"/>
  <c r="E26" i="13"/>
  <c r="E67" i="13"/>
  <c r="E92" i="13"/>
  <c r="E155" i="13"/>
  <c r="E235" i="13"/>
  <c r="E268" i="13"/>
  <c r="F26" i="13"/>
  <c r="F67" i="13"/>
  <c r="F92" i="13"/>
  <c r="F155" i="13"/>
  <c r="F235" i="13"/>
  <c r="F268" i="13"/>
  <c r="G26" i="13"/>
  <c r="G67" i="13"/>
  <c r="G92" i="13"/>
  <c r="G155" i="13"/>
  <c r="G235" i="13"/>
  <c r="J244" i="1" l="1"/>
  <c r="O244" i="1" s="1"/>
  <c r="E244" i="13" s="1"/>
  <c r="J265" i="1"/>
  <c r="O265" i="1" s="1"/>
  <c r="O68" i="1"/>
  <c r="J232" i="1"/>
  <c r="J83" i="1"/>
  <c r="O253" i="1"/>
  <c r="O266" i="1" s="1"/>
  <c r="J266" i="1"/>
  <c r="O238" i="1"/>
  <c r="O245" i="1" s="1"/>
  <c r="J245" i="1"/>
  <c r="K233" i="1"/>
  <c r="K282" i="1" s="1"/>
  <c r="K291" i="1" s="1"/>
  <c r="O226" i="1"/>
  <c r="O215" i="1"/>
  <c r="O221" i="1" s="1"/>
  <c r="J221" i="1"/>
  <c r="O208" i="1"/>
  <c r="O212" i="1" s="1"/>
  <c r="J212" i="1"/>
  <c r="O163" i="1"/>
  <c r="D6" i="1" s="1"/>
  <c r="J190" i="1"/>
  <c r="O190" i="1" s="1"/>
  <c r="E190" i="13" s="1"/>
  <c r="J182" i="1"/>
  <c r="O182" i="1" s="1"/>
  <c r="E182" i="13" s="1"/>
  <c r="J162" i="1"/>
  <c r="J289" i="1"/>
  <c r="O285" i="1"/>
  <c r="O301" i="1"/>
  <c r="E195" i="13"/>
  <c r="L315" i="1"/>
  <c r="L320" i="1" s="1"/>
  <c r="E160" i="13"/>
  <c r="J302" i="1"/>
  <c r="J307" i="1" s="1"/>
  <c r="E198" i="13"/>
  <c r="J315" i="1"/>
  <c r="E141" i="13"/>
  <c r="O311" i="1"/>
  <c r="K302" i="1"/>
  <c r="E71" i="13"/>
  <c r="E230" i="13"/>
  <c r="E3" i="13"/>
  <c r="E147" i="13"/>
  <c r="E142" i="13"/>
  <c r="E163" i="13"/>
  <c r="E118" i="13"/>
  <c r="E65" i="13"/>
  <c r="E95" i="13"/>
  <c r="E210" i="13"/>
  <c r="E139" i="13"/>
  <c r="E187" i="13"/>
  <c r="E220" i="13"/>
  <c r="E269" i="13"/>
  <c r="E280" i="13" s="1"/>
  <c r="E218" i="13"/>
  <c r="E231" i="13"/>
  <c r="E68" i="13"/>
  <c r="D11" i="1" l="1"/>
  <c r="O289" i="1"/>
  <c r="E285" i="13"/>
  <c r="O162" i="1"/>
  <c r="J180" i="1"/>
  <c r="J181" i="1"/>
  <c r="J189" i="1"/>
  <c r="O189" i="1" s="1"/>
  <c r="E189" i="13" s="1"/>
  <c r="O232" i="1"/>
  <c r="J233" i="1"/>
  <c r="O83" i="1"/>
  <c r="C5" i="1"/>
  <c r="J320" i="1"/>
  <c r="O315" i="1"/>
  <c r="O320" i="1" s="1"/>
  <c r="E83" i="13"/>
  <c r="O302" i="1"/>
  <c r="K304" i="1"/>
  <c r="E134" i="13"/>
  <c r="E162" i="13"/>
  <c r="E180" i="13" s="1"/>
  <c r="E227" i="13"/>
  <c r="E253" i="13"/>
  <c r="E208" i="13"/>
  <c r="E212" i="13" s="1"/>
  <c r="E226" i="13"/>
  <c r="E215" i="13"/>
  <c r="E221" i="13" s="1"/>
  <c r="E238" i="13"/>
  <c r="E245" i="13" s="1"/>
  <c r="J201" i="1" l="1"/>
  <c r="J282" i="1" s="1"/>
  <c r="J291" i="1" s="1"/>
  <c r="O181" i="1"/>
  <c r="O201" i="1" s="1"/>
  <c r="D14" i="1"/>
  <c r="E232" i="13"/>
  <c r="E233" i="13" s="1"/>
  <c r="O180" i="1"/>
  <c r="D5" i="1"/>
  <c r="E289" i="13"/>
  <c r="E299" i="13"/>
  <c r="E303" i="13" s="1"/>
  <c r="O233" i="1"/>
  <c r="O282" i="1" s="1"/>
  <c r="O291" i="1" s="1"/>
  <c r="E265" i="13"/>
  <c r="O304" i="1"/>
  <c r="O307" i="1" s="1"/>
  <c r="K307" i="1"/>
  <c r="E135" i="13"/>
  <c r="E153" i="13" s="1"/>
  <c r="E181" i="13" l="1"/>
  <c r="E201" i="13" s="1"/>
  <c r="E266" i="13"/>
  <c r="L265" i="13"/>
  <c r="E282" i="13"/>
  <c r="E297" i="13"/>
  <c r="E304" i="13" s="1"/>
  <c r="E291" i="13"/>
  <c r="E295" i="13" l="1"/>
  <c r="E309" i="13"/>
  <c r="E310" i="13" s="1"/>
  <c r="J279" i="13"/>
  <c r="J278" i="13"/>
  <c r="J273" i="13"/>
  <c r="J272" i="13"/>
  <c r="J256" i="13"/>
  <c r="J255" i="13"/>
  <c r="J254" i="13"/>
  <c r="J239" i="13"/>
  <c r="J108" i="13"/>
  <c r="J82" i="13"/>
  <c r="J2" i="11"/>
  <c r="O319" i="11"/>
  <c r="N318" i="11"/>
  <c r="M318" i="11"/>
  <c r="K318" i="11"/>
  <c r="J318" i="11"/>
  <c r="N317" i="11"/>
  <c r="M317" i="11"/>
  <c r="L317" i="11"/>
  <c r="K317" i="11"/>
  <c r="J317" i="11"/>
  <c r="N316" i="11"/>
  <c r="M316" i="11"/>
  <c r="L316" i="11"/>
  <c r="K316" i="11"/>
  <c r="J316" i="11"/>
  <c r="N314" i="11"/>
  <c r="M314" i="11"/>
  <c r="K314" i="11"/>
  <c r="J314" i="11"/>
  <c r="N312" i="11"/>
  <c r="M312" i="11"/>
  <c r="K312" i="11"/>
  <c r="J312" i="11"/>
  <c r="N311" i="11"/>
  <c r="M311" i="11"/>
  <c r="K311" i="11"/>
  <c r="J311" i="11"/>
  <c r="O306" i="11"/>
  <c r="N305" i="11"/>
  <c r="M305" i="11"/>
  <c r="L305" i="11"/>
  <c r="K305" i="11"/>
  <c r="J305" i="11"/>
  <c r="N304" i="11"/>
  <c r="M304" i="11"/>
  <c r="L304" i="11"/>
  <c r="J304" i="11"/>
  <c r="N303" i="11"/>
  <c r="M303" i="11"/>
  <c r="L303" i="11"/>
  <c r="J303" i="11"/>
  <c r="N301" i="11"/>
  <c r="M301" i="11"/>
  <c r="L301" i="11"/>
  <c r="J301" i="11"/>
  <c r="N299" i="11"/>
  <c r="M299" i="11"/>
  <c r="L299" i="11"/>
  <c r="J299" i="11"/>
  <c r="N298" i="11"/>
  <c r="M298" i="11"/>
  <c r="L298" i="11"/>
  <c r="J298" i="11"/>
  <c r="N297" i="11"/>
  <c r="M297" i="11"/>
  <c r="L297" i="11"/>
  <c r="J297" i="11"/>
  <c r="O293" i="11"/>
  <c r="N293" i="11"/>
  <c r="M293" i="11"/>
  <c r="L293" i="11"/>
  <c r="K293" i="11"/>
  <c r="J293" i="11"/>
  <c r="I293" i="11"/>
  <c r="J288" i="13"/>
  <c r="C288" i="11"/>
  <c r="J287" i="13"/>
  <c r="J301" i="13" s="1"/>
  <c r="C287" i="11"/>
  <c r="J286" i="13"/>
  <c r="J300" i="13" s="1"/>
  <c r="C286" i="11"/>
  <c r="C285" i="11"/>
  <c r="C279" i="11"/>
  <c r="C278" i="11"/>
  <c r="J277" i="13"/>
  <c r="C277" i="11"/>
  <c r="J276" i="13"/>
  <c r="C276" i="11"/>
  <c r="J275" i="13"/>
  <c r="C275" i="11"/>
  <c r="J274" i="13"/>
  <c r="C274" i="11"/>
  <c r="C273" i="11"/>
  <c r="C272" i="11"/>
  <c r="J271" i="13"/>
  <c r="C271" i="11"/>
  <c r="J270" i="13"/>
  <c r="C270" i="11"/>
  <c r="J269" i="13"/>
  <c r="C269" i="11"/>
  <c r="C265" i="11"/>
  <c r="J264" i="13"/>
  <c r="C264" i="11"/>
  <c r="J263" i="13"/>
  <c r="C263" i="11"/>
  <c r="J262" i="13"/>
  <c r="C262" i="11"/>
  <c r="J261" i="13"/>
  <c r="C261" i="11"/>
  <c r="C260" i="11"/>
  <c r="J259" i="13"/>
  <c r="C259" i="11"/>
  <c r="J258" i="13"/>
  <c r="C258" i="11"/>
  <c r="J257" i="13"/>
  <c r="C257" i="11"/>
  <c r="C256" i="11"/>
  <c r="C255" i="11"/>
  <c r="C254" i="11"/>
  <c r="C253" i="11"/>
  <c r="C252" i="11"/>
  <c r="J251" i="13"/>
  <c r="C251" i="11"/>
  <c r="J250" i="13"/>
  <c r="C250" i="11"/>
  <c r="J249" i="13"/>
  <c r="C249" i="11"/>
  <c r="C248" i="11"/>
  <c r="C244" i="11"/>
  <c r="J243" i="13"/>
  <c r="C243" i="11"/>
  <c r="C242" i="11"/>
  <c r="J241" i="13"/>
  <c r="C241" i="11"/>
  <c r="J240" i="13"/>
  <c r="C240" i="11"/>
  <c r="C239" i="11"/>
  <c r="C238" i="11"/>
  <c r="J237" i="13"/>
  <c r="C237" i="11"/>
  <c r="J236" i="13"/>
  <c r="C236" i="11"/>
  <c r="C232" i="11"/>
  <c r="C231" i="11"/>
  <c r="C230" i="11"/>
  <c r="J229" i="13"/>
  <c r="C229" i="11"/>
  <c r="J228" i="13"/>
  <c r="C228" i="11"/>
  <c r="C227" i="11"/>
  <c r="C226" i="11"/>
  <c r="J225" i="13"/>
  <c r="C225" i="11"/>
  <c r="C224" i="11"/>
  <c r="C220" i="11"/>
  <c r="J219" i="13"/>
  <c r="C219" i="11"/>
  <c r="C218" i="11"/>
  <c r="C217" i="11"/>
  <c r="C216" i="11"/>
  <c r="C215" i="11"/>
  <c r="C211" i="11"/>
  <c r="C210" i="11"/>
  <c r="J209" i="13"/>
  <c r="C209" i="11"/>
  <c r="C208" i="11"/>
  <c r="J207" i="13"/>
  <c r="C207" i="11"/>
  <c r="J206" i="13"/>
  <c r="C206" i="11"/>
  <c r="J205" i="13"/>
  <c r="C205" i="11"/>
  <c r="C204" i="11"/>
  <c r="J200" i="13"/>
  <c r="C200" i="11"/>
  <c r="J199" i="13"/>
  <c r="C199" i="11"/>
  <c r="C198" i="11"/>
  <c r="C197" i="11"/>
  <c r="C196" i="11"/>
  <c r="C195" i="11"/>
  <c r="C194" i="11"/>
  <c r="C193" i="11"/>
  <c r="C192" i="11"/>
  <c r="C191" i="11"/>
  <c r="C190" i="11"/>
  <c r="C189" i="11"/>
  <c r="C188" i="11"/>
  <c r="C187" i="11"/>
  <c r="C186" i="11"/>
  <c r="C185" i="11"/>
  <c r="C184" i="11"/>
  <c r="C183" i="11"/>
  <c r="C182" i="11"/>
  <c r="C181" i="11"/>
  <c r="C179" i="11"/>
  <c r="J177" i="13"/>
  <c r="C177" i="11"/>
  <c r="J176" i="13"/>
  <c r="C176" i="11"/>
  <c r="J175" i="13"/>
  <c r="C175" i="11"/>
  <c r="J174" i="13"/>
  <c r="C174" i="11"/>
  <c r="C173" i="11"/>
  <c r="J172" i="13"/>
  <c r="C172" i="11"/>
  <c r="J171" i="13"/>
  <c r="C171" i="11"/>
  <c r="C169" i="11"/>
  <c r="J167" i="13"/>
  <c r="C167" i="11"/>
  <c r="J166" i="13"/>
  <c r="C166" i="11"/>
  <c r="J165" i="13"/>
  <c r="C165" i="11"/>
  <c r="J164" i="13"/>
  <c r="C164" i="11"/>
  <c r="C163" i="11"/>
  <c r="C162" i="11"/>
  <c r="J161" i="13"/>
  <c r="C161" i="11"/>
  <c r="J160" i="13"/>
  <c r="C160" i="11"/>
  <c r="C159" i="11"/>
  <c r="J158" i="13"/>
  <c r="C158" i="11"/>
  <c r="C157" i="11"/>
  <c r="J152" i="13"/>
  <c r="C152" i="11"/>
  <c r="J151" i="13"/>
  <c r="C151" i="11"/>
  <c r="C150" i="11"/>
  <c r="C149" i="11"/>
  <c r="C148" i="11"/>
  <c r="C147" i="11"/>
  <c r="C146" i="11"/>
  <c r="C145" i="11"/>
  <c r="C144" i="11"/>
  <c r="C143" i="11"/>
  <c r="C142" i="11"/>
  <c r="M315" i="11"/>
  <c r="C141" i="11"/>
  <c r="C140" i="11"/>
  <c r="C139" i="11"/>
  <c r="C138" i="11"/>
  <c r="C137" i="11"/>
  <c r="C136" i="11"/>
  <c r="C135" i="11"/>
  <c r="J133" i="13"/>
  <c r="C133" i="11"/>
  <c r="C132" i="11"/>
  <c r="J130" i="13"/>
  <c r="C130" i="11"/>
  <c r="J129" i="13"/>
  <c r="C129" i="11"/>
  <c r="J128" i="13"/>
  <c r="C128" i="11"/>
  <c r="J126" i="13"/>
  <c r="C126" i="11"/>
  <c r="J125" i="13"/>
  <c r="C125" i="11"/>
  <c r="J124" i="13"/>
  <c r="C124" i="11"/>
  <c r="J123" i="13"/>
  <c r="C123" i="11"/>
  <c r="J122" i="13"/>
  <c r="C122" i="11"/>
  <c r="J121" i="13"/>
  <c r="C121" i="11"/>
  <c r="C119" i="11"/>
  <c r="C118" i="11"/>
  <c r="J117" i="13"/>
  <c r="C117" i="11"/>
  <c r="J116" i="13"/>
  <c r="C116" i="11"/>
  <c r="J115" i="13"/>
  <c r="C115" i="11"/>
  <c r="C114" i="11"/>
  <c r="J113" i="13"/>
  <c r="C113" i="11"/>
  <c r="J112" i="13"/>
  <c r="C112" i="11"/>
  <c r="J111" i="13"/>
  <c r="C111" i="11"/>
  <c r="J110" i="13"/>
  <c r="C110" i="11"/>
  <c r="J109" i="13"/>
  <c r="C109" i="11"/>
  <c r="C108" i="11"/>
  <c r="J107" i="13"/>
  <c r="C107" i="11"/>
  <c r="J106" i="13"/>
  <c r="C106" i="11"/>
  <c r="J105" i="13"/>
  <c r="C105" i="11"/>
  <c r="J104" i="13"/>
  <c r="C104" i="11"/>
  <c r="J103" i="13"/>
  <c r="C103" i="11"/>
  <c r="J102" i="13"/>
  <c r="C102" i="11"/>
  <c r="C101" i="11"/>
  <c r="J99" i="13"/>
  <c r="C99" i="11"/>
  <c r="J98" i="13"/>
  <c r="C98" i="11"/>
  <c r="J96" i="13"/>
  <c r="C96" i="11"/>
  <c r="J95" i="13"/>
  <c r="C95" i="11"/>
  <c r="C94" i="11"/>
  <c r="J88" i="13"/>
  <c r="C88" i="11"/>
  <c r="J87" i="13"/>
  <c r="C87" i="11"/>
  <c r="C86" i="11"/>
  <c r="C82" i="11"/>
  <c r="J81" i="13"/>
  <c r="L311" i="11"/>
  <c r="C81" i="11"/>
  <c r="C13" i="11"/>
  <c r="J80" i="13"/>
  <c r="C80" i="11"/>
  <c r="C12" i="11"/>
  <c r="J79" i="13"/>
  <c r="C79" i="11"/>
  <c r="C78" i="11"/>
  <c r="C10" i="11"/>
  <c r="J77" i="13"/>
  <c r="C77" i="11"/>
  <c r="J76" i="13"/>
  <c r="C76" i="11"/>
  <c r="C75" i="11"/>
  <c r="C74" i="11"/>
  <c r="C73" i="11"/>
  <c r="J72" i="13"/>
  <c r="C72" i="11"/>
  <c r="C71" i="11"/>
  <c r="C70" i="11"/>
  <c r="C69" i="11"/>
  <c r="C68" i="11"/>
  <c r="J60" i="13"/>
  <c r="J59" i="13"/>
  <c r="J58" i="13"/>
  <c r="J57" i="13"/>
  <c r="J56" i="13"/>
  <c r="J55" i="13"/>
  <c r="J54" i="13"/>
  <c r="J53" i="13"/>
  <c r="J52" i="13"/>
  <c r="J51" i="13"/>
  <c r="J50" i="13"/>
  <c r="J49" i="13"/>
  <c r="J48" i="13"/>
  <c r="J47" i="13"/>
  <c r="J46" i="13"/>
  <c r="J45" i="13"/>
  <c r="J44" i="13"/>
  <c r="J43" i="13"/>
  <c r="J41" i="13"/>
  <c r="J40" i="13"/>
  <c r="J39" i="13"/>
  <c r="J35" i="13"/>
  <c r="J34" i="13"/>
  <c r="J32" i="13"/>
  <c r="J31" i="13"/>
  <c r="J30" i="13"/>
  <c r="J29" i="13"/>
  <c r="J28" i="13"/>
  <c r="J27" i="13"/>
  <c r="J25" i="13"/>
  <c r="P17" i="11"/>
  <c r="N17" i="11"/>
  <c r="N285" i="11" s="1"/>
  <c r="N289" i="11" s="1"/>
  <c r="N291" i="11" s="1"/>
  <c r="M17" i="11"/>
  <c r="M285" i="11" s="1"/>
  <c r="M289" i="11" s="1"/>
  <c r="M291" i="11" s="1"/>
  <c r="L17" i="11"/>
  <c r="L285" i="11" s="1"/>
  <c r="L289" i="11" s="1"/>
  <c r="L291" i="11" s="1"/>
  <c r="K17" i="11"/>
  <c r="K285" i="11" s="1"/>
  <c r="K289" i="11" s="1"/>
  <c r="J17" i="11"/>
  <c r="J16" i="13"/>
  <c r="J15" i="13"/>
  <c r="J14" i="13"/>
  <c r="J13" i="13"/>
  <c r="J12" i="13"/>
  <c r="D12" i="11"/>
  <c r="J11" i="13"/>
  <c r="J10" i="13"/>
  <c r="J9" i="13"/>
  <c r="J8" i="13"/>
  <c r="J7" i="13"/>
  <c r="J6" i="13"/>
  <c r="J5" i="13"/>
  <c r="J4" i="13"/>
  <c r="J3" i="11"/>
  <c r="O2" i="11"/>
  <c r="J2" i="13" s="1"/>
  <c r="J260" i="11" l="1"/>
  <c r="O260" i="11" s="1"/>
  <c r="J242" i="11"/>
  <c r="O242" i="11" s="1"/>
  <c r="J68" i="11"/>
  <c r="J218" i="11"/>
  <c r="O218" i="11" s="1"/>
  <c r="J217" i="11"/>
  <c r="O217" i="11" s="1"/>
  <c r="J285" i="11"/>
  <c r="J215" i="11"/>
  <c r="J210" i="11"/>
  <c r="J208" i="11"/>
  <c r="O208" i="11" s="1"/>
  <c r="J163" i="11"/>
  <c r="J253" i="11"/>
  <c r="K226" i="11"/>
  <c r="J220" i="11"/>
  <c r="O220" i="11" s="1"/>
  <c r="E311" i="13"/>
  <c r="F307" i="13"/>
  <c r="J280" i="13"/>
  <c r="J33" i="13"/>
  <c r="J36" i="13" s="1"/>
  <c r="J63" i="13" s="1"/>
  <c r="N315" i="11"/>
  <c r="N320" i="11" s="1"/>
  <c r="J183" i="13"/>
  <c r="O316" i="11"/>
  <c r="J86" i="13"/>
  <c r="J89" i="13" s="1"/>
  <c r="N302" i="11"/>
  <c r="N307" i="11" s="1"/>
  <c r="J3" i="13"/>
  <c r="J17" i="13"/>
  <c r="J149" i="13"/>
  <c r="J42" i="13"/>
  <c r="J61" i="13" s="1"/>
  <c r="J64" i="13" s="1"/>
  <c r="O317" i="11"/>
  <c r="J136" i="13"/>
  <c r="L318" i="11"/>
  <c r="O318" i="11" s="1"/>
  <c r="J185" i="13"/>
  <c r="J137" i="13"/>
  <c r="J138" i="13"/>
  <c r="J140" i="13"/>
  <c r="J143" i="13"/>
  <c r="J302" i="11"/>
  <c r="J307" i="11" s="1"/>
  <c r="E12" i="11"/>
  <c r="O3" i="11"/>
  <c r="O17" i="11"/>
  <c r="J94" i="13"/>
  <c r="J114" i="13"/>
  <c r="J119" i="13"/>
  <c r="J132" i="13"/>
  <c r="J145" i="13"/>
  <c r="L314" i="11"/>
  <c r="O314" i="11" s="1"/>
  <c r="J187" i="13"/>
  <c r="J78" i="13"/>
  <c r="J101" i="13"/>
  <c r="J148" i="13"/>
  <c r="K315" i="11"/>
  <c r="K320" i="11" s="1"/>
  <c r="J150" i="13"/>
  <c r="J179" i="13"/>
  <c r="J188" i="13"/>
  <c r="J147" i="13"/>
  <c r="L312" i="11"/>
  <c r="J315" i="11"/>
  <c r="L302" i="11"/>
  <c r="L307" i="11" s="1"/>
  <c r="J192" i="13"/>
  <c r="M302" i="11"/>
  <c r="M307" i="11" s="1"/>
  <c r="J186" i="13"/>
  <c r="J191" i="13"/>
  <c r="J169" i="13"/>
  <c r="J194" i="13"/>
  <c r="J157" i="13"/>
  <c r="J184" i="13"/>
  <c r="J196" i="13"/>
  <c r="J159" i="13"/>
  <c r="J173" i="13"/>
  <c r="J193" i="13"/>
  <c r="J224" i="13"/>
  <c r="J216" i="13"/>
  <c r="O311" i="11"/>
  <c r="J252" i="13"/>
  <c r="J248" i="13"/>
  <c r="O305" i="11"/>
  <c r="D13" i="11"/>
  <c r="E13" i="11" s="1"/>
  <c r="M320" i="11"/>
  <c r="O182" i="11" l="1"/>
  <c r="O190" i="11"/>
  <c r="O163" i="11"/>
  <c r="J212" i="11"/>
  <c r="O210" i="11"/>
  <c r="O212" i="11" s="1"/>
  <c r="O215" i="11"/>
  <c r="O221" i="11" s="1"/>
  <c r="J221" i="11"/>
  <c r="O238" i="11"/>
  <c r="J238" i="13" s="1"/>
  <c r="O253" i="11"/>
  <c r="O285" i="11"/>
  <c r="J289" i="11"/>
  <c r="J265" i="11"/>
  <c r="O265" i="11" s="1"/>
  <c r="J265" i="13" s="1"/>
  <c r="O68" i="11"/>
  <c r="J244" i="11"/>
  <c r="O244" i="11" s="1"/>
  <c r="J83" i="11"/>
  <c r="J232" i="11"/>
  <c r="K233" i="11"/>
  <c r="K282" i="11" s="1"/>
  <c r="K291" i="11" s="1"/>
  <c r="O226" i="11"/>
  <c r="J226" i="13" s="1"/>
  <c r="J65" i="13"/>
  <c r="K301" i="11"/>
  <c r="O301" i="11" s="1"/>
  <c r="L315" i="11"/>
  <c r="L320" i="11" s="1"/>
  <c r="J141" i="13"/>
  <c r="K302" i="11"/>
  <c r="O302" i="11" s="1"/>
  <c r="J320" i="11"/>
  <c r="J195" i="13"/>
  <c r="J204" i="13"/>
  <c r="J218" i="13"/>
  <c r="J208" i="13"/>
  <c r="O312" i="11"/>
  <c r="J139" i="13"/>
  <c r="J227" i="13"/>
  <c r="J242" i="13"/>
  <c r="J197" i="13"/>
  <c r="J220" i="13"/>
  <c r="J260" i="13"/>
  <c r="J198" i="13"/>
  <c r="J142" i="13"/>
  <c r="J230" i="13"/>
  <c r="J217" i="13"/>
  <c r="J231" i="13"/>
  <c r="C9" i="11"/>
  <c r="J146" i="13"/>
  <c r="J144" i="13"/>
  <c r="J210" i="13"/>
  <c r="J135" i="13"/>
  <c r="O266" i="11" l="1"/>
  <c r="O245" i="11"/>
  <c r="J266" i="11"/>
  <c r="J215" i="13"/>
  <c r="J221" i="13" s="1"/>
  <c r="J245" i="11"/>
  <c r="O289" i="11"/>
  <c r="J285" i="13"/>
  <c r="J244" i="13"/>
  <c r="J245" i="13" s="1"/>
  <c r="O232" i="11"/>
  <c r="J232" i="13" s="1"/>
  <c r="J233" i="13" s="1"/>
  <c r="J233" i="11"/>
  <c r="J253" i="13"/>
  <c r="J266" i="13" s="1"/>
  <c r="Q265" i="13"/>
  <c r="O83" i="11"/>
  <c r="J68" i="13"/>
  <c r="O162" i="11"/>
  <c r="O180" i="11" s="1"/>
  <c r="J180" i="11"/>
  <c r="O189" i="11"/>
  <c r="J118" i="13"/>
  <c r="J134" i="13" s="1"/>
  <c r="J153" i="13"/>
  <c r="O315" i="11"/>
  <c r="O320" i="11" s="1"/>
  <c r="D9" i="11"/>
  <c r="E9" i="11" s="1"/>
  <c r="D14" i="11"/>
  <c r="D10" i="11"/>
  <c r="E10" i="11" s="1"/>
  <c r="C15" i="11"/>
  <c r="C5" i="11"/>
  <c r="D7" i="11"/>
  <c r="K304" i="11"/>
  <c r="O304" i="11" s="1"/>
  <c r="J299" i="13" l="1"/>
  <c r="J303" i="13" s="1"/>
  <c r="J289" i="13"/>
  <c r="O181" i="11"/>
  <c r="O201" i="11" s="1"/>
  <c r="J201" i="11"/>
  <c r="J282" i="11" s="1"/>
  <c r="J291" i="11" s="1"/>
  <c r="O233" i="11"/>
  <c r="D8" i="11"/>
  <c r="D15" i="11"/>
  <c r="E15" i="11" s="1"/>
  <c r="O282" i="11" l="1"/>
  <c r="O291" i="11" s="1"/>
  <c r="I255" i="13"/>
  <c r="I254" i="13"/>
  <c r="I240" i="13"/>
  <c r="I239" i="13"/>
  <c r="I173" i="13"/>
  <c r="I108" i="13"/>
  <c r="I101" i="13"/>
  <c r="J2" i="9"/>
  <c r="O319" i="9"/>
  <c r="N318" i="9"/>
  <c r="M318" i="9"/>
  <c r="K318" i="9"/>
  <c r="J318" i="9"/>
  <c r="N317" i="9"/>
  <c r="M317" i="9"/>
  <c r="L317" i="9"/>
  <c r="K317" i="9"/>
  <c r="J317" i="9"/>
  <c r="N316" i="9"/>
  <c r="M316" i="9"/>
  <c r="L316" i="9"/>
  <c r="K316" i="9"/>
  <c r="J316" i="9"/>
  <c r="N314" i="9"/>
  <c r="M314" i="9"/>
  <c r="K314" i="9"/>
  <c r="J314" i="9"/>
  <c r="N312" i="9"/>
  <c r="M312" i="9"/>
  <c r="K312" i="9"/>
  <c r="J312" i="9"/>
  <c r="N311" i="9"/>
  <c r="M311" i="9"/>
  <c r="K311" i="9"/>
  <c r="J311" i="9"/>
  <c r="O306" i="9"/>
  <c r="N305" i="9"/>
  <c r="M305" i="9"/>
  <c r="L305" i="9"/>
  <c r="K305" i="9"/>
  <c r="J305" i="9"/>
  <c r="N304" i="9"/>
  <c r="M304" i="9"/>
  <c r="L304" i="9"/>
  <c r="J304" i="9"/>
  <c r="N303" i="9"/>
  <c r="M303" i="9"/>
  <c r="L303" i="9"/>
  <c r="J303" i="9"/>
  <c r="N301" i="9"/>
  <c r="M301" i="9"/>
  <c r="L301" i="9"/>
  <c r="J301" i="9"/>
  <c r="N299" i="9"/>
  <c r="M299" i="9"/>
  <c r="L299" i="9"/>
  <c r="J299" i="9"/>
  <c r="N298" i="9"/>
  <c r="M298" i="9"/>
  <c r="L298" i="9"/>
  <c r="J298" i="9"/>
  <c r="N297" i="9"/>
  <c r="M297" i="9"/>
  <c r="L297" i="9"/>
  <c r="J297" i="9"/>
  <c r="O293" i="9"/>
  <c r="N293" i="9"/>
  <c r="M293" i="9"/>
  <c r="L293" i="9"/>
  <c r="K293" i="9"/>
  <c r="J293" i="9"/>
  <c r="I293" i="9"/>
  <c r="I288" i="13"/>
  <c r="C288" i="9"/>
  <c r="I287" i="13"/>
  <c r="I301" i="13" s="1"/>
  <c r="C287" i="9"/>
  <c r="I286" i="13"/>
  <c r="I300" i="13" s="1"/>
  <c r="C286" i="9"/>
  <c r="C285" i="9"/>
  <c r="C279" i="9"/>
  <c r="I278" i="13"/>
  <c r="C278" i="9"/>
  <c r="I277" i="13"/>
  <c r="C277" i="9"/>
  <c r="I276" i="13"/>
  <c r="C276" i="9"/>
  <c r="I275" i="13"/>
  <c r="C275" i="9"/>
  <c r="I274" i="13"/>
  <c r="C274" i="9"/>
  <c r="I273" i="13"/>
  <c r="C273" i="9"/>
  <c r="I272" i="13"/>
  <c r="C272" i="9"/>
  <c r="I271" i="13"/>
  <c r="C271" i="9"/>
  <c r="I270" i="13"/>
  <c r="C270" i="9"/>
  <c r="C269" i="9"/>
  <c r="C265" i="9"/>
  <c r="I264" i="13"/>
  <c r="C264" i="9"/>
  <c r="C263" i="9"/>
  <c r="I262" i="13"/>
  <c r="C262" i="9"/>
  <c r="I261" i="13"/>
  <c r="C261" i="9"/>
  <c r="C260" i="9"/>
  <c r="I259" i="13"/>
  <c r="C259" i="9"/>
  <c r="I258" i="13"/>
  <c r="C258" i="9"/>
  <c r="I257" i="13"/>
  <c r="C257" i="9"/>
  <c r="C256" i="9"/>
  <c r="C255" i="9"/>
  <c r="C254" i="9"/>
  <c r="C253" i="9"/>
  <c r="I252" i="13"/>
  <c r="C252" i="9"/>
  <c r="I251" i="13"/>
  <c r="C251" i="9"/>
  <c r="I250" i="13"/>
  <c r="C250" i="9"/>
  <c r="I249" i="13"/>
  <c r="C249" i="9"/>
  <c r="I248" i="13"/>
  <c r="C248" i="9"/>
  <c r="C244" i="9"/>
  <c r="I243" i="13"/>
  <c r="C243" i="9"/>
  <c r="C242" i="9"/>
  <c r="I241" i="13"/>
  <c r="C241" i="9"/>
  <c r="C240" i="9"/>
  <c r="C239" i="9"/>
  <c r="C238" i="9"/>
  <c r="I237" i="13"/>
  <c r="C237" i="9"/>
  <c r="I236" i="13"/>
  <c r="C236" i="9"/>
  <c r="C232" i="9"/>
  <c r="C231" i="9"/>
  <c r="C230" i="9"/>
  <c r="I229" i="13"/>
  <c r="C229" i="9"/>
  <c r="I228" i="13"/>
  <c r="C228" i="9"/>
  <c r="C227" i="9"/>
  <c r="C226" i="9"/>
  <c r="I225" i="13"/>
  <c r="C225" i="9"/>
  <c r="I224" i="13"/>
  <c r="C224" i="9"/>
  <c r="C220" i="9"/>
  <c r="I219" i="13"/>
  <c r="C219" i="9"/>
  <c r="C218" i="9"/>
  <c r="C217" i="9"/>
  <c r="C216" i="9"/>
  <c r="C215" i="9"/>
  <c r="C211" i="9"/>
  <c r="C210" i="9"/>
  <c r="I209" i="13"/>
  <c r="C209" i="9"/>
  <c r="C208" i="9"/>
  <c r="I207" i="13"/>
  <c r="C207" i="9"/>
  <c r="I206" i="13"/>
  <c r="C206" i="9"/>
  <c r="I205" i="13"/>
  <c r="C205" i="9"/>
  <c r="C204" i="9"/>
  <c r="I200" i="13"/>
  <c r="C200" i="9"/>
  <c r="I199" i="13"/>
  <c r="C199" i="9"/>
  <c r="C198" i="9"/>
  <c r="C197" i="9"/>
  <c r="C196" i="9"/>
  <c r="C195" i="9"/>
  <c r="C194" i="9"/>
  <c r="C193" i="9"/>
  <c r="C192" i="9"/>
  <c r="C191" i="9"/>
  <c r="C190" i="9"/>
  <c r="C189" i="9"/>
  <c r="C188" i="9"/>
  <c r="C187" i="9"/>
  <c r="C186" i="9"/>
  <c r="I185" i="13"/>
  <c r="C185" i="9"/>
  <c r="C184" i="9"/>
  <c r="C183" i="9"/>
  <c r="C182" i="9"/>
  <c r="C181" i="9"/>
  <c r="C179" i="9"/>
  <c r="I177" i="13"/>
  <c r="C177" i="9"/>
  <c r="I176" i="13"/>
  <c r="C176" i="9"/>
  <c r="I175" i="13"/>
  <c r="C175" i="9"/>
  <c r="I174" i="13"/>
  <c r="C174" i="9"/>
  <c r="C173" i="9"/>
  <c r="I172" i="13"/>
  <c r="C172" i="9"/>
  <c r="I171" i="13"/>
  <c r="C171" i="9"/>
  <c r="C169" i="9"/>
  <c r="C167" i="9"/>
  <c r="I166" i="13"/>
  <c r="C166" i="9"/>
  <c r="I165" i="13"/>
  <c r="C165" i="9"/>
  <c r="I164" i="13"/>
  <c r="C164" i="9"/>
  <c r="C163" i="9"/>
  <c r="C162" i="9"/>
  <c r="I161" i="13"/>
  <c r="C161" i="9"/>
  <c r="I160" i="13"/>
  <c r="C160" i="9"/>
  <c r="C159" i="9"/>
  <c r="I158" i="13"/>
  <c r="C158" i="9"/>
  <c r="I157" i="13"/>
  <c r="C157" i="9"/>
  <c r="I152" i="13"/>
  <c r="C152" i="9"/>
  <c r="I151" i="13"/>
  <c r="C151" i="9"/>
  <c r="C150" i="9"/>
  <c r="C149" i="9"/>
  <c r="C148" i="9"/>
  <c r="C147" i="9"/>
  <c r="C146" i="9"/>
  <c r="C145" i="9"/>
  <c r="C144" i="9"/>
  <c r="C143" i="9"/>
  <c r="C142" i="9"/>
  <c r="M315" i="9"/>
  <c r="C141" i="9"/>
  <c r="C140" i="9"/>
  <c r="C139" i="9"/>
  <c r="C138" i="9"/>
  <c r="C137" i="9"/>
  <c r="C136" i="9"/>
  <c r="C135" i="9"/>
  <c r="L314" i="9"/>
  <c r="I133" i="13"/>
  <c r="C133" i="9"/>
  <c r="I132" i="13"/>
  <c r="C132" i="9"/>
  <c r="I130" i="13"/>
  <c r="C130" i="9"/>
  <c r="I129" i="13"/>
  <c r="C129" i="9"/>
  <c r="I128" i="13"/>
  <c r="C128" i="9"/>
  <c r="I126" i="13"/>
  <c r="C126" i="9"/>
  <c r="I125" i="13"/>
  <c r="C125" i="9"/>
  <c r="I124" i="13"/>
  <c r="C124" i="9"/>
  <c r="I123" i="13"/>
  <c r="C123" i="9"/>
  <c r="I122" i="13"/>
  <c r="C122" i="9"/>
  <c r="C121" i="9"/>
  <c r="C119" i="9"/>
  <c r="C118" i="9"/>
  <c r="I117" i="13"/>
  <c r="C117" i="9"/>
  <c r="I116" i="13"/>
  <c r="C116" i="9"/>
  <c r="I115" i="13"/>
  <c r="C115" i="9"/>
  <c r="I114" i="13"/>
  <c r="C114" i="9"/>
  <c r="I113" i="13"/>
  <c r="C113" i="9"/>
  <c r="C112" i="9"/>
  <c r="I111" i="13"/>
  <c r="C111" i="9"/>
  <c r="I110" i="13"/>
  <c r="C110" i="9"/>
  <c r="I109" i="13"/>
  <c r="C109" i="9"/>
  <c r="C108" i="9"/>
  <c r="I107" i="13"/>
  <c r="C107" i="9"/>
  <c r="I106" i="13"/>
  <c r="C106" i="9"/>
  <c r="I105" i="13"/>
  <c r="C105" i="9"/>
  <c r="I104" i="13"/>
  <c r="C104" i="9"/>
  <c r="I103" i="13"/>
  <c r="C103" i="9"/>
  <c r="I102" i="13"/>
  <c r="C102" i="9"/>
  <c r="C101" i="9"/>
  <c r="I99" i="13"/>
  <c r="C99" i="9"/>
  <c r="I98" i="13"/>
  <c r="C98" i="9"/>
  <c r="I96" i="13"/>
  <c r="C96" i="9"/>
  <c r="I95" i="13"/>
  <c r="C95" i="9"/>
  <c r="C94" i="9"/>
  <c r="I88" i="13"/>
  <c r="C88" i="9"/>
  <c r="I87" i="13"/>
  <c r="C87" i="9"/>
  <c r="I86" i="13"/>
  <c r="C86" i="9"/>
  <c r="C82" i="9"/>
  <c r="C81" i="9"/>
  <c r="I80" i="13"/>
  <c r="C80" i="9"/>
  <c r="I79" i="13"/>
  <c r="C79" i="9"/>
  <c r="I78" i="13"/>
  <c r="C78" i="9"/>
  <c r="I77" i="13"/>
  <c r="C77" i="9"/>
  <c r="C76" i="9"/>
  <c r="C75" i="9"/>
  <c r="C74" i="9"/>
  <c r="C73" i="9"/>
  <c r="I72" i="13"/>
  <c r="C72" i="9"/>
  <c r="C71" i="9"/>
  <c r="C70" i="9"/>
  <c r="C69" i="9"/>
  <c r="C68" i="9"/>
  <c r="I60" i="13"/>
  <c r="I59" i="13"/>
  <c r="I58" i="13"/>
  <c r="I57" i="13"/>
  <c r="I56" i="13"/>
  <c r="I55" i="13"/>
  <c r="I54" i="13"/>
  <c r="I53" i="13"/>
  <c r="I52" i="13"/>
  <c r="I51" i="13"/>
  <c r="I50" i="13"/>
  <c r="I49" i="13"/>
  <c r="I48" i="13"/>
  <c r="I47" i="13"/>
  <c r="I46" i="13"/>
  <c r="I45" i="13"/>
  <c r="I44" i="13"/>
  <c r="I43" i="13"/>
  <c r="I42" i="13"/>
  <c r="I41" i="13"/>
  <c r="I40" i="13"/>
  <c r="I39" i="13"/>
  <c r="I35" i="13"/>
  <c r="I34" i="13"/>
  <c r="I33" i="13"/>
  <c r="I32" i="13"/>
  <c r="I31" i="13"/>
  <c r="I30" i="13"/>
  <c r="I29" i="13"/>
  <c r="I28" i="13"/>
  <c r="I25" i="13"/>
  <c r="P17" i="9"/>
  <c r="N17" i="9"/>
  <c r="N285" i="9" s="1"/>
  <c r="N289" i="9" s="1"/>
  <c r="N291" i="9" s="1"/>
  <c r="M17" i="9"/>
  <c r="M285" i="9" s="1"/>
  <c r="M289" i="9" s="1"/>
  <c r="M291" i="9" s="1"/>
  <c r="L17" i="9"/>
  <c r="L285" i="9" s="1"/>
  <c r="L289" i="9" s="1"/>
  <c r="L291" i="9" s="1"/>
  <c r="K17" i="9"/>
  <c r="K285" i="9" s="1"/>
  <c r="K289" i="9" s="1"/>
  <c r="J17" i="9"/>
  <c r="I16" i="13"/>
  <c r="I15" i="13"/>
  <c r="I14" i="13"/>
  <c r="I13" i="13"/>
  <c r="I12" i="13"/>
  <c r="D12" i="9"/>
  <c r="I11" i="13"/>
  <c r="I10" i="13"/>
  <c r="I9" i="13"/>
  <c r="I8" i="13"/>
  <c r="I7" i="13"/>
  <c r="I6" i="13"/>
  <c r="I5" i="13"/>
  <c r="I4" i="13"/>
  <c r="J3" i="9"/>
  <c r="O2" i="9"/>
  <c r="I2" i="13" s="1"/>
  <c r="J218" i="9" l="1"/>
  <c r="O218" i="9" s="1"/>
  <c r="J68" i="9"/>
  <c r="J217" i="9"/>
  <c r="O217" i="9" s="1"/>
  <c r="J253" i="9"/>
  <c r="J215" i="9"/>
  <c r="J260" i="9"/>
  <c r="O260" i="9" s="1"/>
  <c r="K226" i="9"/>
  <c r="J285" i="9"/>
  <c r="J242" i="9"/>
  <c r="O242" i="9" s="1"/>
  <c r="J163" i="9"/>
  <c r="J210" i="9"/>
  <c r="O210" i="9" s="1"/>
  <c r="J208" i="9"/>
  <c r="J220" i="9"/>
  <c r="O220" i="9" s="1"/>
  <c r="I89" i="13"/>
  <c r="L302" i="9"/>
  <c r="L307" i="9" s="1"/>
  <c r="I150" i="13"/>
  <c r="I17" i="13"/>
  <c r="I3" i="13"/>
  <c r="I27" i="13"/>
  <c r="I36" i="13" s="1"/>
  <c r="I63" i="13" s="1"/>
  <c r="I183" i="13"/>
  <c r="I61" i="13"/>
  <c r="I64" i="13" s="1"/>
  <c r="I149" i="13"/>
  <c r="O3" i="9"/>
  <c r="I119" i="13"/>
  <c r="I279" i="13"/>
  <c r="I167" i="13"/>
  <c r="O305" i="9"/>
  <c r="C13" i="9"/>
  <c r="D13" i="9"/>
  <c r="O317" i="9"/>
  <c r="O17" i="9"/>
  <c r="O316" i="9"/>
  <c r="I184" i="13"/>
  <c r="I145" i="13"/>
  <c r="L311" i="9"/>
  <c r="O311" i="9" s="1"/>
  <c r="I144" i="13"/>
  <c r="C12" i="9"/>
  <c r="E12" i="9" s="1"/>
  <c r="I138" i="13"/>
  <c r="I136" i="13"/>
  <c r="I193" i="13"/>
  <c r="I112" i="13"/>
  <c r="I187" i="13"/>
  <c r="I121" i="13"/>
  <c r="C10" i="9"/>
  <c r="L312" i="9"/>
  <c r="O312" i="9" s="1"/>
  <c r="I82" i="13"/>
  <c r="K315" i="9"/>
  <c r="K320" i="9" s="1"/>
  <c r="I141" i="13"/>
  <c r="I76" i="13"/>
  <c r="I94" i="13"/>
  <c r="J302" i="9"/>
  <c r="J307" i="9" s="1"/>
  <c r="M302" i="9"/>
  <c r="M307" i="9" s="1"/>
  <c r="N315" i="9"/>
  <c r="N320" i="9" s="1"/>
  <c r="I179" i="13"/>
  <c r="N302" i="9"/>
  <c r="N307" i="9" s="1"/>
  <c r="I194" i="13"/>
  <c r="I140" i="13"/>
  <c r="I143" i="13"/>
  <c r="I148" i="13"/>
  <c r="I81" i="13"/>
  <c r="I137" i="13"/>
  <c r="I147" i="13"/>
  <c r="I169" i="13"/>
  <c r="I191" i="13"/>
  <c r="J315" i="9"/>
  <c r="J320" i="9" s="1"/>
  <c r="I186" i="13"/>
  <c r="I192" i="13"/>
  <c r="I159" i="13"/>
  <c r="I196" i="13"/>
  <c r="I216" i="13"/>
  <c r="I256" i="13"/>
  <c r="I263" i="13"/>
  <c r="L318" i="9"/>
  <c r="O318" i="9" s="1"/>
  <c r="M320" i="9"/>
  <c r="O314" i="9"/>
  <c r="O182" i="9" l="1"/>
  <c r="O163" i="9"/>
  <c r="O190" i="9"/>
  <c r="O285" i="9"/>
  <c r="J289" i="9"/>
  <c r="K233" i="9"/>
  <c r="K282" i="9" s="1"/>
  <c r="K291" i="9" s="1"/>
  <c r="O226" i="9"/>
  <c r="O215" i="9"/>
  <c r="O221" i="9" s="1"/>
  <c r="J221" i="9"/>
  <c r="O253" i="9"/>
  <c r="O266" i="9" s="1"/>
  <c r="J266" i="9"/>
  <c r="O238" i="9"/>
  <c r="O245" i="9" s="1"/>
  <c r="J265" i="9"/>
  <c r="O265" i="9" s="1"/>
  <c r="O68" i="9"/>
  <c r="O83" i="9" s="1"/>
  <c r="J83" i="9"/>
  <c r="J244" i="9"/>
  <c r="O244" i="9" s="1"/>
  <c r="J232" i="9"/>
  <c r="O208" i="9"/>
  <c r="O212" i="9" s="1"/>
  <c r="J212" i="9"/>
  <c r="I269" i="13"/>
  <c r="I280" i="13" s="1"/>
  <c r="I65" i="13"/>
  <c r="E13" i="9"/>
  <c r="I242" i="13"/>
  <c r="I198" i="13"/>
  <c r="I227" i="13"/>
  <c r="I210" i="13"/>
  <c r="I195" i="13"/>
  <c r="I260" i="13"/>
  <c r="I204" i="13"/>
  <c r="I218" i="13"/>
  <c r="I188" i="13"/>
  <c r="I139" i="13"/>
  <c r="I217" i="13"/>
  <c r="I197" i="13"/>
  <c r="I220" i="13"/>
  <c r="I226" i="13"/>
  <c r="I146" i="13"/>
  <c r="I68" i="13"/>
  <c r="K301" i="9"/>
  <c r="O301" i="9" s="1"/>
  <c r="C9" i="9"/>
  <c r="I215" i="13" l="1"/>
  <c r="I253" i="13"/>
  <c r="I238" i="13"/>
  <c r="O289" i="9"/>
  <c r="I285" i="13"/>
  <c r="J180" i="9"/>
  <c r="O162" i="9"/>
  <c r="O180" i="9" s="1"/>
  <c r="O189" i="9"/>
  <c r="O232" i="9"/>
  <c r="I232" i="13" s="1"/>
  <c r="J233" i="9"/>
  <c r="I208" i="13"/>
  <c r="J245" i="9"/>
  <c r="I118" i="13"/>
  <c r="I134" i="13" s="1"/>
  <c r="I221" i="13"/>
  <c r="I142" i="13"/>
  <c r="K302" i="9"/>
  <c r="O302" i="9" s="1"/>
  <c r="D7" i="9"/>
  <c r="L315" i="9"/>
  <c r="L320" i="9" s="1"/>
  <c r="D9" i="9"/>
  <c r="E9" i="9" s="1"/>
  <c r="D10" i="9"/>
  <c r="E10" i="9" s="1"/>
  <c r="C15" i="9"/>
  <c r="D14" i="9"/>
  <c r="K304" i="9"/>
  <c r="O304" i="9" s="1"/>
  <c r="I265" i="13"/>
  <c r="D8" i="9"/>
  <c r="I230" i="13"/>
  <c r="I231" i="13"/>
  <c r="I289" i="13" l="1"/>
  <c r="I299" i="13"/>
  <c r="I303" i="13" s="1"/>
  <c r="O233" i="9"/>
  <c r="J201" i="9"/>
  <c r="J282" i="9" s="1"/>
  <c r="J291" i="9" s="1"/>
  <c r="O181" i="9"/>
  <c r="O201" i="9" s="1"/>
  <c r="I266" i="13"/>
  <c r="P265" i="13"/>
  <c r="I233" i="13"/>
  <c r="I135" i="13"/>
  <c r="I153" i="13" s="1"/>
  <c r="I244" i="13"/>
  <c r="I245" i="13" s="1"/>
  <c r="O315" i="9"/>
  <c r="O320" i="9" s="1"/>
  <c r="D15" i="9"/>
  <c r="E15" i="9" s="1"/>
  <c r="O282" i="9" l="1"/>
  <c r="O291" i="9" s="1"/>
  <c r="C5" i="9"/>
  <c r="H279" i="13" l="1"/>
  <c r="H269" i="13"/>
  <c r="H255" i="13"/>
  <c r="H254" i="13"/>
  <c r="H252" i="13"/>
  <c r="H239" i="13"/>
  <c r="H224" i="13"/>
  <c r="H159" i="13"/>
  <c r="H132" i="13"/>
  <c r="H122" i="13"/>
  <c r="H116" i="13"/>
  <c r="J2" i="8"/>
  <c r="O319" i="8"/>
  <c r="N318" i="8"/>
  <c r="M318" i="8"/>
  <c r="K318" i="8"/>
  <c r="J318" i="8"/>
  <c r="N317" i="8"/>
  <c r="M317" i="8"/>
  <c r="L317" i="8"/>
  <c r="K317" i="8"/>
  <c r="J317" i="8"/>
  <c r="N316" i="8"/>
  <c r="M316" i="8"/>
  <c r="L316" i="8"/>
  <c r="K316" i="8"/>
  <c r="J316" i="8"/>
  <c r="O316" i="8" s="1"/>
  <c r="N314" i="8"/>
  <c r="M314" i="8"/>
  <c r="K314" i="8"/>
  <c r="J314" i="8"/>
  <c r="N312" i="8"/>
  <c r="M312" i="8"/>
  <c r="K312" i="8"/>
  <c r="J312" i="8"/>
  <c r="N311" i="8"/>
  <c r="M311" i="8"/>
  <c r="K311" i="8"/>
  <c r="J311" i="8"/>
  <c r="O306" i="8"/>
  <c r="N305" i="8"/>
  <c r="O305" i="8" s="1"/>
  <c r="M305" i="8"/>
  <c r="L305" i="8"/>
  <c r="K305" i="8"/>
  <c r="J305" i="8"/>
  <c r="N304" i="8"/>
  <c r="M304" i="8"/>
  <c r="L304" i="8"/>
  <c r="J304" i="8"/>
  <c r="N303" i="8"/>
  <c r="M303" i="8"/>
  <c r="L303" i="8"/>
  <c r="J303" i="8"/>
  <c r="N301" i="8"/>
  <c r="M301" i="8"/>
  <c r="L301" i="8"/>
  <c r="J301" i="8"/>
  <c r="N299" i="8"/>
  <c r="M299" i="8"/>
  <c r="L299" i="8"/>
  <c r="J299" i="8"/>
  <c r="N298" i="8"/>
  <c r="M298" i="8"/>
  <c r="L298" i="8"/>
  <c r="J298" i="8"/>
  <c r="N297" i="8"/>
  <c r="M297" i="8"/>
  <c r="L297" i="8"/>
  <c r="J297" i="8"/>
  <c r="O293" i="8"/>
  <c r="N293" i="8"/>
  <c r="M293" i="8"/>
  <c r="L293" i="8"/>
  <c r="K293" i="8"/>
  <c r="J293" i="8"/>
  <c r="I293" i="8"/>
  <c r="H288" i="13"/>
  <c r="C288" i="8"/>
  <c r="H287" i="13"/>
  <c r="H301" i="13" s="1"/>
  <c r="C287" i="8"/>
  <c r="C286" i="8"/>
  <c r="C285" i="8"/>
  <c r="C279" i="8"/>
  <c r="C278" i="8"/>
  <c r="H277" i="13"/>
  <c r="C277" i="8"/>
  <c r="H276" i="13"/>
  <c r="C276" i="8"/>
  <c r="H275" i="13"/>
  <c r="C275" i="8"/>
  <c r="H274" i="13"/>
  <c r="C274" i="8"/>
  <c r="H273" i="13"/>
  <c r="C273" i="8"/>
  <c r="H272" i="13"/>
  <c r="C272" i="8"/>
  <c r="H271" i="13"/>
  <c r="C271" i="8"/>
  <c r="C270" i="8"/>
  <c r="C269" i="8"/>
  <c r="C265" i="8"/>
  <c r="H264" i="13"/>
  <c r="C264" i="8"/>
  <c r="H263" i="13"/>
  <c r="C263" i="8"/>
  <c r="H262" i="13"/>
  <c r="C262" i="8"/>
  <c r="H261" i="13"/>
  <c r="C261" i="8"/>
  <c r="C260" i="8"/>
  <c r="H259" i="13"/>
  <c r="C259" i="8"/>
  <c r="H258" i="13"/>
  <c r="C258" i="8"/>
  <c r="H257" i="13"/>
  <c r="C257" i="8"/>
  <c r="C256" i="8"/>
  <c r="C255" i="8"/>
  <c r="C254" i="8"/>
  <c r="C253" i="8"/>
  <c r="C252" i="8"/>
  <c r="H251" i="13"/>
  <c r="C251" i="8"/>
  <c r="H250" i="13"/>
  <c r="C250" i="8"/>
  <c r="H249" i="13"/>
  <c r="C249" i="8"/>
  <c r="C248" i="8"/>
  <c r="C244" i="8"/>
  <c r="H243" i="13"/>
  <c r="C243" i="8"/>
  <c r="C242" i="8"/>
  <c r="H241" i="13"/>
  <c r="C241" i="8"/>
  <c r="H240" i="13"/>
  <c r="C240" i="8"/>
  <c r="C239" i="8"/>
  <c r="C238" i="8"/>
  <c r="H237" i="13"/>
  <c r="C237" i="8"/>
  <c r="H236" i="13"/>
  <c r="C236" i="8"/>
  <c r="C232" i="8"/>
  <c r="C231" i="8"/>
  <c r="C230" i="8"/>
  <c r="H229" i="13"/>
  <c r="C229" i="8"/>
  <c r="H228" i="13"/>
  <c r="C228" i="8"/>
  <c r="C227" i="8"/>
  <c r="C226" i="8"/>
  <c r="H225" i="13"/>
  <c r="C225" i="8"/>
  <c r="C224" i="8"/>
  <c r="C220" i="8"/>
  <c r="H219" i="13"/>
  <c r="C219" i="8"/>
  <c r="C218" i="8"/>
  <c r="C217" i="8"/>
  <c r="C216" i="8"/>
  <c r="C215" i="8"/>
  <c r="C211" i="8"/>
  <c r="C210" i="8"/>
  <c r="H209" i="13"/>
  <c r="C209" i="8"/>
  <c r="C208" i="8"/>
  <c r="H207" i="13"/>
  <c r="C207" i="8"/>
  <c r="H206" i="13"/>
  <c r="C206" i="8"/>
  <c r="H205" i="13"/>
  <c r="C205" i="8"/>
  <c r="C204" i="8"/>
  <c r="H200" i="13"/>
  <c r="C200" i="8"/>
  <c r="H199" i="13"/>
  <c r="C199" i="8"/>
  <c r="C198" i="8"/>
  <c r="C197" i="8"/>
  <c r="C196" i="8"/>
  <c r="C195" i="8"/>
  <c r="C194" i="8"/>
  <c r="C193" i="8"/>
  <c r="C192" i="8"/>
  <c r="C191" i="8"/>
  <c r="C190" i="8"/>
  <c r="C189" i="8"/>
  <c r="C188" i="8"/>
  <c r="C187" i="8"/>
  <c r="C186" i="8"/>
  <c r="C185" i="8"/>
  <c r="C184" i="8"/>
  <c r="C183" i="8"/>
  <c r="C182" i="8"/>
  <c r="C181" i="8"/>
  <c r="H179" i="13"/>
  <c r="C179" i="8"/>
  <c r="H177" i="13"/>
  <c r="C177" i="8"/>
  <c r="H176" i="13"/>
  <c r="C176" i="8"/>
  <c r="H175" i="13"/>
  <c r="C175" i="8"/>
  <c r="H174" i="13"/>
  <c r="C174" i="8"/>
  <c r="C173" i="8"/>
  <c r="H172" i="13"/>
  <c r="C172" i="8"/>
  <c r="H171" i="13"/>
  <c r="C171" i="8"/>
  <c r="C169" i="8"/>
  <c r="C167" i="8"/>
  <c r="H166" i="13"/>
  <c r="C166" i="8"/>
  <c r="H165" i="13"/>
  <c r="C165" i="8"/>
  <c r="H164" i="13"/>
  <c r="C164" i="8"/>
  <c r="C163" i="8"/>
  <c r="C162" i="8"/>
  <c r="H161" i="13"/>
  <c r="C161" i="8"/>
  <c r="H160" i="13"/>
  <c r="C160" i="8"/>
  <c r="C159" i="8"/>
  <c r="H158" i="13"/>
  <c r="C158" i="8"/>
  <c r="H157" i="13"/>
  <c r="C157" i="8"/>
  <c r="H152" i="13"/>
  <c r="C152" i="8"/>
  <c r="H151" i="13"/>
  <c r="C151" i="8"/>
  <c r="C150" i="8"/>
  <c r="C149" i="8"/>
  <c r="C148" i="8"/>
  <c r="C147" i="8"/>
  <c r="C146" i="8"/>
  <c r="C145" i="8"/>
  <c r="C144" i="8"/>
  <c r="C143" i="8"/>
  <c r="C142" i="8"/>
  <c r="C141" i="8"/>
  <c r="C140" i="8"/>
  <c r="C139" i="8"/>
  <c r="C138" i="8"/>
  <c r="C137" i="8"/>
  <c r="C136" i="8"/>
  <c r="C135" i="8"/>
  <c r="L314" i="8"/>
  <c r="O314" i="8" s="1"/>
  <c r="H133" i="13"/>
  <c r="C133" i="8"/>
  <c r="C132" i="8"/>
  <c r="H130" i="13"/>
  <c r="C130" i="8"/>
  <c r="H129" i="13"/>
  <c r="C129" i="8"/>
  <c r="C128" i="8"/>
  <c r="H126" i="13"/>
  <c r="C126" i="8"/>
  <c r="H125" i="13"/>
  <c r="C125" i="8"/>
  <c r="H124" i="13"/>
  <c r="C124" i="8"/>
  <c r="H123" i="13"/>
  <c r="C123" i="8"/>
  <c r="C122" i="8"/>
  <c r="H121" i="13"/>
  <c r="C121" i="8"/>
  <c r="C119" i="8"/>
  <c r="C118" i="8"/>
  <c r="H117" i="13"/>
  <c r="C117" i="8"/>
  <c r="C116" i="8"/>
  <c r="H115" i="13"/>
  <c r="C115" i="8"/>
  <c r="C114" i="8"/>
  <c r="H113" i="13"/>
  <c r="C113" i="8"/>
  <c r="C112" i="8"/>
  <c r="H111" i="13"/>
  <c r="C111" i="8"/>
  <c r="H110" i="13"/>
  <c r="C110" i="8"/>
  <c r="H109" i="13"/>
  <c r="C109" i="8"/>
  <c r="C108" i="8"/>
  <c r="H107" i="13"/>
  <c r="C107" i="8"/>
  <c r="H106" i="13"/>
  <c r="C106" i="8"/>
  <c r="H105" i="13"/>
  <c r="C105" i="8"/>
  <c r="H104" i="13"/>
  <c r="C104" i="8"/>
  <c r="H103" i="13"/>
  <c r="C103" i="8"/>
  <c r="H102" i="13"/>
  <c r="C102" i="8"/>
  <c r="C101" i="8"/>
  <c r="H99" i="13"/>
  <c r="C99" i="8"/>
  <c r="H98" i="13"/>
  <c r="C98" i="8"/>
  <c r="H96" i="13"/>
  <c r="C96" i="8"/>
  <c r="H95" i="13"/>
  <c r="C95" i="8"/>
  <c r="C94" i="8"/>
  <c r="H88" i="13"/>
  <c r="C88" i="8"/>
  <c r="H87" i="13"/>
  <c r="C87" i="8"/>
  <c r="C86" i="8"/>
  <c r="C82" i="8"/>
  <c r="L311" i="8"/>
  <c r="C81" i="8"/>
  <c r="C13" i="8"/>
  <c r="H80" i="13"/>
  <c r="C80" i="8"/>
  <c r="H79" i="13"/>
  <c r="C79" i="8"/>
  <c r="H78" i="13"/>
  <c r="C78" i="8"/>
  <c r="H77" i="13"/>
  <c r="C77" i="8"/>
  <c r="H76" i="13"/>
  <c r="C76" i="8"/>
  <c r="C75" i="8"/>
  <c r="C74" i="8"/>
  <c r="C73" i="8"/>
  <c r="H72" i="13"/>
  <c r="C72" i="8"/>
  <c r="C71" i="8"/>
  <c r="C70" i="8"/>
  <c r="C69" i="8"/>
  <c r="C68" i="8"/>
  <c r="H60" i="13"/>
  <c r="H59" i="13"/>
  <c r="H58" i="13"/>
  <c r="H57" i="13"/>
  <c r="H56" i="13"/>
  <c r="H55" i="13"/>
  <c r="H54" i="13"/>
  <c r="H53" i="13"/>
  <c r="H52" i="13"/>
  <c r="H51" i="13"/>
  <c r="H50" i="13"/>
  <c r="H49" i="13"/>
  <c r="H48" i="13"/>
  <c r="H47" i="13"/>
  <c r="H46" i="13"/>
  <c r="H45" i="13"/>
  <c r="H44" i="13"/>
  <c r="H43" i="13"/>
  <c r="H42" i="13"/>
  <c r="H41" i="13"/>
  <c r="H40" i="13"/>
  <c r="H39" i="13"/>
  <c r="H35" i="13"/>
  <c r="H34" i="13"/>
  <c r="H33" i="13"/>
  <c r="H32" i="13"/>
  <c r="H31" i="13"/>
  <c r="H30" i="13"/>
  <c r="H29" i="13"/>
  <c r="H28" i="13"/>
  <c r="H27" i="13"/>
  <c r="H25" i="13"/>
  <c r="P17" i="8"/>
  <c r="N17" i="8"/>
  <c r="N285" i="8" s="1"/>
  <c r="N289" i="8" s="1"/>
  <c r="N291" i="8" s="1"/>
  <c r="M17" i="8"/>
  <c r="M285" i="8" s="1"/>
  <c r="M289" i="8" s="1"/>
  <c r="M291" i="8" s="1"/>
  <c r="L17" i="8"/>
  <c r="L285" i="8" s="1"/>
  <c r="L289" i="8" s="1"/>
  <c r="L291" i="8" s="1"/>
  <c r="K17" i="8"/>
  <c r="K285" i="8" s="1"/>
  <c r="J17" i="8"/>
  <c r="H16" i="13"/>
  <c r="H15" i="13"/>
  <c r="H14" i="13"/>
  <c r="H13" i="13"/>
  <c r="H12" i="13"/>
  <c r="D12" i="8"/>
  <c r="C12" i="8"/>
  <c r="H11" i="13"/>
  <c r="H10" i="13"/>
  <c r="H9" i="13"/>
  <c r="H8" i="13"/>
  <c r="H7" i="13"/>
  <c r="H6" i="13"/>
  <c r="H5" i="13"/>
  <c r="H4" i="13"/>
  <c r="J3" i="8"/>
  <c r="O2" i="8"/>
  <c r="H2" i="13" s="1"/>
  <c r="G272" i="13"/>
  <c r="G254" i="13"/>
  <c r="G240" i="13"/>
  <c r="G116" i="13"/>
  <c r="J2" i="7"/>
  <c r="O319" i="7"/>
  <c r="N318" i="7"/>
  <c r="M318" i="7"/>
  <c r="K318" i="7"/>
  <c r="J318" i="7"/>
  <c r="N317" i="7"/>
  <c r="M317" i="7"/>
  <c r="L317" i="7"/>
  <c r="K317" i="7"/>
  <c r="J317" i="7"/>
  <c r="N316" i="7"/>
  <c r="M316" i="7"/>
  <c r="L316" i="7"/>
  <c r="K316" i="7"/>
  <c r="J316" i="7"/>
  <c r="N314" i="7"/>
  <c r="M314" i="7"/>
  <c r="K314" i="7"/>
  <c r="J314" i="7"/>
  <c r="N312" i="7"/>
  <c r="M312" i="7"/>
  <c r="K312" i="7"/>
  <c r="J312" i="7"/>
  <c r="N311" i="7"/>
  <c r="M311" i="7"/>
  <c r="K311" i="7"/>
  <c r="J311" i="7"/>
  <c r="O306" i="7"/>
  <c r="N305" i="7"/>
  <c r="M305" i="7"/>
  <c r="L305" i="7"/>
  <c r="K305" i="7"/>
  <c r="J305" i="7"/>
  <c r="N304" i="7"/>
  <c r="M304" i="7"/>
  <c r="L304" i="7"/>
  <c r="J304" i="7"/>
  <c r="N303" i="7"/>
  <c r="M303" i="7"/>
  <c r="L303" i="7"/>
  <c r="J303" i="7"/>
  <c r="N301" i="7"/>
  <c r="M301" i="7"/>
  <c r="L301" i="7"/>
  <c r="J301" i="7"/>
  <c r="N299" i="7"/>
  <c r="M299" i="7"/>
  <c r="L299" i="7"/>
  <c r="J299" i="7"/>
  <c r="N298" i="7"/>
  <c r="M298" i="7"/>
  <c r="L298" i="7"/>
  <c r="J298" i="7"/>
  <c r="N297" i="7"/>
  <c r="M297" i="7"/>
  <c r="L297" i="7"/>
  <c r="J297" i="7"/>
  <c r="O293" i="7"/>
  <c r="N293" i="7"/>
  <c r="M293" i="7"/>
  <c r="L293" i="7"/>
  <c r="K293" i="7"/>
  <c r="J293" i="7"/>
  <c r="I293" i="7"/>
  <c r="G288" i="13"/>
  <c r="C288" i="7"/>
  <c r="G287" i="13"/>
  <c r="G301" i="13" s="1"/>
  <c r="C287" i="7"/>
  <c r="G286" i="13"/>
  <c r="G300" i="13" s="1"/>
  <c r="C286" i="7"/>
  <c r="G285" i="13"/>
  <c r="G299" i="13" s="1"/>
  <c r="C285" i="7"/>
  <c r="G279" i="13"/>
  <c r="C279" i="7"/>
  <c r="C278" i="7"/>
  <c r="G277" i="13"/>
  <c r="C277" i="7"/>
  <c r="G276" i="13"/>
  <c r="C276" i="7"/>
  <c r="C275" i="7"/>
  <c r="G274" i="13"/>
  <c r="C274" i="7"/>
  <c r="G273" i="13"/>
  <c r="C273" i="7"/>
  <c r="C272" i="7"/>
  <c r="G271" i="13"/>
  <c r="C271" i="7"/>
  <c r="C270" i="7"/>
  <c r="G269" i="13"/>
  <c r="C269" i="7"/>
  <c r="C265" i="7"/>
  <c r="G264" i="13"/>
  <c r="C264" i="7"/>
  <c r="G263" i="13"/>
  <c r="C263" i="7"/>
  <c r="G262" i="13"/>
  <c r="C262" i="7"/>
  <c r="G261" i="13"/>
  <c r="C261" i="7"/>
  <c r="C260" i="7"/>
  <c r="G259" i="13"/>
  <c r="C259" i="7"/>
  <c r="G258" i="13"/>
  <c r="C258" i="7"/>
  <c r="G257" i="13"/>
  <c r="C257" i="7"/>
  <c r="C256" i="7"/>
  <c r="G255" i="13"/>
  <c r="C255" i="7"/>
  <c r="C254" i="7"/>
  <c r="C253" i="7"/>
  <c r="G252" i="13"/>
  <c r="C252" i="7"/>
  <c r="G251" i="13"/>
  <c r="C251" i="7"/>
  <c r="G250" i="13"/>
  <c r="C250" i="7"/>
  <c r="G249" i="13"/>
  <c r="C249" i="7"/>
  <c r="C248" i="7"/>
  <c r="C244" i="7"/>
  <c r="G243" i="13"/>
  <c r="C243" i="7"/>
  <c r="C242" i="7"/>
  <c r="G241" i="13"/>
  <c r="C241" i="7"/>
  <c r="C240" i="7"/>
  <c r="G239" i="13"/>
  <c r="C239" i="7"/>
  <c r="C238" i="7"/>
  <c r="G237" i="13"/>
  <c r="C237" i="7"/>
  <c r="G236" i="13"/>
  <c r="C236" i="7"/>
  <c r="G232" i="13"/>
  <c r="C232" i="7"/>
  <c r="C231" i="7"/>
  <c r="C230" i="7"/>
  <c r="G229" i="13"/>
  <c r="C229" i="7"/>
  <c r="G228" i="13"/>
  <c r="C228" i="7"/>
  <c r="C227" i="7"/>
  <c r="C226" i="7"/>
  <c r="G225" i="13"/>
  <c r="C225" i="7"/>
  <c r="G224" i="13"/>
  <c r="C224" i="7"/>
  <c r="C220" i="7"/>
  <c r="G219" i="13"/>
  <c r="C219" i="7"/>
  <c r="C218" i="7"/>
  <c r="C217" i="7"/>
  <c r="G216" i="13"/>
  <c r="C216" i="7"/>
  <c r="C215" i="7"/>
  <c r="C211" i="7"/>
  <c r="C210" i="7"/>
  <c r="G209" i="13"/>
  <c r="C209" i="7"/>
  <c r="C208" i="7"/>
  <c r="G207" i="13"/>
  <c r="C207" i="7"/>
  <c r="G206" i="13"/>
  <c r="C206" i="7"/>
  <c r="G205" i="13"/>
  <c r="C205" i="7"/>
  <c r="C204" i="7"/>
  <c r="G200" i="13"/>
  <c r="C200" i="7"/>
  <c r="G199" i="13"/>
  <c r="C199" i="7"/>
  <c r="C198" i="7"/>
  <c r="C197" i="7"/>
  <c r="C196" i="7"/>
  <c r="C195" i="7"/>
  <c r="C194" i="7"/>
  <c r="C193" i="7"/>
  <c r="C192" i="7"/>
  <c r="C191" i="7"/>
  <c r="C190" i="7"/>
  <c r="C189" i="7"/>
  <c r="C188" i="7"/>
  <c r="C187" i="7"/>
  <c r="C186" i="7"/>
  <c r="C185" i="7"/>
  <c r="C184" i="7"/>
  <c r="C183" i="7"/>
  <c r="C182" i="7"/>
  <c r="C181" i="7"/>
  <c r="G179" i="13"/>
  <c r="C179" i="7"/>
  <c r="G177" i="13"/>
  <c r="C177" i="7"/>
  <c r="G176" i="13"/>
  <c r="C176" i="7"/>
  <c r="G175" i="13"/>
  <c r="C175" i="7"/>
  <c r="G174" i="13"/>
  <c r="C174" i="7"/>
  <c r="G173" i="13"/>
  <c r="C173" i="7"/>
  <c r="G172" i="13"/>
  <c r="C172" i="7"/>
  <c r="G171" i="13"/>
  <c r="C171" i="7"/>
  <c r="G169" i="13"/>
  <c r="C169" i="7"/>
  <c r="G167" i="13"/>
  <c r="C167" i="7"/>
  <c r="G166" i="13"/>
  <c r="C166" i="7"/>
  <c r="G165" i="13"/>
  <c r="C165" i="7"/>
  <c r="G164" i="13"/>
  <c r="C164" i="7"/>
  <c r="C163" i="7"/>
  <c r="C162" i="7"/>
  <c r="G161" i="13"/>
  <c r="C161" i="7"/>
  <c r="G160" i="13"/>
  <c r="C160" i="7"/>
  <c r="C159" i="7"/>
  <c r="G158" i="13"/>
  <c r="C158" i="7"/>
  <c r="C157" i="7"/>
  <c r="G152" i="13"/>
  <c r="C152" i="7"/>
  <c r="G151" i="13"/>
  <c r="C151" i="7"/>
  <c r="G150" i="13"/>
  <c r="C150" i="7"/>
  <c r="G149" i="13"/>
  <c r="C149" i="7"/>
  <c r="C148" i="7"/>
  <c r="C147" i="7"/>
  <c r="C146" i="7"/>
  <c r="C145" i="7"/>
  <c r="C144" i="7"/>
  <c r="C143" i="7"/>
  <c r="C142" i="7"/>
  <c r="M315" i="7"/>
  <c r="C141" i="7"/>
  <c r="C140" i="7"/>
  <c r="C139" i="7"/>
  <c r="C138" i="7"/>
  <c r="C137" i="7"/>
  <c r="C136" i="7"/>
  <c r="C135" i="7"/>
  <c r="G133" i="13"/>
  <c r="C133" i="7"/>
  <c r="C132" i="7"/>
  <c r="G130" i="13"/>
  <c r="C130" i="7"/>
  <c r="G129" i="13"/>
  <c r="C129" i="7"/>
  <c r="C128" i="7"/>
  <c r="G126" i="13"/>
  <c r="C126" i="7"/>
  <c r="G125" i="13"/>
  <c r="C125" i="7"/>
  <c r="G124" i="13"/>
  <c r="C124" i="7"/>
  <c r="G123" i="13"/>
  <c r="C123" i="7"/>
  <c r="C122" i="7"/>
  <c r="G121" i="13"/>
  <c r="C121" i="7"/>
  <c r="G119" i="13"/>
  <c r="C119" i="7"/>
  <c r="C118" i="7"/>
  <c r="G117" i="13"/>
  <c r="C117" i="7"/>
  <c r="C116" i="7"/>
  <c r="G115" i="13"/>
  <c r="C115" i="7"/>
  <c r="C114" i="7"/>
  <c r="G113" i="13"/>
  <c r="C113" i="7"/>
  <c r="G112" i="13"/>
  <c r="C112" i="7"/>
  <c r="G111" i="13"/>
  <c r="C111" i="7"/>
  <c r="G110" i="13"/>
  <c r="C110" i="7"/>
  <c r="G109" i="13"/>
  <c r="C109" i="7"/>
  <c r="G108" i="13"/>
  <c r="C108" i="7"/>
  <c r="G107" i="13"/>
  <c r="C107" i="7"/>
  <c r="G106" i="13"/>
  <c r="C106" i="7"/>
  <c r="G105" i="13"/>
  <c r="C105" i="7"/>
  <c r="G104" i="13"/>
  <c r="C104" i="7"/>
  <c r="G103" i="13"/>
  <c r="C103" i="7"/>
  <c r="G102" i="13"/>
  <c r="C102" i="7"/>
  <c r="G101" i="13"/>
  <c r="C101" i="7"/>
  <c r="G99" i="13"/>
  <c r="C99" i="7"/>
  <c r="G98" i="13"/>
  <c r="C98" i="7"/>
  <c r="G96" i="13"/>
  <c r="C96" i="7"/>
  <c r="G95" i="13"/>
  <c r="C95" i="7"/>
  <c r="C94" i="7"/>
  <c r="C88" i="7"/>
  <c r="G87" i="13"/>
  <c r="C87" i="7"/>
  <c r="G86" i="13"/>
  <c r="C86" i="7"/>
  <c r="C82" i="7"/>
  <c r="G81" i="13"/>
  <c r="L311" i="7"/>
  <c r="C81" i="7"/>
  <c r="C13" i="7"/>
  <c r="G80" i="13"/>
  <c r="C80" i="7"/>
  <c r="C12" i="7"/>
  <c r="G79" i="13"/>
  <c r="C79" i="7"/>
  <c r="C78" i="7"/>
  <c r="G77" i="13"/>
  <c r="C77" i="7"/>
  <c r="G76" i="13"/>
  <c r="C76" i="7"/>
  <c r="C75" i="7"/>
  <c r="C74" i="7"/>
  <c r="C73" i="7"/>
  <c r="G72" i="13"/>
  <c r="C72" i="7"/>
  <c r="C71" i="7"/>
  <c r="C70" i="7"/>
  <c r="C69" i="7"/>
  <c r="C68" i="7"/>
  <c r="G60" i="13"/>
  <c r="G59" i="13"/>
  <c r="G58" i="13"/>
  <c r="G57" i="13"/>
  <c r="G56" i="13"/>
  <c r="G55" i="13"/>
  <c r="G54" i="13"/>
  <c r="G53" i="13"/>
  <c r="G52" i="13"/>
  <c r="G51" i="13"/>
  <c r="G50" i="13"/>
  <c r="G49" i="13"/>
  <c r="G48" i="13"/>
  <c r="G47" i="13"/>
  <c r="G46" i="13"/>
  <c r="G45" i="13"/>
  <c r="G44" i="13"/>
  <c r="G43" i="13"/>
  <c r="G42" i="13"/>
  <c r="G41" i="13"/>
  <c r="G39" i="13"/>
  <c r="G35" i="13"/>
  <c r="G34" i="13"/>
  <c r="G33" i="13"/>
  <c r="G32" i="13"/>
  <c r="G31" i="13"/>
  <c r="G30" i="13"/>
  <c r="G29" i="13"/>
  <c r="G28" i="13"/>
  <c r="G25" i="13"/>
  <c r="P17" i="7"/>
  <c r="N17" i="7"/>
  <c r="M17" i="7"/>
  <c r="L17" i="7"/>
  <c r="K17" i="7"/>
  <c r="J17" i="7"/>
  <c r="G16" i="13"/>
  <c r="G14" i="13"/>
  <c r="G13" i="13"/>
  <c r="G12" i="13"/>
  <c r="D12" i="7"/>
  <c r="G11" i="13"/>
  <c r="G10" i="13"/>
  <c r="G9" i="13"/>
  <c r="G8" i="13"/>
  <c r="G7" i="13"/>
  <c r="G6" i="13"/>
  <c r="G5" i="13"/>
  <c r="G4" i="13"/>
  <c r="J3" i="7"/>
  <c r="O2" i="7"/>
  <c r="G2" i="13" s="1"/>
  <c r="J215" i="8" l="1"/>
  <c r="J253" i="8"/>
  <c r="J210" i="8"/>
  <c r="K226" i="8"/>
  <c r="J68" i="8"/>
  <c r="J260" i="8"/>
  <c r="O260" i="8" s="1"/>
  <c r="J220" i="8"/>
  <c r="O220" i="8" s="1"/>
  <c r="J208" i="8"/>
  <c r="O208" i="8" s="1"/>
  <c r="J242" i="8"/>
  <c r="O242" i="8" s="1"/>
  <c r="J285" i="8"/>
  <c r="J289" i="8" s="1"/>
  <c r="J163" i="8"/>
  <c r="J218" i="8"/>
  <c r="O218" i="8" s="1"/>
  <c r="J217" i="8"/>
  <c r="O217" i="8" s="1"/>
  <c r="K289" i="8"/>
  <c r="G289" i="13"/>
  <c r="H286" i="13"/>
  <c r="H300" i="13" s="1"/>
  <c r="H86" i="13"/>
  <c r="H89" i="13" s="1"/>
  <c r="H61" i="13"/>
  <c r="H64" i="13" s="1"/>
  <c r="H167" i="13"/>
  <c r="H36" i="13"/>
  <c r="H63" i="13" s="1"/>
  <c r="M315" i="8"/>
  <c r="H17" i="13"/>
  <c r="H3" i="13"/>
  <c r="N302" i="8"/>
  <c r="N307" i="8" s="1"/>
  <c r="G303" i="13"/>
  <c r="O305" i="7"/>
  <c r="O3" i="7"/>
  <c r="G15" i="13"/>
  <c r="G17" i="13" s="1"/>
  <c r="G40" i="13"/>
  <c r="G61" i="13" s="1"/>
  <c r="G64" i="13" s="1"/>
  <c r="N302" i="7"/>
  <c r="N307" i="7" s="1"/>
  <c r="O316" i="7"/>
  <c r="G27" i="13"/>
  <c r="G36" i="13" s="1"/>
  <c r="G63" i="13" s="1"/>
  <c r="G88" i="13"/>
  <c r="G114" i="13"/>
  <c r="L314" i="7"/>
  <c r="O314" i="7" s="1"/>
  <c r="G89" i="13"/>
  <c r="G188" i="13"/>
  <c r="H183" i="13"/>
  <c r="H193" i="13"/>
  <c r="M302" i="8"/>
  <c r="M307" i="8" s="1"/>
  <c r="K315" i="8"/>
  <c r="K320" i="8" s="1"/>
  <c r="H146" i="13"/>
  <c r="H137" i="13"/>
  <c r="K301" i="8"/>
  <c r="O301" i="8" s="1"/>
  <c r="H112" i="13"/>
  <c r="E12" i="8"/>
  <c r="H136" i="13"/>
  <c r="O17" i="8"/>
  <c r="O3" i="8"/>
  <c r="H94" i="13"/>
  <c r="H108" i="13"/>
  <c r="L312" i="8"/>
  <c r="H138" i="13"/>
  <c r="H82" i="13"/>
  <c r="H149" i="13"/>
  <c r="H119" i="13"/>
  <c r="J315" i="8"/>
  <c r="J320" i="8" s="1"/>
  <c r="H141" i="13"/>
  <c r="H143" i="13"/>
  <c r="H150" i="13"/>
  <c r="H128" i="13"/>
  <c r="O311" i="8"/>
  <c r="H145" i="13"/>
  <c r="C9" i="8"/>
  <c r="H81" i="13"/>
  <c r="H101" i="13"/>
  <c r="H147" i="13"/>
  <c r="N315" i="8"/>
  <c r="N320" i="8" s="1"/>
  <c r="J302" i="8"/>
  <c r="J307" i="8" s="1"/>
  <c r="H191" i="13"/>
  <c r="H192" i="13"/>
  <c r="H187" i="13"/>
  <c r="H184" i="13"/>
  <c r="H114" i="13"/>
  <c r="H140" i="13"/>
  <c r="H173" i="13"/>
  <c r="H188" i="13"/>
  <c r="L302" i="8"/>
  <c r="L307" i="8" s="1"/>
  <c r="H169" i="13"/>
  <c r="H186" i="13"/>
  <c r="H194" i="13"/>
  <c r="H185" i="13"/>
  <c r="M320" i="8"/>
  <c r="H196" i="13"/>
  <c r="H216" i="13"/>
  <c r="H270" i="13"/>
  <c r="H248" i="13"/>
  <c r="H256" i="13"/>
  <c r="O317" i="8"/>
  <c r="L318" i="8"/>
  <c r="O318" i="8" s="1"/>
  <c r="H278" i="13"/>
  <c r="D13" i="8"/>
  <c r="E13" i="8" s="1"/>
  <c r="O312" i="8"/>
  <c r="G192" i="13"/>
  <c r="G147" i="13"/>
  <c r="K315" i="7"/>
  <c r="K320" i="7" s="1"/>
  <c r="J315" i="7"/>
  <c r="J320" i="7" s="1"/>
  <c r="O17" i="7"/>
  <c r="E12" i="7"/>
  <c r="G138" i="13"/>
  <c r="G94" i="13"/>
  <c r="G136" i="13"/>
  <c r="L302" i="7"/>
  <c r="L307" i="7" s="1"/>
  <c r="G143" i="13"/>
  <c r="M302" i="7"/>
  <c r="M307" i="7" s="1"/>
  <c r="G122" i="13"/>
  <c r="C10" i="7"/>
  <c r="G78" i="13"/>
  <c r="L312" i="7"/>
  <c r="O312" i="7" s="1"/>
  <c r="G82" i="13"/>
  <c r="G256" i="13"/>
  <c r="G145" i="13"/>
  <c r="G140" i="13"/>
  <c r="N315" i="7"/>
  <c r="N320" i="7" s="1"/>
  <c r="G184" i="13"/>
  <c r="G128" i="13"/>
  <c r="G132" i="13"/>
  <c r="G137" i="13"/>
  <c r="J302" i="7"/>
  <c r="J307" i="7" s="1"/>
  <c r="G195" i="13"/>
  <c r="G186" i="13"/>
  <c r="G185" i="13"/>
  <c r="G194" i="13"/>
  <c r="G157" i="13"/>
  <c r="G159" i="13"/>
  <c r="G193" i="13"/>
  <c r="G196" i="13"/>
  <c r="G278" i="13"/>
  <c r="L318" i="7"/>
  <c r="O318" i="7" s="1"/>
  <c r="G248" i="13"/>
  <c r="G270" i="13"/>
  <c r="O311" i="7"/>
  <c r="D13" i="7"/>
  <c r="E13" i="7" s="1"/>
  <c r="M320" i="7"/>
  <c r="O317" i="7"/>
  <c r="G275" i="13"/>
  <c r="O190" i="8" l="1"/>
  <c r="O163" i="8"/>
  <c r="O182" i="8"/>
  <c r="J265" i="8"/>
  <c r="O265" i="8" s="1"/>
  <c r="O68" i="8"/>
  <c r="O83" i="8" s="1"/>
  <c r="J83" i="8"/>
  <c r="J244" i="8"/>
  <c r="O244" i="8" s="1"/>
  <c r="J232" i="8"/>
  <c r="O226" i="8"/>
  <c r="K233" i="8"/>
  <c r="K282" i="8" s="1"/>
  <c r="K291" i="8" s="1"/>
  <c r="O285" i="8"/>
  <c r="J212" i="8"/>
  <c r="O210" i="8"/>
  <c r="O212" i="8" s="1"/>
  <c r="O238" i="8"/>
  <c r="O253" i="8"/>
  <c r="O266" i="8" s="1"/>
  <c r="J266" i="8"/>
  <c r="O215" i="8"/>
  <c r="O221" i="8" s="1"/>
  <c r="J221" i="8"/>
  <c r="G68" i="13"/>
  <c r="H65" i="13"/>
  <c r="H280" i="13"/>
  <c r="H68" i="13"/>
  <c r="G3" i="13"/>
  <c r="G280" i="13"/>
  <c r="G65" i="13"/>
  <c r="H148" i="13"/>
  <c r="H208" i="13"/>
  <c r="C10" i="8"/>
  <c r="H230" i="13"/>
  <c r="H144" i="13"/>
  <c r="H253" i="13"/>
  <c r="H231" i="13"/>
  <c r="H238" i="13"/>
  <c r="H244" i="13"/>
  <c r="H242" i="13"/>
  <c r="H139" i="13"/>
  <c r="H220" i="13"/>
  <c r="K302" i="8"/>
  <c r="O302" i="8" s="1"/>
  <c r="H218" i="13"/>
  <c r="L315" i="8"/>
  <c r="L320" i="8" s="1"/>
  <c r="H260" i="13"/>
  <c r="H227" i="13"/>
  <c r="H195" i="13"/>
  <c r="H217" i="13"/>
  <c r="H197" i="13"/>
  <c r="H204" i="13"/>
  <c r="H198" i="13"/>
  <c r="K301" i="7"/>
  <c r="O301" i="7" s="1"/>
  <c r="G142" i="13"/>
  <c r="G141" i="13"/>
  <c r="G215" i="13"/>
  <c r="G231" i="13"/>
  <c r="G210" i="13"/>
  <c r="G148" i="13"/>
  <c r="G204" i="13"/>
  <c r="G146" i="13"/>
  <c r="G238" i="13"/>
  <c r="G183" i="13"/>
  <c r="G260" i="13"/>
  <c r="G220" i="13"/>
  <c r="G191" i="13"/>
  <c r="G242" i="13"/>
  <c r="C9" i="7"/>
  <c r="G253" i="13"/>
  <c r="G139" i="13"/>
  <c r="G217" i="13"/>
  <c r="G227" i="13"/>
  <c r="G197" i="13"/>
  <c r="G218" i="13"/>
  <c r="G144" i="13"/>
  <c r="G187" i="13"/>
  <c r="G208" i="13"/>
  <c r="G198" i="13"/>
  <c r="J245" i="8" l="1"/>
  <c r="O245" i="8"/>
  <c r="H215" i="13"/>
  <c r="O232" i="8"/>
  <c r="H232" i="13" s="1"/>
  <c r="J233" i="8"/>
  <c r="H210" i="13"/>
  <c r="O289" i="8"/>
  <c r="H285" i="13"/>
  <c r="H226" i="13"/>
  <c r="O162" i="8"/>
  <c r="O180" i="8" s="1"/>
  <c r="J180" i="8"/>
  <c r="O189" i="8"/>
  <c r="G244" i="13"/>
  <c r="G230" i="13"/>
  <c r="G265" i="13"/>
  <c r="N265" i="13" s="1"/>
  <c r="G226" i="13"/>
  <c r="G233" i="13" s="1"/>
  <c r="G266" i="13"/>
  <c r="G245" i="13"/>
  <c r="H245" i="13"/>
  <c r="H233" i="13"/>
  <c r="H265" i="13"/>
  <c r="H118" i="13"/>
  <c r="H134" i="13" s="1"/>
  <c r="H221" i="13"/>
  <c r="G118" i="13"/>
  <c r="G134" i="13" s="1"/>
  <c r="G221" i="13"/>
  <c r="D8" i="8"/>
  <c r="O315" i="8"/>
  <c r="O320" i="8" s="1"/>
  <c r="D9" i="8"/>
  <c r="E9" i="8" s="1"/>
  <c r="D14" i="8"/>
  <c r="D10" i="8"/>
  <c r="E10" i="8" s="1"/>
  <c r="D7" i="8"/>
  <c r="H142" i="13"/>
  <c r="H135" i="13"/>
  <c r="K304" i="8"/>
  <c r="O304" i="8" s="1"/>
  <c r="D15" i="8"/>
  <c r="C15" i="8"/>
  <c r="D9" i="7"/>
  <c r="E9" i="7" s="1"/>
  <c r="L315" i="7"/>
  <c r="L320" i="7" s="1"/>
  <c r="K302" i="7"/>
  <c r="O302" i="7" s="1"/>
  <c r="D10" i="7"/>
  <c r="E10" i="7" s="1"/>
  <c r="D14" i="7"/>
  <c r="D7" i="7"/>
  <c r="C15" i="7"/>
  <c r="K304" i="7"/>
  <c r="O304" i="7" s="1"/>
  <c r="O181" i="8" l="1"/>
  <c r="O201" i="8" s="1"/>
  <c r="J201" i="8"/>
  <c r="J282" i="8" s="1"/>
  <c r="J291" i="8" s="1"/>
  <c r="H299" i="13"/>
  <c r="H303" i="13" s="1"/>
  <c r="H289" i="13"/>
  <c r="O233" i="8"/>
  <c r="H266" i="13"/>
  <c r="O265" i="13"/>
  <c r="H153" i="13"/>
  <c r="G135" i="13"/>
  <c r="G153" i="13" s="1"/>
  <c r="E15" i="8"/>
  <c r="D8" i="7"/>
  <c r="O315" i="7"/>
  <c r="O320" i="7" s="1"/>
  <c r="D15" i="7"/>
  <c r="E15" i="7" s="1"/>
  <c r="O282" i="8" l="1"/>
  <c r="O291" i="8" s="1"/>
  <c r="C5" i="8"/>
  <c r="C5" i="7"/>
  <c r="D12" i="5" l="1"/>
  <c r="D13" i="5"/>
  <c r="C6" i="5"/>
  <c r="C7" i="5"/>
  <c r="C9" i="5"/>
  <c r="C10" i="5"/>
  <c r="C11" i="5"/>
  <c r="C12" i="5"/>
  <c r="C13" i="5"/>
  <c r="C14" i="5"/>
  <c r="B24" i="2"/>
  <c r="B23" i="2"/>
  <c r="N17" i="5" l="1"/>
  <c r="M17" i="5"/>
  <c r="L17" i="5"/>
  <c r="K17" i="5"/>
  <c r="J17" i="5"/>
  <c r="O16" i="5"/>
  <c r="F16" i="13" s="1"/>
  <c r="O15" i="5"/>
  <c r="F15" i="13" s="1"/>
  <c r="O14" i="5"/>
  <c r="F14" i="13" s="1"/>
  <c r="O13" i="5"/>
  <c r="F13" i="13" s="1"/>
  <c r="O12" i="5"/>
  <c r="F12" i="13" s="1"/>
  <c r="O11" i="5"/>
  <c r="F11" i="13" s="1"/>
  <c r="O10" i="5"/>
  <c r="F10" i="13" s="1"/>
  <c r="O9" i="5"/>
  <c r="F9" i="13" s="1"/>
  <c r="O8" i="5"/>
  <c r="F8" i="13" s="1"/>
  <c r="O7" i="5"/>
  <c r="F7" i="13" s="1"/>
  <c r="O6" i="5"/>
  <c r="F6" i="13" s="1"/>
  <c r="O5" i="5"/>
  <c r="F5" i="13" s="1"/>
  <c r="O4" i="5"/>
  <c r="F4" i="13" s="1"/>
  <c r="F17" i="13" l="1"/>
  <c r="F3" i="13"/>
  <c r="O17" i="5"/>
  <c r="G24" i="13" l="1"/>
  <c r="G21" i="13"/>
  <c r="G23" i="13"/>
  <c r="G22" i="13"/>
  <c r="F25" i="13"/>
  <c r="J2" i="5"/>
  <c r="O319" i="5"/>
  <c r="N318" i="5"/>
  <c r="M318" i="5"/>
  <c r="L318" i="5"/>
  <c r="K318" i="5"/>
  <c r="J318" i="5"/>
  <c r="N317" i="5"/>
  <c r="M317" i="5"/>
  <c r="L317" i="5"/>
  <c r="K317" i="5"/>
  <c r="J317" i="5"/>
  <c r="N316" i="5"/>
  <c r="M316" i="5"/>
  <c r="O316" i="5" s="1"/>
  <c r="L316" i="5"/>
  <c r="K316" i="5"/>
  <c r="J316" i="5"/>
  <c r="N314" i="5"/>
  <c r="M314" i="5"/>
  <c r="K314" i="5"/>
  <c r="J314" i="5"/>
  <c r="N312" i="5"/>
  <c r="M312" i="5"/>
  <c r="K312" i="5"/>
  <c r="J312" i="5"/>
  <c r="N311" i="5"/>
  <c r="M311" i="5"/>
  <c r="K311" i="5"/>
  <c r="J311" i="5"/>
  <c r="O306" i="5"/>
  <c r="N305" i="5"/>
  <c r="M305" i="5"/>
  <c r="L305" i="5"/>
  <c r="K305" i="5"/>
  <c r="J305" i="5"/>
  <c r="O305" i="5" s="1"/>
  <c r="N304" i="5"/>
  <c r="M304" i="5"/>
  <c r="L304" i="5"/>
  <c r="J304" i="5"/>
  <c r="N303" i="5"/>
  <c r="M303" i="5"/>
  <c r="L303" i="5"/>
  <c r="J303" i="5"/>
  <c r="N301" i="5"/>
  <c r="M301" i="5"/>
  <c r="L301" i="5"/>
  <c r="J301" i="5"/>
  <c r="N299" i="5"/>
  <c r="M299" i="5"/>
  <c r="L299" i="5"/>
  <c r="J299" i="5"/>
  <c r="N298" i="5"/>
  <c r="M298" i="5"/>
  <c r="L298" i="5"/>
  <c r="J298" i="5"/>
  <c r="N297" i="5"/>
  <c r="M297" i="5"/>
  <c r="L297" i="5"/>
  <c r="J297" i="5"/>
  <c r="O293" i="5"/>
  <c r="N293" i="5"/>
  <c r="M293" i="5"/>
  <c r="L293" i="5"/>
  <c r="K293" i="5"/>
  <c r="J293" i="5"/>
  <c r="I293" i="5"/>
  <c r="F288" i="13"/>
  <c r="C288" i="5"/>
  <c r="F287" i="13"/>
  <c r="F301" i="13" s="1"/>
  <c r="C287" i="5"/>
  <c r="F286" i="13"/>
  <c r="F300" i="13" s="1"/>
  <c r="C286" i="5"/>
  <c r="F285" i="13"/>
  <c r="C285" i="5"/>
  <c r="F279" i="13"/>
  <c r="C279" i="5"/>
  <c r="F278" i="13"/>
  <c r="C278" i="5"/>
  <c r="F277" i="13"/>
  <c r="C277" i="5"/>
  <c r="F276" i="13"/>
  <c r="C276" i="5"/>
  <c r="F275" i="13"/>
  <c r="C275" i="5"/>
  <c r="F274" i="13"/>
  <c r="C274" i="5"/>
  <c r="F273" i="13"/>
  <c r="C273" i="5"/>
  <c r="F272" i="13"/>
  <c r="C272" i="5"/>
  <c r="F271" i="13"/>
  <c r="C271" i="5"/>
  <c r="F270" i="13"/>
  <c r="C270" i="5"/>
  <c r="F269" i="13"/>
  <c r="C269" i="5"/>
  <c r="C265" i="5"/>
  <c r="F264" i="13"/>
  <c r="C264" i="5"/>
  <c r="F263" i="13"/>
  <c r="C263" i="5"/>
  <c r="F262" i="13"/>
  <c r="C262" i="5"/>
  <c r="F261" i="13"/>
  <c r="C261" i="5"/>
  <c r="C260" i="5"/>
  <c r="F259" i="13"/>
  <c r="C259" i="5"/>
  <c r="F258" i="13"/>
  <c r="C258" i="5"/>
  <c r="F257" i="13"/>
  <c r="C257" i="5"/>
  <c r="F256" i="13"/>
  <c r="C256" i="5"/>
  <c r="F255" i="13"/>
  <c r="C255" i="5"/>
  <c r="F254" i="13"/>
  <c r="C254" i="5"/>
  <c r="C253" i="5"/>
  <c r="F252" i="13"/>
  <c r="C252" i="5"/>
  <c r="F251" i="13"/>
  <c r="C251" i="5"/>
  <c r="F250" i="13"/>
  <c r="C250" i="5"/>
  <c r="C249" i="5"/>
  <c r="F248" i="13"/>
  <c r="C248" i="5"/>
  <c r="C244" i="5"/>
  <c r="F243" i="13"/>
  <c r="C243" i="5"/>
  <c r="C242" i="5"/>
  <c r="F241" i="13"/>
  <c r="C241" i="5"/>
  <c r="F240" i="13"/>
  <c r="C240" i="5"/>
  <c r="F239" i="13"/>
  <c r="C239" i="5"/>
  <c r="C238" i="5"/>
  <c r="F237" i="13"/>
  <c r="C237" i="5"/>
  <c r="F236" i="13"/>
  <c r="C236" i="5"/>
  <c r="F232" i="13"/>
  <c r="C232" i="5"/>
  <c r="C231" i="5"/>
  <c r="C230" i="5"/>
  <c r="F229" i="13"/>
  <c r="C229" i="5"/>
  <c r="F228" i="13"/>
  <c r="C228" i="5"/>
  <c r="C227" i="5"/>
  <c r="C226" i="5"/>
  <c r="F225" i="13"/>
  <c r="C225" i="5"/>
  <c r="C224" i="5"/>
  <c r="C220" i="5"/>
  <c r="F219" i="13"/>
  <c r="C219" i="5"/>
  <c r="C218" i="5"/>
  <c r="C217" i="5"/>
  <c r="F216" i="13"/>
  <c r="C216" i="5"/>
  <c r="C215" i="5"/>
  <c r="C211" i="5"/>
  <c r="C210" i="5"/>
  <c r="C209" i="5"/>
  <c r="C208" i="5"/>
  <c r="F207" i="13"/>
  <c r="C207" i="5"/>
  <c r="F206" i="13"/>
  <c r="C206" i="5"/>
  <c r="F205" i="13"/>
  <c r="C205" i="5"/>
  <c r="C204" i="5"/>
  <c r="F200" i="13"/>
  <c r="C200" i="5"/>
  <c r="F199" i="13"/>
  <c r="C199" i="5"/>
  <c r="C198" i="5"/>
  <c r="C197" i="5"/>
  <c r="C196" i="5"/>
  <c r="C195" i="5"/>
  <c r="C194" i="5"/>
  <c r="C193" i="5"/>
  <c r="C192" i="5"/>
  <c r="C191" i="5"/>
  <c r="C190" i="5"/>
  <c r="C189" i="5"/>
  <c r="C188" i="5"/>
  <c r="C187" i="5"/>
  <c r="C186" i="5"/>
  <c r="C185" i="5"/>
  <c r="C184" i="5"/>
  <c r="C183" i="5"/>
  <c r="C182" i="5"/>
  <c r="C181" i="5"/>
  <c r="F179" i="13"/>
  <c r="C179" i="5"/>
  <c r="F177" i="13"/>
  <c r="C177" i="5"/>
  <c r="F176" i="13"/>
  <c r="C176" i="5"/>
  <c r="F175" i="13"/>
  <c r="C175" i="5"/>
  <c r="F174" i="13"/>
  <c r="C174" i="5"/>
  <c r="F173" i="13"/>
  <c r="C173" i="5"/>
  <c r="F172" i="13"/>
  <c r="C172" i="5"/>
  <c r="F171" i="13"/>
  <c r="C171" i="5"/>
  <c r="C169" i="5"/>
  <c r="F167" i="13"/>
  <c r="C167" i="5"/>
  <c r="F166" i="13"/>
  <c r="C166" i="5"/>
  <c r="F165" i="13"/>
  <c r="C165" i="5"/>
  <c r="F164" i="13"/>
  <c r="C164" i="5"/>
  <c r="C163" i="5"/>
  <c r="C162" i="5"/>
  <c r="F161" i="13"/>
  <c r="C161" i="5"/>
  <c r="F160" i="13"/>
  <c r="C160" i="5"/>
  <c r="F159" i="13"/>
  <c r="C159" i="5"/>
  <c r="F158" i="13"/>
  <c r="C158" i="5"/>
  <c r="F157" i="13"/>
  <c r="C157" i="5"/>
  <c r="F152" i="13"/>
  <c r="C152" i="5"/>
  <c r="F151" i="13"/>
  <c r="C151" i="5"/>
  <c r="C150" i="5"/>
  <c r="C149" i="5"/>
  <c r="C148" i="5"/>
  <c r="C147" i="5"/>
  <c r="C146" i="5"/>
  <c r="C145" i="5"/>
  <c r="C144" i="5"/>
  <c r="C143" i="5"/>
  <c r="C142" i="5"/>
  <c r="M315" i="5"/>
  <c r="C141" i="5"/>
  <c r="C140" i="5"/>
  <c r="C139" i="5"/>
  <c r="C138" i="5"/>
  <c r="C137" i="5"/>
  <c r="C136" i="5"/>
  <c r="C135" i="5"/>
  <c r="F133" i="13"/>
  <c r="C133" i="5"/>
  <c r="F132" i="13"/>
  <c r="C132" i="5"/>
  <c r="F130" i="13"/>
  <c r="C130" i="5"/>
  <c r="F129" i="13"/>
  <c r="C129" i="5"/>
  <c r="F128" i="13"/>
  <c r="C128" i="5"/>
  <c r="F126" i="13"/>
  <c r="C126" i="5"/>
  <c r="F125" i="13"/>
  <c r="C125" i="5"/>
  <c r="F124" i="13"/>
  <c r="C124" i="5"/>
  <c r="F123" i="13"/>
  <c r="C123" i="5"/>
  <c r="F122" i="13"/>
  <c r="C122" i="5"/>
  <c r="F121" i="13"/>
  <c r="C121" i="5"/>
  <c r="C119" i="5"/>
  <c r="C118" i="5"/>
  <c r="F117" i="13"/>
  <c r="C117" i="5"/>
  <c r="F116" i="13"/>
  <c r="C116" i="5"/>
  <c r="F115" i="13"/>
  <c r="C115" i="5"/>
  <c r="F114" i="13"/>
  <c r="C114" i="5"/>
  <c r="F113" i="13"/>
  <c r="C113" i="5"/>
  <c r="F112" i="13"/>
  <c r="C112" i="5"/>
  <c r="F111" i="13"/>
  <c r="C111" i="5"/>
  <c r="F110" i="13"/>
  <c r="C110" i="5"/>
  <c r="F109" i="13"/>
  <c r="C109" i="5"/>
  <c r="F108" i="13"/>
  <c r="C108" i="5"/>
  <c r="F107" i="13"/>
  <c r="C107" i="5"/>
  <c r="F106" i="13"/>
  <c r="C106" i="5"/>
  <c r="F105" i="13"/>
  <c r="C105" i="5"/>
  <c r="F104" i="13"/>
  <c r="C104" i="5"/>
  <c r="F103" i="13"/>
  <c r="C103" i="5"/>
  <c r="F102" i="13"/>
  <c r="C102" i="5"/>
  <c r="C101" i="5"/>
  <c r="F99" i="13"/>
  <c r="C99" i="5"/>
  <c r="F98" i="13"/>
  <c r="C98" i="5"/>
  <c r="F96" i="13"/>
  <c r="C96" i="5"/>
  <c r="F95" i="13"/>
  <c r="C95" i="5"/>
  <c r="F94" i="13"/>
  <c r="C94" i="5"/>
  <c r="F88" i="13"/>
  <c r="C88" i="5"/>
  <c r="F87" i="13"/>
  <c r="C87" i="5"/>
  <c r="F86" i="13"/>
  <c r="C86" i="5"/>
  <c r="L312" i="5"/>
  <c r="C82" i="5"/>
  <c r="F81" i="13"/>
  <c r="L311" i="5"/>
  <c r="C81" i="5"/>
  <c r="F80" i="13"/>
  <c r="C80" i="5"/>
  <c r="F79" i="13"/>
  <c r="C79" i="5"/>
  <c r="F78" i="13"/>
  <c r="C78" i="5"/>
  <c r="F77" i="13"/>
  <c r="C77" i="5"/>
  <c r="F76" i="13"/>
  <c r="C76" i="5"/>
  <c r="C75" i="5"/>
  <c r="C74" i="5"/>
  <c r="K297" i="5"/>
  <c r="C73" i="5"/>
  <c r="F72" i="13"/>
  <c r="C72" i="5"/>
  <c r="C8" i="5"/>
  <c r="C71" i="5"/>
  <c r="C70" i="5"/>
  <c r="C69" i="5"/>
  <c r="C68" i="5"/>
  <c r="F60" i="13"/>
  <c r="F59" i="13"/>
  <c r="F58" i="13"/>
  <c r="F57" i="13"/>
  <c r="F56" i="13"/>
  <c r="F55" i="13"/>
  <c r="F54" i="13"/>
  <c r="F53" i="13"/>
  <c r="F52" i="13"/>
  <c r="F51" i="13"/>
  <c r="F50" i="13"/>
  <c r="F49" i="13"/>
  <c r="F48" i="13"/>
  <c r="F47" i="13"/>
  <c r="F46" i="13"/>
  <c r="F45" i="13"/>
  <c r="F44" i="13"/>
  <c r="F43" i="13"/>
  <c r="F42" i="13"/>
  <c r="F41" i="13"/>
  <c r="F40" i="13"/>
  <c r="F39" i="13"/>
  <c r="F35" i="13"/>
  <c r="F34" i="13"/>
  <c r="F32" i="13"/>
  <c r="F31" i="13"/>
  <c r="F30" i="13"/>
  <c r="F24" i="13"/>
  <c r="F23" i="13"/>
  <c r="F22" i="13"/>
  <c r="J3" i="5"/>
  <c r="C68" i="1"/>
  <c r="C69" i="1"/>
  <c r="C70" i="1"/>
  <c r="C71" i="1"/>
  <c r="C72" i="1"/>
  <c r="C73" i="1"/>
  <c r="C74" i="1"/>
  <c r="C75" i="1"/>
  <c r="C76" i="1"/>
  <c r="C77" i="1"/>
  <c r="C78" i="1"/>
  <c r="C79" i="1"/>
  <c r="C80" i="1"/>
  <c r="C81" i="1"/>
  <c r="C82" i="1"/>
  <c r="C86" i="1"/>
  <c r="C87" i="1"/>
  <c r="C88" i="1"/>
  <c r="C94" i="1"/>
  <c r="C95" i="1"/>
  <c r="C96" i="1"/>
  <c r="C98" i="1"/>
  <c r="C99" i="1"/>
  <c r="C101" i="1"/>
  <c r="C102" i="1"/>
  <c r="C103" i="1"/>
  <c r="C104" i="1"/>
  <c r="C105" i="1"/>
  <c r="C106" i="1"/>
  <c r="C107" i="1"/>
  <c r="C108" i="1"/>
  <c r="C109" i="1"/>
  <c r="C110" i="1"/>
  <c r="C111" i="1"/>
  <c r="C112" i="1"/>
  <c r="C113" i="1"/>
  <c r="C114" i="1"/>
  <c r="C115" i="1"/>
  <c r="C116" i="1"/>
  <c r="C117" i="1"/>
  <c r="C118" i="1"/>
  <c r="C119" i="1"/>
  <c r="C121" i="1"/>
  <c r="C122" i="1"/>
  <c r="C123" i="1"/>
  <c r="C124" i="1"/>
  <c r="C125" i="1"/>
  <c r="C126" i="1"/>
  <c r="C128" i="1"/>
  <c r="C129" i="1"/>
  <c r="C130" i="1"/>
  <c r="C132" i="1"/>
  <c r="C133" i="1"/>
  <c r="C135" i="1"/>
  <c r="C136" i="1"/>
  <c r="C137" i="1"/>
  <c r="C138" i="1"/>
  <c r="C139" i="1"/>
  <c r="C140" i="1"/>
  <c r="C141" i="1"/>
  <c r="C142" i="1"/>
  <c r="C143" i="1"/>
  <c r="C144" i="1"/>
  <c r="C145" i="1"/>
  <c r="C146" i="1"/>
  <c r="C147" i="1"/>
  <c r="C148" i="1"/>
  <c r="C149" i="1"/>
  <c r="C150" i="1"/>
  <c r="C151" i="1"/>
  <c r="C152" i="1"/>
  <c r="C157" i="1"/>
  <c r="C158" i="1"/>
  <c r="C159" i="1"/>
  <c r="C160" i="1"/>
  <c r="C161" i="1"/>
  <c r="C162" i="1"/>
  <c r="C163" i="1"/>
  <c r="C164" i="1"/>
  <c r="C165" i="1"/>
  <c r="C166" i="1"/>
  <c r="C167" i="1"/>
  <c r="C169" i="1"/>
  <c r="C171" i="1"/>
  <c r="C172" i="1"/>
  <c r="C173" i="1"/>
  <c r="C174" i="1"/>
  <c r="C175" i="1"/>
  <c r="C176" i="1"/>
  <c r="C177" i="1"/>
  <c r="C179" i="1"/>
  <c r="C181" i="1"/>
  <c r="C182" i="1"/>
  <c r="C183" i="1"/>
  <c r="C184" i="1"/>
  <c r="C185" i="1"/>
  <c r="C186" i="1"/>
  <c r="C187" i="1"/>
  <c r="C188" i="1"/>
  <c r="C189" i="1"/>
  <c r="C190" i="1"/>
  <c r="C191" i="1"/>
  <c r="C192" i="1"/>
  <c r="C193" i="1"/>
  <c r="C194" i="1"/>
  <c r="C195" i="1"/>
  <c r="C196" i="1"/>
  <c r="C197" i="1"/>
  <c r="C198" i="1"/>
  <c r="C199" i="1"/>
  <c r="C200" i="1"/>
  <c r="C204" i="1"/>
  <c r="C205" i="1"/>
  <c r="C206" i="1"/>
  <c r="C207" i="1"/>
  <c r="C208" i="1"/>
  <c r="C209" i="1"/>
  <c r="C210" i="1"/>
  <c r="C211" i="1"/>
  <c r="C215" i="1"/>
  <c r="C216" i="1"/>
  <c r="C217" i="1"/>
  <c r="C218" i="1"/>
  <c r="C219" i="1"/>
  <c r="C220" i="1"/>
  <c r="C224" i="1"/>
  <c r="C225" i="1"/>
  <c r="C226" i="1"/>
  <c r="C227" i="1"/>
  <c r="C228" i="1"/>
  <c r="C229" i="1"/>
  <c r="C230" i="1"/>
  <c r="C231" i="1"/>
  <c r="C232" i="1"/>
  <c r="C236" i="1"/>
  <c r="C237" i="1"/>
  <c r="C238" i="1"/>
  <c r="C239" i="1"/>
  <c r="C240" i="1"/>
  <c r="C241" i="1"/>
  <c r="C242" i="1"/>
  <c r="C243" i="1"/>
  <c r="C244" i="1"/>
  <c r="C248" i="1"/>
  <c r="C249" i="1"/>
  <c r="C250" i="1"/>
  <c r="C251" i="1"/>
  <c r="C252" i="1"/>
  <c r="C253" i="1"/>
  <c r="C254" i="1"/>
  <c r="C255" i="1"/>
  <c r="C256" i="1"/>
  <c r="C257" i="1"/>
  <c r="C258" i="1"/>
  <c r="C259" i="1"/>
  <c r="C260" i="1"/>
  <c r="C261" i="1"/>
  <c r="C262" i="1"/>
  <c r="C263" i="1"/>
  <c r="C264" i="1"/>
  <c r="C265" i="1"/>
  <c r="C269" i="1"/>
  <c r="C270" i="1"/>
  <c r="C271" i="1"/>
  <c r="C272" i="1"/>
  <c r="C273" i="1"/>
  <c r="C274" i="1"/>
  <c r="C275" i="1"/>
  <c r="C276" i="1"/>
  <c r="C277" i="1"/>
  <c r="C278" i="1"/>
  <c r="C279" i="1"/>
  <c r="C285" i="1"/>
  <c r="C286" i="1"/>
  <c r="C287" i="1"/>
  <c r="C288" i="1"/>
  <c r="F89" i="13" l="1"/>
  <c r="F69" i="13"/>
  <c r="K299" i="7"/>
  <c r="O299" i="7" s="1"/>
  <c r="G74" i="13"/>
  <c r="K298" i="7"/>
  <c r="O298" i="7" s="1"/>
  <c r="F280" i="13"/>
  <c r="G163" i="13"/>
  <c r="K297" i="7"/>
  <c r="G73" i="13"/>
  <c r="F28" i="13"/>
  <c r="F36" i="13" s="1"/>
  <c r="F63" i="13" s="1"/>
  <c r="H21" i="13"/>
  <c r="F289" i="13"/>
  <c r="F299" i="13"/>
  <c r="F303" i="13" s="1"/>
  <c r="H22" i="13"/>
  <c r="G69" i="13"/>
  <c r="C7" i="7"/>
  <c r="E7" i="7" s="1"/>
  <c r="F61" i="13"/>
  <c r="F64" i="13" s="1"/>
  <c r="N315" i="5"/>
  <c r="N320" i="5" s="1"/>
  <c r="O318" i="5"/>
  <c r="H24" i="13"/>
  <c r="H23" i="13"/>
  <c r="G71" i="13"/>
  <c r="C8" i="7"/>
  <c r="E8" i="7" s="1"/>
  <c r="K301" i="5"/>
  <c r="O301" i="5" s="1"/>
  <c r="F194" i="13"/>
  <c r="F136" i="13"/>
  <c r="F137" i="13"/>
  <c r="F143" i="13"/>
  <c r="F145" i="13"/>
  <c r="F186" i="13"/>
  <c r="E12" i="5"/>
  <c r="E13" i="5"/>
  <c r="F68" i="13"/>
  <c r="J315" i="5"/>
  <c r="F141" i="13"/>
  <c r="O3" i="5"/>
  <c r="J302" i="5"/>
  <c r="J307" i="5" s="1"/>
  <c r="F139" i="13"/>
  <c r="F191" i="13"/>
  <c r="F149" i="13"/>
  <c r="F71" i="13"/>
  <c r="F73" i="13"/>
  <c r="F150" i="13"/>
  <c r="F70" i="13"/>
  <c r="F138" i="13"/>
  <c r="O297" i="5"/>
  <c r="O2" i="5"/>
  <c r="F2" i="13" s="1"/>
  <c r="F140" i="13"/>
  <c r="F187" i="13"/>
  <c r="F119" i="13"/>
  <c r="L314" i="5"/>
  <c r="O314" i="5" s="1"/>
  <c r="F204" i="13"/>
  <c r="K315" i="5"/>
  <c r="K320" i="5" s="1"/>
  <c r="O311" i="5"/>
  <c r="F82" i="13"/>
  <c r="F101" i="13"/>
  <c r="F147" i="13"/>
  <c r="L302" i="5"/>
  <c r="L307" i="5" s="1"/>
  <c r="M302" i="5"/>
  <c r="M307" i="5" s="1"/>
  <c r="F185" i="13"/>
  <c r="N302" i="5"/>
  <c r="N307" i="5" s="1"/>
  <c r="F193" i="13"/>
  <c r="F209" i="13"/>
  <c r="F184" i="13"/>
  <c r="F196" i="13"/>
  <c r="F188" i="13"/>
  <c r="F169" i="13"/>
  <c r="F192" i="13"/>
  <c r="F224" i="13"/>
  <c r="O312" i="5"/>
  <c r="F249" i="13"/>
  <c r="M320" i="5"/>
  <c r="O317" i="5"/>
  <c r="G75" i="13" l="1"/>
  <c r="H75" i="13"/>
  <c r="K299" i="8"/>
  <c r="O299" i="8" s="1"/>
  <c r="C11" i="7"/>
  <c r="K298" i="8"/>
  <c r="O298" i="8" s="1"/>
  <c r="H74" i="13"/>
  <c r="H71" i="13"/>
  <c r="C8" i="8"/>
  <c r="E8" i="8" s="1"/>
  <c r="K303" i="7"/>
  <c r="O303" i="7" s="1"/>
  <c r="I24" i="13"/>
  <c r="G211" i="13"/>
  <c r="G212" i="13" s="1"/>
  <c r="K297" i="8"/>
  <c r="H73" i="13"/>
  <c r="C14" i="7"/>
  <c r="E14" i="7" s="1"/>
  <c r="I21" i="13"/>
  <c r="O297" i="7"/>
  <c r="H163" i="13"/>
  <c r="F65" i="13"/>
  <c r="D6" i="7"/>
  <c r="G182" i="13"/>
  <c r="I22" i="13"/>
  <c r="G190" i="13"/>
  <c r="H70" i="13"/>
  <c r="C7" i="8"/>
  <c r="E7" i="8" s="1"/>
  <c r="G70" i="13"/>
  <c r="I23" i="13"/>
  <c r="F230" i="13"/>
  <c r="F238" i="13"/>
  <c r="F227" i="13"/>
  <c r="F244" i="13"/>
  <c r="F218" i="13"/>
  <c r="F217" i="13"/>
  <c r="F265" i="13"/>
  <c r="M265" i="13" s="1"/>
  <c r="F231" i="13"/>
  <c r="F144" i="13"/>
  <c r="F198" i="13"/>
  <c r="F220" i="13"/>
  <c r="F146" i="13"/>
  <c r="F163" i="13"/>
  <c r="F242" i="13"/>
  <c r="F215" i="13"/>
  <c r="F210" i="13"/>
  <c r="K302" i="5"/>
  <c r="O302" i="5" s="1"/>
  <c r="C15" i="5"/>
  <c r="F226" i="13"/>
  <c r="F183" i="13"/>
  <c r="F208" i="13"/>
  <c r="L315" i="5"/>
  <c r="L320" i="5" s="1"/>
  <c r="F195" i="13"/>
  <c r="F253" i="13"/>
  <c r="F148" i="13"/>
  <c r="F197" i="13"/>
  <c r="F260" i="13"/>
  <c r="J320" i="5"/>
  <c r="G83" i="13" l="1"/>
  <c r="F221" i="13"/>
  <c r="F266" i="13"/>
  <c r="F245" i="13"/>
  <c r="F233" i="13"/>
  <c r="K307" i="7"/>
  <c r="O307" i="7"/>
  <c r="K303" i="8"/>
  <c r="O303" i="8" s="1"/>
  <c r="H69" i="13"/>
  <c r="H83" i="13" s="1"/>
  <c r="F118" i="13"/>
  <c r="F134" i="13" s="1"/>
  <c r="I70" i="13"/>
  <c r="C7" i="9"/>
  <c r="E7" i="9" s="1"/>
  <c r="H211" i="13"/>
  <c r="H212" i="13" s="1"/>
  <c r="I71" i="13"/>
  <c r="C8" i="9"/>
  <c r="E8" i="9" s="1"/>
  <c r="C6" i="7"/>
  <c r="C17" i="7" s="1"/>
  <c r="J23" i="13"/>
  <c r="C14" i="8"/>
  <c r="E14" i="8" s="1"/>
  <c r="J24" i="13"/>
  <c r="F162" i="13"/>
  <c r="F180" i="13" s="1"/>
  <c r="G162" i="13"/>
  <c r="G180" i="13" s="1"/>
  <c r="K298" i="9"/>
  <c r="O298" i="9" s="1"/>
  <c r="I74" i="13"/>
  <c r="H182" i="13"/>
  <c r="H190" i="13"/>
  <c r="D6" i="8"/>
  <c r="K297" i="9"/>
  <c r="I73" i="13"/>
  <c r="C11" i="8"/>
  <c r="D11" i="7"/>
  <c r="E11" i="7" s="1"/>
  <c r="I163" i="13"/>
  <c r="K299" i="9"/>
  <c r="O299" i="9" s="1"/>
  <c r="F189" i="13"/>
  <c r="G189" i="13"/>
  <c r="J22" i="13"/>
  <c r="J21" i="13"/>
  <c r="O297" i="8"/>
  <c r="D7" i="5"/>
  <c r="E7" i="5" s="1"/>
  <c r="D9" i="5"/>
  <c r="E9" i="5" s="1"/>
  <c r="O315" i="5"/>
  <c r="O320" i="5" s="1"/>
  <c r="D8" i="5"/>
  <c r="E8" i="5" s="1"/>
  <c r="D10" i="5"/>
  <c r="E10" i="5" s="1"/>
  <c r="C5" i="5"/>
  <c r="C17" i="5" s="1"/>
  <c r="F182" i="13"/>
  <c r="F190" i="13"/>
  <c r="D14" i="5"/>
  <c r="E14" i="5" s="1"/>
  <c r="F142" i="13"/>
  <c r="F135" i="13"/>
  <c r="K304" i="5"/>
  <c r="O304" i="5" s="1"/>
  <c r="I75" i="13" l="1"/>
  <c r="F153" i="13"/>
  <c r="F181" i="13"/>
  <c r="F201" i="13" s="1"/>
  <c r="K307" i="8"/>
  <c r="O307" i="8"/>
  <c r="C6" i="8"/>
  <c r="O297" i="9"/>
  <c r="H189" i="13"/>
  <c r="J163" i="13"/>
  <c r="J73" i="13"/>
  <c r="K297" i="11"/>
  <c r="C18" i="7"/>
  <c r="I182" i="13"/>
  <c r="G181" i="13"/>
  <c r="G201" i="13" s="1"/>
  <c r="G282" i="13" s="1"/>
  <c r="K299" i="11"/>
  <c r="O299" i="11" s="1"/>
  <c r="K298" i="11"/>
  <c r="O298" i="11" s="1"/>
  <c r="J74" i="13"/>
  <c r="C14" i="9"/>
  <c r="E14" i="9" s="1"/>
  <c r="I69" i="13"/>
  <c r="D11" i="8"/>
  <c r="E11" i="8" s="1"/>
  <c r="J71" i="13"/>
  <c r="C8" i="11"/>
  <c r="E8" i="11" s="1"/>
  <c r="J69" i="13"/>
  <c r="K303" i="9"/>
  <c r="O303" i="9" s="1"/>
  <c r="D5" i="7"/>
  <c r="C11" i="9"/>
  <c r="I190" i="13"/>
  <c r="I211" i="13"/>
  <c r="I212" i="13" s="1"/>
  <c r="H162" i="13"/>
  <c r="H180" i="13" s="1"/>
  <c r="C7" i="11"/>
  <c r="E7" i="11" s="1"/>
  <c r="E6" i="7"/>
  <c r="D6" i="5"/>
  <c r="E6" i="5" s="1"/>
  <c r="D11" i="5"/>
  <c r="E11" i="5" s="1"/>
  <c r="D15" i="5"/>
  <c r="E15" i="5" s="1"/>
  <c r="C18" i="5"/>
  <c r="J75" i="13" l="1"/>
  <c r="I83" i="13"/>
  <c r="J182" i="13"/>
  <c r="C11" i="11"/>
  <c r="D17" i="7"/>
  <c r="D18" i="7" s="1"/>
  <c r="E5" i="7"/>
  <c r="E17" i="7" s="1"/>
  <c r="E18" i="7" s="1"/>
  <c r="I189" i="13"/>
  <c r="D11" i="9"/>
  <c r="E11" i="9" s="1"/>
  <c r="C6" i="9"/>
  <c r="O297" i="11"/>
  <c r="K307" i="9"/>
  <c r="C14" i="11"/>
  <c r="E14" i="11" s="1"/>
  <c r="O307" i="9"/>
  <c r="I162" i="13"/>
  <c r="I180" i="13" s="1"/>
  <c r="E6" i="8"/>
  <c r="C17" i="8"/>
  <c r="C18" i="8" s="1"/>
  <c r="J70" i="13"/>
  <c r="J83" i="13" s="1"/>
  <c r="K303" i="11"/>
  <c r="O303" i="11" s="1"/>
  <c r="G297" i="13"/>
  <c r="G304" i="13" s="1"/>
  <c r="G291" i="13"/>
  <c r="J211" i="13"/>
  <c r="J212" i="13" s="1"/>
  <c r="D6" i="9"/>
  <c r="J190" i="13"/>
  <c r="D6" i="11"/>
  <c r="H181" i="13"/>
  <c r="H201" i="13" s="1"/>
  <c r="H282" i="13" s="1"/>
  <c r="D5" i="5"/>
  <c r="D17" i="5" s="1"/>
  <c r="G295" i="13" l="1"/>
  <c r="G309" i="13"/>
  <c r="K307" i="11"/>
  <c r="D5" i="8"/>
  <c r="O307" i="11"/>
  <c r="H297" i="13"/>
  <c r="H304" i="13" s="1"/>
  <c r="H291" i="13"/>
  <c r="J189" i="13"/>
  <c r="E6" i="9"/>
  <c r="C17" i="9"/>
  <c r="C18" i="9" s="1"/>
  <c r="J162" i="13"/>
  <c r="J180" i="13" s="1"/>
  <c r="D5" i="9"/>
  <c r="C6" i="11"/>
  <c r="I181" i="13"/>
  <c r="I201" i="13" s="1"/>
  <c r="I282" i="13" s="1"/>
  <c r="D17" i="8"/>
  <c r="D18" i="8" s="1"/>
  <c r="E5" i="8"/>
  <c r="E17" i="8" s="1"/>
  <c r="E18" i="8" s="1"/>
  <c r="D11" i="11"/>
  <c r="E11" i="11" s="1"/>
  <c r="E5" i="5"/>
  <c r="E17" i="5" s="1"/>
  <c r="H295" i="13" l="1"/>
  <c r="H309" i="13"/>
  <c r="J181" i="13"/>
  <c r="J201" i="13" s="1"/>
  <c r="J282" i="13" s="1"/>
  <c r="D17" i="9"/>
  <c r="D18" i="9" s="1"/>
  <c r="E5" i="9"/>
  <c r="E17" i="9" s="1"/>
  <c r="E18" i="9" s="1"/>
  <c r="D5" i="11"/>
  <c r="C17" i="11"/>
  <c r="C18" i="11" s="1"/>
  <c r="E6" i="11"/>
  <c r="I297" i="13"/>
  <c r="I304" i="13" s="1"/>
  <c r="I291" i="13"/>
  <c r="E18" i="5"/>
  <c r="D18" i="5"/>
  <c r="I295" i="13" l="1"/>
  <c r="I309" i="13"/>
  <c r="E5" i="11"/>
  <c r="D17" i="11"/>
  <c r="E17" i="11"/>
  <c r="E18" i="11" s="1"/>
  <c r="J297" i="13"/>
  <c r="J304" i="13" s="1"/>
  <c r="J291" i="13"/>
  <c r="C3" i="2"/>
  <c r="C4" i="2"/>
  <c r="E4" i="2"/>
  <c r="F4" i="2" s="1"/>
  <c r="C5" i="2"/>
  <c r="E5" i="2"/>
  <c r="F5" i="2" s="1"/>
  <c r="C6" i="2"/>
  <c r="E6" i="2"/>
  <c r="F6" i="2" s="1"/>
  <c r="C7" i="2"/>
  <c r="E7" i="2"/>
  <c r="F7" i="2" s="1"/>
  <c r="C8" i="2"/>
  <c r="E8" i="2"/>
  <c r="F8" i="2" s="1"/>
  <c r="D9" i="2"/>
  <c r="E9" i="2"/>
  <c r="F9" i="2" s="1"/>
  <c r="D10" i="2"/>
  <c r="E10" i="2" s="1"/>
  <c r="F10" i="2" s="1"/>
  <c r="D11" i="2"/>
  <c r="E12" i="2" s="1"/>
  <c r="F12" i="2" s="1"/>
  <c r="E11" i="2"/>
  <c r="F11" i="2" s="1"/>
  <c r="D12" i="2"/>
  <c r="D13" i="2"/>
  <c r="E13" i="2"/>
  <c r="F13" i="2" s="1"/>
  <c r="D14" i="2"/>
  <c r="E14" i="2" s="1"/>
  <c r="F14" i="2" s="1"/>
  <c r="D15" i="2"/>
  <c r="E16" i="2" s="1"/>
  <c r="F16" i="2" s="1"/>
  <c r="E15" i="2"/>
  <c r="F15" i="2" s="1"/>
  <c r="D16" i="2"/>
  <c r="D17" i="2"/>
  <c r="E17" i="2"/>
  <c r="F17" i="2" s="1"/>
  <c r="D18" i="2"/>
  <c r="E18" i="2" s="1"/>
  <c r="F18" i="2" s="1"/>
  <c r="E12" i="1"/>
  <c r="J295" i="13" l="1"/>
  <c r="J309" i="13"/>
  <c r="D18" i="11"/>
  <c r="E13" i="1"/>
  <c r="E9" i="1" l="1"/>
  <c r="E8" i="1"/>
  <c r="E7" i="1"/>
  <c r="E15" i="1" l="1"/>
  <c r="E10" i="1"/>
  <c r="E6" i="1"/>
  <c r="E14" i="1"/>
  <c r="E11" i="1" l="1"/>
  <c r="D17" i="1" l="1"/>
  <c r="C17" i="1"/>
  <c r="C18" i="1" s="1"/>
  <c r="E5" i="1" l="1"/>
  <c r="E17" i="1" s="1"/>
  <c r="D18" i="1" l="1"/>
  <c r="E18" i="1"/>
  <c r="K299" i="5" l="1"/>
  <c r="O299" i="5" s="1"/>
  <c r="O212" i="5"/>
  <c r="O282" i="5" s="1"/>
  <c r="K212" i="5"/>
  <c r="K303" i="5" s="1"/>
  <c r="O303" i="5" s="1"/>
  <c r="K211" i="5"/>
  <c r="O211" i="5"/>
  <c r="F211" i="13" s="1"/>
  <c r="F212" i="13" s="1"/>
  <c r="F282" i="13" s="1"/>
  <c r="O21" i="5"/>
  <c r="F21" i="13" s="1"/>
  <c r="K75" i="5"/>
  <c r="O75" i="5" s="1"/>
  <c r="F75" i="13" s="1"/>
  <c r="K74" i="5"/>
  <c r="K298" i="5" s="1"/>
  <c r="K282" i="5" l="1"/>
  <c r="K307" i="5"/>
  <c r="O298" i="5"/>
  <c r="O307" i="5" s="1"/>
  <c r="K83" i="5"/>
  <c r="K291" i="5" s="1"/>
  <c r="O74" i="5"/>
  <c r="F74" i="13" l="1"/>
  <c r="F83" i="13" s="1"/>
  <c r="O83" i="5"/>
  <c r="O291" i="5" s="1"/>
  <c r="F297" i="13" l="1"/>
  <c r="F304" i="13" s="1"/>
  <c r="F291" i="13"/>
  <c r="F295" i="13" l="1"/>
  <c r="F309" i="13"/>
  <c r="F310" i="13" s="1"/>
  <c r="G307" i="13" l="1"/>
  <c r="G310" i="13" s="1"/>
  <c r="F311" i="13"/>
  <c r="H307" i="13" l="1"/>
  <c r="H310" i="13" s="1"/>
  <c r="G311" i="13"/>
  <c r="H311" i="13" l="1"/>
  <c r="I307" i="13"/>
  <c r="I310" i="13" s="1"/>
  <c r="J307" i="13" l="1"/>
  <c r="J310" i="13" s="1"/>
  <c r="J311" i="13" s="1"/>
  <c r="I3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Padron</author>
  </authors>
  <commentList>
    <comment ref="B1" authorId="0" shapeId="0" xr:uid="{3E48BA2B-3652-429D-B063-644B15EF91B8}">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C1" authorId="0" shapeId="0" xr:uid="{5F5165B6-428E-47F1-8FFE-EC53765BFE17}">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B2" authorId="0" shapeId="0" xr:uid="{FAC63D2A-852F-42C5-9901-6260E09F7E4F}">
      <text>
        <r>
          <rPr>
            <b/>
            <sz val="9"/>
            <color indexed="81"/>
            <rFont val="Tahoma"/>
            <family val="2"/>
          </rPr>
          <t>Matt Padron:</t>
        </r>
        <r>
          <rPr>
            <sz val="9"/>
            <color indexed="81"/>
            <rFont val="Tahoma"/>
            <family val="2"/>
          </rPr>
          <t xml:space="preserve">
NEED TO CREATE</t>
        </r>
      </text>
    </comment>
    <comment ref="C2" authorId="0" shapeId="0" xr:uid="{205DD14F-F212-420B-B4F2-A2A66EB63158}">
      <text>
        <r>
          <rPr>
            <b/>
            <sz val="9"/>
            <color indexed="81"/>
            <rFont val="Tahoma"/>
            <family val="2"/>
          </rPr>
          <t>Matt Padron:</t>
        </r>
        <r>
          <rPr>
            <sz val="9"/>
            <color indexed="81"/>
            <rFont val="Tahoma"/>
            <family val="2"/>
          </rPr>
          <t xml:space="preserve">
NEED TO CREATE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Padron</author>
  </authors>
  <commentList>
    <comment ref="B1" authorId="0" shapeId="0" xr:uid="{FD728707-DCB3-448E-8B86-EC0D8174BCDD}">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C1" authorId="0" shapeId="0" xr:uid="{D32937EE-FE25-47B4-8157-0FF7919C9C08}">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B2" authorId="0" shapeId="0" xr:uid="{CD379A6B-B11E-4B7A-ADEC-C35A4C3EDAB3}">
      <text>
        <r>
          <rPr>
            <b/>
            <sz val="9"/>
            <color indexed="81"/>
            <rFont val="Tahoma"/>
            <family val="2"/>
          </rPr>
          <t>Matt Padron:</t>
        </r>
        <r>
          <rPr>
            <sz val="9"/>
            <color indexed="81"/>
            <rFont val="Tahoma"/>
            <family val="2"/>
          </rPr>
          <t xml:space="preserve">
NEED TO CREATE</t>
        </r>
      </text>
    </comment>
    <comment ref="C2" authorId="0" shapeId="0" xr:uid="{07B31DFD-79DD-4DE5-803F-D654887D5969}">
      <text>
        <r>
          <rPr>
            <b/>
            <sz val="9"/>
            <color indexed="81"/>
            <rFont val="Tahoma"/>
            <family val="2"/>
          </rPr>
          <t>Matt Padron:</t>
        </r>
        <r>
          <rPr>
            <sz val="9"/>
            <color indexed="81"/>
            <rFont val="Tahoma"/>
            <family val="2"/>
          </rPr>
          <t xml:space="preserve">
NEED TO CREATE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Matt Padron</author>
  </authors>
  <commentList>
    <comment ref="B1" authorId="0" shapeId="0" xr:uid="{0422F8E0-5E1C-4D2E-B019-CAB9B5DB7FAC}">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C1" authorId="0" shapeId="0" xr:uid="{7FD4A73B-5B86-4D85-B6D4-DC7C0BD4E922}">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B2" authorId="0" shapeId="0" xr:uid="{F2AAD6A9-8173-448A-9380-8C85CD41D85D}">
      <text>
        <r>
          <rPr>
            <b/>
            <sz val="9"/>
            <color indexed="81"/>
            <rFont val="Tahoma"/>
            <family val="2"/>
          </rPr>
          <t>Matt Padron:</t>
        </r>
        <r>
          <rPr>
            <sz val="9"/>
            <color indexed="81"/>
            <rFont val="Tahoma"/>
            <family val="2"/>
          </rPr>
          <t xml:space="preserve">
NEED TO CREATE</t>
        </r>
      </text>
    </comment>
    <comment ref="C2" authorId="0" shapeId="0" xr:uid="{E3C9B596-1FAB-4A8F-9E30-6B1B8490F98A}">
      <text>
        <r>
          <rPr>
            <b/>
            <sz val="9"/>
            <color indexed="81"/>
            <rFont val="Tahoma"/>
            <family val="2"/>
          </rPr>
          <t>Matt Padron:</t>
        </r>
        <r>
          <rPr>
            <sz val="9"/>
            <color indexed="81"/>
            <rFont val="Tahoma"/>
            <family val="2"/>
          </rPr>
          <t xml:space="preserve">
NEED TO CREATE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Matt Padron</author>
  </authors>
  <commentList>
    <comment ref="B1" authorId="0" shapeId="0" xr:uid="{C5E4F6D9-070F-44D2-84D1-F732DF33C9DC}">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C1" authorId="0" shapeId="0" xr:uid="{06545FB4-B06C-4032-9EB5-8AF92EACE38D}">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B2" authorId="0" shapeId="0" xr:uid="{654F0C96-C215-40E2-9510-6AF59440D23B}">
      <text>
        <r>
          <rPr>
            <b/>
            <sz val="9"/>
            <color indexed="81"/>
            <rFont val="Tahoma"/>
            <family val="2"/>
          </rPr>
          <t>Matt Padron:</t>
        </r>
        <r>
          <rPr>
            <sz val="9"/>
            <color indexed="81"/>
            <rFont val="Tahoma"/>
            <family val="2"/>
          </rPr>
          <t xml:space="preserve">
NEED TO CREATE</t>
        </r>
      </text>
    </comment>
    <comment ref="C2" authorId="0" shapeId="0" xr:uid="{179BE334-3523-4BA8-9742-56D9163486FC}">
      <text>
        <r>
          <rPr>
            <b/>
            <sz val="9"/>
            <color indexed="81"/>
            <rFont val="Tahoma"/>
            <family val="2"/>
          </rPr>
          <t>Matt Padron:</t>
        </r>
        <r>
          <rPr>
            <sz val="9"/>
            <color indexed="81"/>
            <rFont val="Tahoma"/>
            <family val="2"/>
          </rPr>
          <t xml:space="preserve">
NEED TO CREATE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Matt Padron</author>
  </authors>
  <commentList>
    <comment ref="B1" authorId="0" shapeId="0" xr:uid="{6D76AC60-7636-4CD9-8E97-F59452E185C6}">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C1" authorId="0" shapeId="0" xr:uid="{C5C94A50-1DB6-448F-9C07-543B5F323F41}">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B2" authorId="0" shapeId="0" xr:uid="{BBF51663-1501-4E0F-A62C-2927A8A5E2DB}">
      <text>
        <r>
          <rPr>
            <b/>
            <sz val="9"/>
            <color indexed="81"/>
            <rFont val="Tahoma"/>
            <family val="2"/>
          </rPr>
          <t>Matt Padron:</t>
        </r>
        <r>
          <rPr>
            <sz val="9"/>
            <color indexed="81"/>
            <rFont val="Tahoma"/>
            <family val="2"/>
          </rPr>
          <t xml:space="preserve">
NEED TO CREATE</t>
        </r>
      </text>
    </comment>
    <comment ref="C2" authorId="0" shapeId="0" xr:uid="{29C76698-71BF-46BE-9662-B29CCCAE81FA}">
      <text>
        <r>
          <rPr>
            <b/>
            <sz val="9"/>
            <color indexed="81"/>
            <rFont val="Tahoma"/>
            <family val="2"/>
          </rPr>
          <t>Matt Padron:</t>
        </r>
        <r>
          <rPr>
            <sz val="9"/>
            <color indexed="81"/>
            <rFont val="Tahoma"/>
            <family val="2"/>
          </rPr>
          <t xml:space="preserve">
NEED TO CREATE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Matt Padron</author>
  </authors>
  <commentList>
    <comment ref="B1" authorId="0" shapeId="0" xr:uid="{43770A07-7B67-4971-830F-8B7F3F228A45}">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C1" authorId="0" shapeId="0" xr:uid="{5CC09118-E242-4616-AB40-56AB1D9CE739}">
      <text>
        <r>
          <rPr>
            <b/>
            <sz val="9"/>
            <color indexed="81"/>
            <rFont val="Tahoma"/>
            <family val="2"/>
          </rPr>
          <t>Matt Padron:</t>
        </r>
        <r>
          <rPr>
            <sz val="9"/>
            <color indexed="81"/>
            <rFont val="Tahoma"/>
            <family val="2"/>
          </rPr>
          <t xml:space="preserve">
ID Name Open books from Lock closed periods Federal ID
AZ1000160 Somerset Academy Arizona Inc 07/01/2025 01/01/1970 83-3041155
AZ1001859 SLAM Arizona Inc 07/01/2025 01/01/1970 81-1668405
CO0163 American Legacy Academy 07/01/2025 01/01/1970 87-4471167
CO6226 CIVICA Colorado 07/01/2025 01/01/1970 84-2087765
ID550 Doral Academy of Idaho 07/01/2025 01/01/1970 84-2149691
ID553 Pinecrest Academy of Idaho Twin Falls 07/01/2025 01/01/1970 84-2768672
ID618 Pinecrest Academy of Idaho Lewiston 07/01/2025 01/01/1970 88-3458988
NV106000 Pinecrest Northern NV-Central 07/01/2025 01/01/1970 84-1776306
NV10600X Pinecrest Northern NV-SHARED 07/01/2025 01/01/1970 84-1776306
NV106101 Pinecrest Northern NV 07/01/2025 01/01/1970 84-1776306
NV110000 CIVICA Acad-Central 07/01/2025 01/01/1970 84-4233467
NV11000X CIVICA Acad-SHARED 07/01/2025 01/01/1970 84-4233467
NV110100 CIVICA Acad 07/01/2025 01/01/1970 84-4233467
NV113000 YWLA-Central 07/01/2025 01/01/1970 86-3166422
NV11300X YWLA-SHARED 07/01/2025 01/01/1970 86-3166422
NV113100 YWLA 07/01/2025 01/01/1970 86-3166422
NV114100 Mater Cactus Park 07/01/2025 01/01/1970 46-5122331
NV44000 Mater Northern NV-Central 07/01/2025 01/01/1970 81-5174782
NV4400X Mater Northern NV-SHARED 07/01/2025 01/01/1970 81-5174782
NV44437 Mater Northern NV 07/01/2025 01/01/1970 81-5174782
NV47000 SLAM-Central 07/01/2025 01/01/1970 81-1668405
NV4700X SLAM-SHARED 07/01/2025 01/01/1970 81-1668405
NV47434 SLAM 07/01/2025 01/01/1970 81-1668405
NV49000 Mater-Central 07/01/2025 01/01/1970 46-5122331
NV4900X Mater-SHARED 07/01/2025 01/01/1970 46-5122331
NV49432 Mater Mtn Vista 07/01/2025 01/01/1970 46-5122331
NV49433 Mater Bonanza 07/01/2025 01/01/1970 46-5122331
NV49434 Mater East 07/01/2025 01/01/1970 46-5122331
NV55000 Doral-Central 07/01/2025 01/01/1970 46-1907920
NV5500X Doral-SHARED 07/01/2025 01/01/1970 46-1907920
NV55200 Doral Cactus 07/01/2025 01/01/1970 46-1907920
NV55201 Doral Fire Mesa 07/01/2025 01/01/1970 46-1907920
NV55202 Doral Red Rock 07/01/2025 01/01/1970 46-1907920
NV55203 Doral Saddle 07/01/2025 01/01/1970 46-1907920
NV55204 Doral W Pebble 07/01/2025 01/01/1970 46-1907920
NV58000 Pinecrest-Central 07/01/2025 01/01/1970 45-5065099
NV5800X Pinecrest-SHARED 07/01/2025 01/01/1970 45-5065099
NV58422 Pinecrest Horizon 07/01/2025 01/01/1970 45-5065099
NV58423 Pinecrest Cadence 07/01/2025 01/01/1970 45-5065099
NV58425 Pinecrest Inspirada 07/01/2025 01/01/1970 45-5065099
NV58427 Pinecrest St Rose 07/01/2025 01/01/1970 45-5065099
NV58428 Pinecrest Sloan 07/01/2025 01/01/1970 45-5065099
NV58429 PAN Virtual 07/01/2025 01/01/1970 45-5065099
NV58430 Pinecrest Springs 07/01/2025 01/01/1970 45-5065099
NV59000 Somerset NLV-Central 07/01/2025 01/01/1970 27-5393412
NV5900X Somerset NLV-SHARED 07/01/2025 01/01/1970 27-5393412
NV59119 Somerset NLV 07/01/2025 01/01/1970 27-5393412
NV59120 Somerset Losee 07/01/2025 01/01/1970 27-5393412
NV59121 Somerset Lone Mtn 07/01/2025 01/01/1970 27-5393412
NV59122 Somerset Sky Pointe 07/01/2025 01/01/1970 27-5393412
NV59123 Somerset Stephanie 07/01/2025 01/01/1970 27-5393412
NV59124 Somerset Aliante 07/01/2025 01/01/1970 27-5393412
NV59125 Somerset Skye Canyon 07/01/2025 01/01/1970 27-5393412
NV65414 Oasis Academy 07/01/2025 01/01/1970 27-3292484
NV66000 Doral Northern NV-Central 07/01/2025 01/01/1970 81-5173587
NV6600X Doral Northern NV-SHARED 07/01/2025 01/01/1970 81-5173587
NV66436 Doral Northern NV 07/01/2025 01/01/1970 81-5173587
WY5001001 Cheyenne Classical Academy 07/01/2025 01/01/1970 87-2215238
WY5002001 Wyoming Classical Academy 07/01/2025 01/01/1970 87-3545531
</t>
        </r>
      </text>
    </comment>
    <comment ref="B2" authorId="0" shapeId="0" xr:uid="{184832F7-D904-46C1-B876-4675C7387895}">
      <text>
        <r>
          <rPr>
            <b/>
            <sz val="9"/>
            <color indexed="81"/>
            <rFont val="Tahoma"/>
            <family val="2"/>
          </rPr>
          <t>Matt Padron:</t>
        </r>
        <r>
          <rPr>
            <sz val="9"/>
            <color indexed="81"/>
            <rFont val="Tahoma"/>
            <family val="2"/>
          </rPr>
          <t xml:space="preserve">
NEED TO CREATE</t>
        </r>
      </text>
    </comment>
    <comment ref="C2" authorId="0" shapeId="0" xr:uid="{32391B81-8041-497A-AAAF-74480A0732DB}">
      <text>
        <r>
          <rPr>
            <b/>
            <sz val="9"/>
            <color indexed="81"/>
            <rFont val="Tahoma"/>
            <family val="2"/>
          </rPr>
          <t>Matt Padron:</t>
        </r>
        <r>
          <rPr>
            <sz val="9"/>
            <color indexed="81"/>
            <rFont val="Tahoma"/>
            <family val="2"/>
          </rPr>
          <t xml:space="preserve">
NEED TO CREATE</t>
        </r>
      </text>
    </comment>
  </commentList>
</comments>
</file>

<file path=xl/sharedStrings.xml><?xml version="1.0" encoding="utf-8"?>
<sst xmlns="http://schemas.openxmlformats.org/spreadsheetml/2006/main" count="5752" uniqueCount="403">
  <si>
    <t xml:space="preserve">School ID: </t>
  </si>
  <si>
    <t>Budget ID:</t>
  </si>
  <si>
    <t>Statewide Base (w/ District Adj)</t>
  </si>
  <si>
    <t>Total Students (FTEs)</t>
  </si>
  <si>
    <t>Fund</t>
  </si>
  <si>
    <t>Revenue</t>
  </si>
  <si>
    <t>Expenses</t>
  </si>
  <si>
    <t>Net</t>
  </si>
  <si>
    <t>Kinder</t>
  </si>
  <si>
    <t>NV100--General Fund</t>
  </si>
  <si>
    <t>Operating</t>
  </si>
  <si>
    <t>1st Grade</t>
  </si>
  <si>
    <t>NV206--PCFP English Learner (Restricted Funding)</t>
  </si>
  <si>
    <t>ELL</t>
  </si>
  <si>
    <t>2nd Grade</t>
  </si>
  <si>
    <t>NV207--PCFP Gifted and Talented (Restricted Funding)</t>
  </si>
  <si>
    <t>GATE</t>
  </si>
  <si>
    <t>3rd Grade</t>
  </si>
  <si>
    <t>NV208--PCFP At-Risk (Restricted Funding)</t>
  </si>
  <si>
    <t>At-Risk</t>
  </si>
  <si>
    <t>4th Grade</t>
  </si>
  <si>
    <t>NV220--Auxiliary: Salary Adjustment</t>
  </si>
  <si>
    <t>Auxiliary</t>
  </si>
  <si>
    <t>5th Grade</t>
  </si>
  <si>
    <t>NV240--State Grants</t>
  </si>
  <si>
    <t>Grants (State)</t>
  </si>
  <si>
    <t>6th Grade</t>
  </si>
  <si>
    <t>NV250--Special Education (State)</t>
  </si>
  <si>
    <t>SPED (State)</t>
  </si>
  <si>
    <t>7th Grade</t>
  </si>
  <si>
    <t>NV260--Gifts and Donations</t>
  </si>
  <si>
    <t>Donations</t>
  </si>
  <si>
    <t>8th Grade</t>
  </si>
  <si>
    <t>NV279--Student Activities Fund (as per GASB 84)</t>
  </si>
  <si>
    <t>SGF</t>
  </si>
  <si>
    <t>9th Grade</t>
  </si>
  <si>
    <t>NV280--Federal Funds</t>
  </si>
  <si>
    <t>Grants (Federal)</t>
  </si>
  <si>
    <t>10th Grade</t>
  </si>
  <si>
    <t>NV290--Food Service Funds</t>
  </si>
  <si>
    <t>NSLP</t>
  </si>
  <si>
    <t>11th Grade</t>
  </si>
  <si>
    <t>12th Grade</t>
  </si>
  <si>
    <t xml:space="preserve">Funding Based off of Prior Year Numbers </t>
  </si>
  <si>
    <t>SPED</t>
  </si>
  <si>
    <t>Title(s)</t>
  </si>
  <si>
    <t>Other</t>
  </si>
  <si>
    <t>Total</t>
  </si>
  <si>
    <t>Total (25-26)</t>
  </si>
  <si>
    <t>SPED Count</t>
  </si>
  <si>
    <t>EL Count</t>
  </si>
  <si>
    <t>GATE Count</t>
  </si>
  <si>
    <t xml:space="preserve">At-Risk </t>
  </si>
  <si>
    <t>FRL %</t>
  </si>
  <si>
    <t>Teaching Staff</t>
  </si>
  <si>
    <t>Classroom Teachers</t>
  </si>
  <si>
    <t>SPED Teachers</t>
  </si>
  <si>
    <t>Art Teacher</t>
  </si>
  <si>
    <t>Music</t>
  </si>
  <si>
    <t>PE Teacher</t>
  </si>
  <si>
    <t>Technology (STEM)</t>
  </si>
  <si>
    <t>Spanish / Language</t>
  </si>
  <si>
    <t>Additional Elective Teachers</t>
  </si>
  <si>
    <t>Gate Teacher</t>
  </si>
  <si>
    <t xml:space="preserve">     Total Teaching Staff</t>
  </si>
  <si>
    <t>Admin &amp; Support Staff</t>
  </si>
  <si>
    <t>Principal</t>
  </si>
  <si>
    <t>ELL Coordinator</t>
  </si>
  <si>
    <t>Dean</t>
  </si>
  <si>
    <t>Curriculum Coach</t>
  </si>
  <si>
    <t>School Counselor</t>
  </si>
  <si>
    <t>Social Worker/ Mental Health</t>
  </si>
  <si>
    <t>Office Manager/Banker</t>
  </si>
  <si>
    <t>Registrar</t>
  </si>
  <si>
    <t>Clinic Aide/ FASA</t>
  </si>
  <si>
    <t>Receptionist</t>
  </si>
  <si>
    <t>Teacher Assistants</t>
  </si>
  <si>
    <t>Custodial / Security</t>
  </si>
  <si>
    <t>Cafeteria Manager</t>
  </si>
  <si>
    <t>Parent Engagement Coordinator</t>
  </si>
  <si>
    <t>SPED Facilitator</t>
  </si>
  <si>
    <t>Speech Pathologist</t>
  </si>
  <si>
    <t>School Psychologist</t>
  </si>
  <si>
    <t>OT / PT</t>
  </si>
  <si>
    <t>School Nurse</t>
  </si>
  <si>
    <t>On Campus Sub</t>
  </si>
  <si>
    <t>Other: IT</t>
  </si>
  <si>
    <t xml:space="preserve">     Total Admin &amp; Support Staff</t>
  </si>
  <si>
    <t>Total # Teachers</t>
  </si>
  <si>
    <t>Total # Admin &amp; Support</t>
  </si>
  <si>
    <t>Total Staff</t>
  </si>
  <si>
    <t>Object</t>
  </si>
  <si>
    <t>Location</t>
  </si>
  <si>
    <t>Function</t>
  </si>
  <si>
    <t>Revenues</t>
  </si>
  <si>
    <t/>
  </si>
  <si>
    <t>NV0000--Unassigned</t>
  </si>
  <si>
    <t>Per Pupil  (PCFP Funding)</t>
  </si>
  <si>
    <t>Local SPED</t>
  </si>
  <si>
    <t xml:space="preserve">State SPED </t>
  </si>
  <si>
    <t>Federal SPED</t>
  </si>
  <si>
    <t>Interest Income</t>
  </si>
  <si>
    <t>Student Generated (SGF)</t>
  </si>
  <si>
    <t>NSLP - Breakfast</t>
  </si>
  <si>
    <t>NSLP - Lunch</t>
  </si>
  <si>
    <t>Total Revenues</t>
  </si>
  <si>
    <t>Use of other funds</t>
  </si>
  <si>
    <t>Use of beginning Funds</t>
  </si>
  <si>
    <t>Borrowings</t>
  </si>
  <si>
    <t>Project Funds</t>
  </si>
  <si>
    <t>Total Use of Other Funds</t>
  </si>
  <si>
    <t>Personnel Expenditures</t>
  </si>
  <si>
    <t>Licensed Admin</t>
  </si>
  <si>
    <t>NV104</t>
  </si>
  <si>
    <t>NV2400--Support Services-School Administration</t>
  </si>
  <si>
    <t>Asst. Principal - Federal</t>
  </si>
  <si>
    <t>SPED Licensed Admin</t>
  </si>
  <si>
    <t>Asst. Principal - SPED</t>
  </si>
  <si>
    <t>Director - SPED</t>
  </si>
  <si>
    <t>Licensed Other Staff</t>
  </si>
  <si>
    <t>NV2120--Guidance Services</t>
  </si>
  <si>
    <t>School Counselor - At-Risk</t>
  </si>
  <si>
    <t>School Counselor - Aux</t>
  </si>
  <si>
    <t>School Counselor - Federal</t>
  </si>
  <si>
    <t>NV2110--Attendance and Social Work Services</t>
  </si>
  <si>
    <t>Social Worker/Mental Health</t>
  </si>
  <si>
    <t>Social Worker/Mental Health - Aux</t>
  </si>
  <si>
    <t>Social Worker/Mental Health - Federal</t>
  </si>
  <si>
    <t>Student Support Advocate</t>
  </si>
  <si>
    <t>Student Support Advocate - Aux</t>
  </si>
  <si>
    <t>Student Support Advocate - Federal</t>
  </si>
  <si>
    <t>NV107</t>
  </si>
  <si>
    <t>NV2160--Occupational Therapy-Related Services</t>
  </si>
  <si>
    <t>SPED OT / PT</t>
  </si>
  <si>
    <t>NV105</t>
  </si>
  <si>
    <t>NV2190--Other Support Services-Student</t>
  </si>
  <si>
    <t>Other Student Support Services - Aux</t>
  </si>
  <si>
    <t>NV2150--Speech Pathology and Audiology Services</t>
  </si>
  <si>
    <t>Speech Path</t>
  </si>
  <si>
    <t>Speech Path - Aux</t>
  </si>
  <si>
    <t>NV2140--Psychological Services</t>
  </si>
  <si>
    <t>School Psych</t>
  </si>
  <si>
    <t>School Psych - Aux</t>
  </si>
  <si>
    <t>NV2130--Health Services</t>
  </si>
  <si>
    <t>School Nurse - Aux</t>
  </si>
  <si>
    <t>General Admin</t>
  </si>
  <si>
    <t>NV117</t>
  </si>
  <si>
    <t>NV2900--Other Support Services</t>
  </si>
  <si>
    <t>Office Mgr. &amp; Registrar</t>
  </si>
  <si>
    <t>Office Asst / Receptionist</t>
  </si>
  <si>
    <t>Other Support Services - Aux</t>
  </si>
  <si>
    <t>Pre-K Director</t>
  </si>
  <si>
    <t>Parent Engagment Coordinator</t>
  </si>
  <si>
    <t>Parent Engagment Coordinator - Federal</t>
  </si>
  <si>
    <t>Support Staff</t>
  </si>
  <si>
    <t>Custodial/Security</t>
  </si>
  <si>
    <t>NV2232--Technology Service Supervision and Administration</t>
  </si>
  <si>
    <t>IT</t>
  </si>
  <si>
    <t>IT - Aux</t>
  </si>
  <si>
    <t>NSLP - Kitchen</t>
  </si>
  <si>
    <t>NV3100--Food Services Operations</t>
  </si>
  <si>
    <t>NSLP Personnel</t>
  </si>
  <si>
    <t>Food Services - Aux</t>
  </si>
  <si>
    <t>Total Wages - Support</t>
  </si>
  <si>
    <t>NV230</t>
  </si>
  <si>
    <t>NV2590--Other Support Services-Central Services</t>
  </si>
  <si>
    <t>PERS - General</t>
  </si>
  <si>
    <t>PERS - At-Risk</t>
  </si>
  <si>
    <t>PERS - Aux</t>
  </si>
  <si>
    <t>PERS - Grant</t>
  </si>
  <si>
    <t>PERS - SPED</t>
  </si>
  <si>
    <t>PERS - Federal</t>
  </si>
  <si>
    <t>PERS - NSLP</t>
  </si>
  <si>
    <t>NV290</t>
  </si>
  <si>
    <t>Ins/ Taxes / Other Benefits - General</t>
  </si>
  <si>
    <t>Ins/ Taxes / Other Benefits - At-Risk</t>
  </si>
  <si>
    <t>Ins/ Taxes / Other Benefits - Aux</t>
  </si>
  <si>
    <t>Ins/ Taxes / Other Benefits - Grant</t>
  </si>
  <si>
    <t>Ins/ Taxes / Other Benefits - SPED</t>
  </si>
  <si>
    <t>Ins/ Taxes / Other Benefits - Federal</t>
  </si>
  <si>
    <t>Ins/ Taxes / Other Benefits - NSLP</t>
  </si>
  <si>
    <t>NV154</t>
  </si>
  <si>
    <t xml:space="preserve">Retention </t>
  </si>
  <si>
    <t>Holiday</t>
  </si>
  <si>
    <t>Stipends</t>
  </si>
  <si>
    <t>NV251</t>
  </si>
  <si>
    <t>NV1000--Instruction</t>
  </si>
  <si>
    <t>Tuition Reimbursements</t>
  </si>
  <si>
    <t>Total Benefits - Support</t>
  </si>
  <si>
    <t>Instruction</t>
  </si>
  <si>
    <t>Licensed Teacher</t>
  </si>
  <si>
    <t>NV101</t>
  </si>
  <si>
    <t>Instructional Coach</t>
  </si>
  <si>
    <t>Instructional Coach - At-Risk</t>
  </si>
  <si>
    <t>Instructional Coach - Federal</t>
  </si>
  <si>
    <t>ELL Coordinator - Federal</t>
  </si>
  <si>
    <t>Teachers</t>
  </si>
  <si>
    <t>Teachers - ELL</t>
  </si>
  <si>
    <t>Teachers - At-Risk</t>
  </si>
  <si>
    <t>Teachers - Aux</t>
  </si>
  <si>
    <t>Teachers - Grant</t>
  </si>
  <si>
    <t>Teachers - GATE</t>
  </si>
  <si>
    <t>Licensed SPED</t>
  </si>
  <si>
    <t xml:space="preserve">Teachers - SPED </t>
  </si>
  <si>
    <t>NV102</t>
  </si>
  <si>
    <t>Instructional Asst.</t>
  </si>
  <si>
    <t>Instructional Asst. - At-Risk</t>
  </si>
  <si>
    <t>Instructional Asst. - ELL</t>
  </si>
  <si>
    <t>Instructional Asst. - Aux</t>
  </si>
  <si>
    <t>NV200</t>
  </si>
  <si>
    <t>Instructional Asst. - Grant</t>
  </si>
  <si>
    <t>Instructional Asst. - SPED</t>
  </si>
  <si>
    <t>Instructional Asst. - Federal</t>
  </si>
  <si>
    <t>Subsitutes</t>
  </si>
  <si>
    <t>NV103</t>
  </si>
  <si>
    <t>Total Wages - Instruction</t>
  </si>
  <si>
    <t>NV231</t>
  </si>
  <si>
    <t>PERS - ELL</t>
  </si>
  <si>
    <t>PERS - GATE</t>
  </si>
  <si>
    <t>NV281</t>
  </si>
  <si>
    <t>Ins/ Taxes / Other Benefits - ELL</t>
  </si>
  <si>
    <t>Ins/ Taxes / Other Benefits - GATE</t>
  </si>
  <si>
    <t>NV151</t>
  </si>
  <si>
    <t>Total Benefits - Instruction</t>
  </si>
  <si>
    <t>Material &amp; Supplies - Instruction</t>
  </si>
  <si>
    <t>NV600</t>
  </si>
  <si>
    <t xml:space="preserve">Consumables </t>
  </si>
  <si>
    <t>Consumables - Federal</t>
  </si>
  <si>
    <t>NV569</t>
  </si>
  <si>
    <t>Dual Enrollment - Student Fees/Textbooks</t>
  </si>
  <si>
    <t>Cash instead of Capital Lease - Curriculum/Tech/Furniture</t>
  </si>
  <si>
    <t>Classroom Supplies</t>
  </si>
  <si>
    <t>Classroom Supplies - Federal</t>
  </si>
  <si>
    <t>Copier Supplies</t>
  </si>
  <si>
    <t>SPED Supplies</t>
  </si>
  <si>
    <t>Material &amp; Supplies - Support</t>
  </si>
  <si>
    <t>NV610</t>
  </si>
  <si>
    <t>Office Supplies</t>
  </si>
  <si>
    <t>Office Supplies - Federal</t>
  </si>
  <si>
    <t>Nursing Supplies</t>
  </si>
  <si>
    <t>NV350</t>
  </si>
  <si>
    <t>Athletics/Extra Curricular</t>
  </si>
  <si>
    <t>NV2600--Operation and Maintenance of Plant</t>
  </si>
  <si>
    <t>Custodial Supplies</t>
  </si>
  <si>
    <t>Purchased Services - Instruction</t>
  </si>
  <si>
    <t>NV320</t>
  </si>
  <si>
    <t>NV2290--Other Support Services-Instructional Staff</t>
  </si>
  <si>
    <t>Contracted Services: Other Professional Services</t>
  </si>
  <si>
    <t>Contracted Services: Other Professional Services - Federal</t>
  </si>
  <si>
    <t>Contracted Services: SPED</t>
  </si>
  <si>
    <t xml:space="preserve">Contracted Services: Subsitute Services </t>
  </si>
  <si>
    <t>Contracted Services: Transportation</t>
  </si>
  <si>
    <t>Contracted Services: Transportation - Grant</t>
  </si>
  <si>
    <t>NV310</t>
  </si>
  <si>
    <t>NV2500--Central Services</t>
  </si>
  <si>
    <t xml:space="preserve">Affiliation Fee - Inc. </t>
  </si>
  <si>
    <t>NV331</t>
  </si>
  <si>
    <t>NV2213--Instructional Staff Training</t>
  </si>
  <si>
    <t>Affiliation Fee - Professional Development</t>
  </si>
  <si>
    <t xml:space="preserve">Professional Development </t>
  </si>
  <si>
    <t>Purchased Services - Support</t>
  </si>
  <si>
    <t>NV340</t>
  </si>
  <si>
    <t>Contracted Services: Security</t>
  </si>
  <si>
    <t>Management Fee (Academica Nevada)</t>
  </si>
  <si>
    <t>Payroll Services</t>
  </si>
  <si>
    <t>Audit/Tax</t>
  </si>
  <si>
    <t>NV2318--Legal Services</t>
  </si>
  <si>
    <t>Legal Fees</t>
  </si>
  <si>
    <t>NV352</t>
  </si>
  <si>
    <t xml:space="preserve">IT Services </t>
  </si>
  <si>
    <t>IT Set-up Fees</t>
  </si>
  <si>
    <t>NV591</t>
  </si>
  <si>
    <t>NV2319--Other Support Services - General Administration</t>
  </si>
  <si>
    <t xml:space="preserve">State Administrative Fee </t>
  </si>
  <si>
    <t>General Operations - Support</t>
  </si>
  <si>
    <t>NV533</t>
  </si>
  <si>
    <t>Phone</t>
  </si>
  <si>
    <t>NV535</t>
  </si>
  <si>
    <t>NV2320--Executive Administration</t>
  </si>
  <si>
    <t>Internet</t>
  </si>
  <si>
    <t>NV531</t>
  </si>
  <si>
    <t>Postage</t>
  </si>
  <si>
    <t>Website</t>
  </si>
  <si>
    <t>NV443</t>
  </si>
  <si>
    <t>Copier / Printing</t>
  </si>
  <si>
    <t>NV651</t>
  </si>
  <si>
    <t>Infinite Campus</t>
  </si>
  <si>
    <t>NV522</t>
  </si>
  <si>
    <t>Insurances</t>
  </si>
  <si>
    <t>NV570</t>
  </si>
  <si>
    <t xml:space="preserve">NSLP - Breakfast </t>
  </si>
  <si>
    <t xml:space="preserve">NSLP - Lunch </t>
  </si>
  <si>
    <t>NV345</t>
  </si>
  <si>
    <t>NV2560--Public Information Services</t>
  </si>
  <si>
    <t>Advertising/Marketing</t>
  </si>
  <si>
    <t>NV584</t>
  </si>
  <si>
    <t xml:space="preserve">Travel </t>
  </si>
  <si>
    <t>NV2570--Personnel Services</t>
  </si>
  <si>
    <t>Background and Fingerprinting</t>
  </si>
  <si>
    <t>NV890</t>
  </si>
  <si>
    <t>NV6000--Miscellaneous</t>
  </si>
  <si>
    <t>Dues and Fees</t>
  </si>
  <si>
    <t>NV2490--Other Support Services-School Administration</t>
  </si>
  <si>
    <t>Contracted Services: Graduation</t>
  </si>
  <si>
    <t>NV800</t>
  </si>
  <si>
    <t>NV5000--Debt Service</t>
  </si>
  <si>
    <t>Loan Repayments</t>
  </si>
  <si>
    <t>NV910</t>
  </si>
  <si>
    <t>NV6200--Fund transfers</t>
  </si>
  <si>
    <t>SGF Expenditures</t>
  </si>
  <si>
    <t>Misc. Purchases</t>
  </si>
  <si>
    <t>NV891</t>
  </si>
  <si>
    <t>NV6300--Contingency Funds</t>
  </si>
  <si>
    <t>Contingencies/Other Purchases</t>
  </si>
  <si>
    <t>Facilities - Support</t>
  </si>
  <si>
    <t>NV622</t>
  </si>
  <si>
    <t>Electricity</t>
  </si>
  <si>
    <t>NV410</t>
  </si>
  <si>
    <t>Natural Gas</t>
  </si>
  <si>
    <t>NV411</t>
  </si>
  <si>
    <t>Water / Sewer</t>
  </si>
  <si>
    <t>NV421</t>
  </si>
  <si>
    <t>Garbage/Disposal</t>
  </si>
  <si>
    <t>NV490</t>
  </si>
  <si>
    <t>NV2670--Safety</t>
  </si>
  <si>
    <t>Fire and Security alarms</t>
  </si>
  <si>
    <t>NV422</t>
  </si>
  <si>
    <t>Contracted Janitorial Services</t>
  </si>
  <si>
    <t>NV431</t>
  </si>
  <si>
    <t>Facility Maintenance/ Repairs</t>
  </si>
  <si>
    <t>NV700</t>
  </si>
  <si>
    <t>Capital Outlay</t>
  </si>
  <si>
    <t>NV420</t>
  </si>
  <si>
    <t>Snow removal</t>
  </si>
  <si>
    <t>Lawn Care</t>
  </si>
  <si>
    <t>AC Maintenance &amp; Repair</t>
  </si>
  <si>
    <t>Total Expenditures Before Building Payments</t>
  </si>
  <si>
    <t>Building Payments</t>
  </si>
  <si>
    <t>Scheduled Lease Payment</t>
  </si>
  <si>
    <t>Scheduled Bond Payment - Principal</t>
  </si>
  <si>
    <t>NV832</t>
  </si>
  <si>
    <t>Scheduled Bond Payment - Interest</t>
  </si>
  <si>
    <t>HOA/Parking/ Other</t>
  </si>
  <si>
    <t>Total Rent / Bond Pymts</t>
  </si>
  <si>
    <t>Net Surplus (Loss)</t>
  </si>
  <si>
    <t>Revenues - SPED</t>
  </si>
  <si>
    <t>Expenditures - SPED</t>
  </si>
  <si>
    <t xml:space="preserve">Salaries and Wages </t>
  </si>
  <si>
    <t xml:space="preserve">Benefits and Related </t>
  </si>
  <si>
    <t>Materials Equipment and Supplies</t>
  </si>
  <si>
    <t xml:space="preserve">Purchased Services </t>
  </si>
  <si>
    <t>General Operations and Other</t>
  </si>
  <si>
    <t>Facilities and Building Expenditures</t>
  </si>
  <si>
    <t>Net Surplus (Loss) - SPED</t>
  </si>
  <si>
    <t>Revenues - NSLP</t>
  </si>
  <si>
    <t>Expenditures - NSLP</t>
  </si>
  <si>
    <t>Net Surplus (Loss) - NSLP</t>
  </si>
  <si>
    <t>*FY2022 Is the year the state switched its funding formula to the Pupil Centered Funding  Formula. All students qualify for the base and then if applicable qualify for one of the Weights (ELL, SPED, At Risk, or GATE)</t>
  </si>
  <si>
    <t>2026-2027</t>
  </si>
  <si>
    <t>2025-2026</t>
  </si>
  <si>
    <t>2024-2025</t>
  </si>
  <si>
    <t>2023-2024</t>
  </si>
  <si>
    <t>2022-2023</t>
  </si>
  <si>
    <t>2021-2022</t>
  </si>
  <si>
    <t>2020-2021</t>
  </si>
  <si>
    <t>2019-2020</t>
  </si>
  <si>
    <t>2018-2019</t>
  </si>
  <si>
    <t>2017-2018</t>
  </si>
  <si>
    <t>2016-2017</t>
  </si>
  <si>
    <t>2015-2016</t>
  </si>
  <si>
    <t>2014-2015</t>
  </si>
  <si>
    <t>2013-2014</t>
  </si>
  <si>
    <t>2012-2013</t>
  </si>
  <si>
    <t>2011-2012</t>
  </si>
  <si>
    <t>% Increase</t>
  </si>
  <si>
    <t>Change</t>
  </si>
  <si>
    <t>Local</t>
  </si>
  <si>
    <t>State</t>
  </si>
  <si>
    <t>Clark County Funding Since Aug 2011 - Per Pupil Basis</t>
  </si>
  <si>
    <t>Total (26-27)</t>
  </si>
  <si>
    <t>Gifted</t>
  </si>
  <si>
    <t>Total (27-28)</t>
  </si>
  <si>
    <t>Total (28-29)</t>
  </si>
  <si>
    <t>Total (29-30)</t>
  </si>
  <si>
    <t>Total (30-31)</t>
  </si>
  <si>
    <t>25-26 (FY26)</t>
  </si>
  <si>
    <t>26-27 (FY27)</t>
  </si>
  <si>
    <t>27-28 (FY28)</t>
  </si>
  <si>
    <t>28-29 (FY29)</t>
  </si>
  <si>
    <t>29-30 (FY30)</t>
  </si>
  <si>
    <t>30-31 (FY31)</t>
  </si>
  <si>
    <t>Adjusted Net Income Available Before Lease and Debt Service (Sub Contingency)</t>
  </si>
  <si>
    <t>Total Lease Payments &amp; Net Debt Service</t>
  </si>
  <si>
    <t xml:space="preserve">Annual Debt Service Coverage </t>
  </si>
  <si>
    <t>Days Cash on Hand Calculation</t>
  </si>
  <si>
    <t>Accounts Receivable</t>
  </si>
  <si>
    <t>Plus:  Operating Surplus (Deficit) + Contingency - Use of Fund Balance</t>
  </si>
  <si>
    <t>Ending Cash Balance</t>
  </si>
  <si>
    <t>Projected Days Cash on Hand</t>
  </si>
  <si>
    <t>Beginning Cash Balance - FYE 2025 Audited (System)</t>
  </si>
  <si>
    <t>CIVICA Nevada</t>
  </si>
  <si>
    <t>Young Women's Academy of Las Vegas</t>
  </si>
  <si>
    <t>Executive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</si>
</sst>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3" x14ac:knownFonts="1">
    <font>
      <sz val="11"/>
      <color theme="1"/>
      <name val="Aptos Narrow"/>
      <family val="2"/>
      <scheme val="minor"/>
    </font>
    <font>
      <sz val="11"/>
      <color theme="1"/>
      <name val="Aptos Narrow"/>
      <family val="2"/>
      <scheme val="minor"/>
    </font>
    <font>
      <sz val="12"/>
      <color theme="1"/>
      <name val="Aptos Narrow"/>
      <family val="2"/>
      <scheme val="minor"/>
    </font>
    <font>
      <b/>
      <sz val="12"/>
      <color theme="1"/>
      <name val="Aptos Narrow"/>
      <family val="2"/>
      <scheme val="minor"/>
    </font>
    <font>
      <b/>
      <sz val="12"/>
      <name val="Aptos Narrow"/>
      <family val="2"/>
      <scheme val="minor"/>
    </font>
    <font>
      <sz val="12"/>
      <name val="Aptos Narrow"/>
      <family val="2"/>
      <scheme val="minor"/>
    </font>
    <font>
      <sz val="12"/>
      <color rgb="FF0000FF"/>
      <name val="Aptos Narrow"/>
      <family val="2"/>
      <scheme val="minor"/>
    </font>
    <font>
      <b/>
      <sz val="9"/>
      <color indexed="81"/>
      <name val="Tahoma"/>
      <family val="2"/>
    </font>
    <font>
      <sz val="9"/>
      <color indexed="81"/>
      <name val="Tahoma"/>
      <family val="2"/>
    </font>
    <font>
      <sz val="14"/>
      <color theme="1"/>
      <name val="Aptos Narrow"/>
      <family val="2"/>
      <scheme val="minor"/>
    </font>
    <font>
      <sz val="14"/>
      <color rgb="FF0000FF"/>
      <name val="Aptos Narrow"/>
      <family val="2"/>
      <scheme val="minor"/>
    </font>
    <font>
      <b/>
      <sz val="14"/>
      <color theme="1"/>
      <name val="Aptos Narrow"/>
      <family val="2"/>
      <scheme val="minor"/>
    </font>
    <font>
      <b/>
      <i/>
      <sz val="14"/>
      <color theme="1"/>
      <name val="Aptos Narrow"/>
      <family val="2"/>
      <scheme val="minor"/>
    </font>
  </fonts>
  <fills count="17">
    <fill>
      <patternFill patternType="none"/>
    </fill>
    <fill>
      <patternFill patternType="gray125"/>
    </fill>
    <fill>
      <patternFill patternType="solid">
        <fgColor theme="6" tint="0.59999389629810485"/>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dotted">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89">
    <xf numFmtId="0" fontId="0" fillId="0" borderId="0" xfId="0"/>
    <xf numFmtId="0" fontId="2" fillId="0" borderId="0" xfId="0" applyFont="1"/>
    <xf numFmtId="0" fontId="3" fillId="0" borderId="0" xfId="0" applyFont="1"/>
    <xf numFmtId="164" fontId="4" fillId="0" borderId="0" xfId="1" applyNumberFormat="1" applyFont="1" applyAlignment="1">
      <alignment horizontal="left"/>
    </xf>
    <xf numFmtId="0" fontId="3" fillId="0" borderId="0" xfId="0" applyFont="1" applyAlignment="1">
      <alignment horizontal="center"/>
    </xf>
    <xf numFmtId="0" fontId="5" fillId="0" borderId="1" xfId="2" applyNumberFormat="1" applyFont="1" applyFill="1" applyBorder="1" applyAlignment="1">
      <alignment horizontal="right"/>
    </xf>
    <xf numFmtId="165" fontId="5" fillId="0" borderId="2" xfId="2" applyNumberFormat="1" applyFont="1" applyBorder="1"/>
    <xf numFmtId="0" fontId="5" fillId="0" borderId="3" xfId="2" applyNumberFormat="1" applyFont="1" applyFill="1" applyBorder="1" applyAlignment="1">
      <alignment horizontal="right"/>
    </xf>
    <xf numFmtId="164" fontId="4" fillId="0" borderId="2" xfId="1" applyNumberFormat="1" applyFont="1" applyBorder="1"/>
    <xf numFmtId="0" fontId="5" fillId="0" borderId="1" xfId="0" applyFont="1" applyBorder="1" applyAlignment="1">
      <alignment horizontal="right"/>
    </xf>
    <xf numFmtId="164" fontId="5" fillId="0" borderId="2" xfId="1" applyNumberFormat="1" applyFont="1" applyBorder="1"/>
    <xf numFmtId="0" fontId="2" fillId="0" borderId="0" xfId="0" applyFont="1" applyAlignment="1">
      <alignment horizontal="left"/>
    </xf>
    <xf numFmtId="165" fontId="2" fillId="0" borderId="0" xfId="2" applyNumberFormat="1" applyFont="1" applyAlignment="1">
      <alignment horizontal="center"/>
    </xf>
    <xf numFmtId="165" fontId="2" fillId="0" borderId="0" xfId="0" applyNumberFormat="1" applyFont="1" applyAlignment="1">
      <alignment horizontal="center"/>
    </xf>
    <xf numFmtId="0" fontId="5" fillId="0" borderId="3" xfId="0" applyFont="1" applyBorder="1" applyAlignment="1">
      <alignment horizontal="right"/>
    </xf>
    <xf numFmtId="164" fontId="5" fillId="0" borderId="2" xfId="1" applyNumberFormat="1" applyFont="1" applyFill="1" applyBorder="1"/>
    <xf numFmtId="0" fontId="5" fillId="0" borderId="0" xfId="0" applyFont="1" applyAlignment="1">
      <alignment horizontal="left"/>
    </xf>
    <xf numFmtId="0" fontId="3" fillId="0" borderId="0" xfId="0" applyFont="1" applyAlignment="1">
      <alignment horizontal="left"/>
    </xf>
    <xf numFmtId="165" fontId="3" fillId="0" borderId="0" xfId="0" applyNumberFormat="1" applyFont="1" applyAlignment="1">
      <alignment horizontal="center"/>
    </xf>
    <xf numFmtId="0" fontId="5" fillId="0" borderId="4" xfId="0" applyFont="1" applyBorder="1" applyAlignment="1">
      <alignment horizontal="right"/>
    </xf>
    <xf numFmtId="0" fontId="2" fillId="0" borderId="0" xfId="0" applyFont="1" applyAlignment="1">
      <alignment horizontal="center"/>
    </xf>
    <xf numFmtId="0" fontId="4" fillId="2" borderId="2" xfId="0" applyFont="1" applyFill="1" applyBorder="1" applyAlignment="1">
      <alignment horizontal="left"/>
    </xf>
    <xf numFmtId="164" fontId="4" fillId="2" borderId="2" xfId="1" applyNumberFormat="1" applyFont="1" applyFill="1" applyBorder="1" applyAlignment="1">
      <alignment horizontal="center"/>
    </xf>
    <xf numFmtId="9" fontId="5" fillId="0" borderId="2" xfId="3" applyFont="1" applyFill="1" applyBorder="1"/>
    <xf numFmtId="9" fontId="5" fillId="0" borderId="2" xfId="3" applyFont="1" applyBorder="1"/>
    <xf numFmtId="0" fontId="4" fillId="2" borderId="2" xfId="0" applyFont="1" applyFill="1" applyBorder="1"/>
    <xf numFmtId="0" fontId="5" fillId="0" borderId="3" xfId="0" applyFont="1" applyBorder="1" applyProtection="1">
      <protection locked="0"/>
    </xf>
    <xf numFmtId="43" fontId="5" fillId="0" borderId="2" xfId="1" applyFont="1" applyBorder="1"/>
    <xf numFmtId="43" fontId="5" fillId="0" borderId="2" xfId="1" applyFont="1" applyFill="1" applyBorder="1"/>
    <xf numFmtId="0" fontId="5" fillId="0" borderId="3" xfId="0" applyFont="1" applyBorder="1" applyAlignment="1" applyProtection="1">
      <alignment horizontal="left"/>
      <protection locked="0"/>
    </xf>
    <xf numFmtId="0" fontId="5" fillId="0" borderId="3" xfId="0" applyFont="1" applyBorder="1"/>
    <xf numFmtId="43" fontId="4" fillId="2" borderId="2" xfId="1" applyFont="1" applyFill="1" applyBorder="1"/>
    <xf numFmtId="0" fontId="4" fillId="0" borderId="3" xfId="0" applyFont="1" applyBorder="1"/>
    <xf numFmtId="0" fontId="5" fillId="0" borderId="3" xfId="0" applyFont="1" applyBorder="1" applyAlignment="1">
      <alignment horizontal="left"/>
    </xf>
    <xf numFmtId="0" fontId="4" fillId="3" borderId="3" xfId="0" applyFont="1" applyFill="1" applyBorder="1"/>
    <xf numFmtId="164" fontId="5" fillId="0" borderId="1" xfId="1" applyNumberFormat="1" applyFont="1" applyBorder="1"/>
    <xf numFmtId="0" fontId="4" fillId="3" borderId="6" xfId="0" applyFont="1" applyFill="1" applyBorder="1"/>
    <xf numFmtId="43" fontId="4" fillId="0" borderId="6" xfId="1" applyFont="1" applyBorder="1"/>
    <xf numFmtId="0" fontId="4" fillId="3" borderId="1" xfId="0" applyFont="1" applyFill="1" applyBorder="1"/>
    <xf numFmtId="43" fontId="4" fillId="0" borderId="2" xfId="1" applyFont="1" applyBorder="1"/>
    <xf numFmtId="0" fontId="4" fillId="3" borderId="7" xfId="0" applyFont="1" applyFill="1" applyBorder="1"/>
    <xf numFmtId="43" fontId="4" fillId="0" borderId="7" xfId="1" applyFont="1" applyBorder="1"/>
    <xf numFmtId="0" fontId="3" fillId="4" borderId="8" xfId="0" applyFont="1" applyFill="1" applyBorder="1" applyAlignment="1">
      <alignment horizontal="center"/>
    </xf>
    <xf numFmtId="0" fontId="3" fillId="4" borderId="8" xfId="0" applyFont="1" applyFill="1" applyBorder="1"/>
    <xf numFmtId="0" fontId="3" fillId="4" borderId="8" xfId="0" applyFont="1" applyFill="1" applyBorder="1" applyAlignment="1">
      <alignment horizontal="left"/>
    </xf>
    <xf numFmtId="164" fontId="3" fillId="4" borderId="8" xfId="0" applyNumberFormat="1" applyFont="1" applyFill="1" applyBorder="1" applyAlignment="1">
      <alignment horizontal="center"/>
    </xf>
    <xf numFmtId="0" fontId="2" fillId="0" borderId="5" xfId="0" applyFont="1" applyBorder="1" applyAlignment="1">
      <alignment horizontal="center"/>
    </xf>
    <xf numFmtId="0" fontId="2" fillId="0" borderId="5" xfId="0" quotePrefix="1" applyFont="1" applyBorder="1" applyAlignment="1">
      <alignment horizontal="left"/>
    </xf>
    <xf numFmtId="0" fontId="2" fillId="5" borderId="5" xfId="0" applyFont="1" applyFill="1" applyBorder="1" applyAlignment="1">
      <alignment horizontal="left"/>
    </xf>
    <xf numFmtId="0" fontId="2" fillId="0" borderId="5" xfId="0" applyFont="1" applyBorder="1" applyAlignment="1">
      <alignment horizontal="left"/>
    </xf>
    <xf numFmtId="164" fontId="2" fillId="0" borderId="5" xfId="1" applyNumberFormat="1" applyFont="1" applyFill="1" applyBorder="1"/>
    <xf numFmtId="0" fontId="2" fillId="0" borderId="9" xfId="0" applyFont="1" applyBorder="1" applyAlignment="1">
      <alignment horizontal="center"/>
    </xf>
    <xf numFmtId="0" fontId="2" fillId="0" borderId="9" xfId="0" applyFont="1" applyBorder="1" applyAlignment="1">
      <alignment horizontal="left"/>
    </xf>
    <xf numFmtId="164" fontId="2" fillId="0" borderId="9" xfId="1" applyNumberFormat="1" applyFont="1" applyFill="1" applyBorder="1"/>
    <xf numFmtId="0" fontId="2" fillId="6" borderId="9" xfId="0" applyFont="1" applyFill="1" applyBorder="1" applyAlignment="1">
      <alignment horizontal="left"/>
    </xf>
    <xf numFmtId="164" fontId="2" fillId="0" borderId="9" xfId="1" applyNumberFormat="1" applyFont="1" applyBorder="1"/>
    <xf numFmtId="0" fontId="2" fillId="0" borderId="10" xfId="0" applyFont="1" applyBorder="1" applyAlignment="1">
      <alignment horizontal="center"/>
    </xf>
    <xf numFmtId="0" fontId="2" fillId="0" borderId="10" xfId="0" applyFont="1" applyBorder="1" applyAlignment="1">
      <alignment horizontal="left"/>
    </xf>
    <xf numFmtId="164" fontId="2" fillId="0" borderId="10" xfId="1" applyNumberFormat="1" applyFont="1" applyBorder="1"/>
    <xf numFmtId="0" fontId="3" fillId="4" borderId="11" xfId="0" applyFont="1" applyFill="1" applyBorder="1" applyAlignment="1">
      <alignment horizontal="center"/>
    </xf>
    <xf numFmtId="0" fontId="3" fillId="4" borderId="11" xfId="0" applyFont="1" applyFill="1" applyBorder="1" applyAlignment="1">
      <alignment horizontal="right"/>
    </xf>
    <xf numFmtId="0" fontId="3" fillId="4" borderId="2" xfId="0" applyFont="1" applyFill="1" applyBorder="1"/>
    <xf numFmtId="0" fontId="3" fillId="4" borderId="2" xfId="0" applyFont="1" applyFill="1" applyBorder="1" applyAlignment="1">
      <alignment horizontal="right"/>
    </xf>
    <xf numFmtId="164" fontId="3" fillId="4" borderId="2" xfId="1" applyNumberFormat="1" applyFont="1" applyFill="1" applyBorder="1"/>
    <xf numFmtId="0" fontId="2" fillId="4" borderId="2" xfId="0" applyFont="1" applyFill="1" applyBorder="1"/>
    <xf numFmtId="0" fontId="2" fillId="4" borderId="2" xfId="0" applyFont="1" applyFill="1" applyBorder="1" applyAlignment="1">
      <alignment horizontal="left"/>
    </xf>
    <xf numFmtId="164" fontId="3" fillId="4" borderId="2" xfId="0" applyNumberFormat="1" applyFont="1" applyFill="1" applyBorder="1" applyAlignment="1">
      <alignment horizontal="center"/>
    </xf>
    <xf numFmtId="0" fontId="2" fillId="7" borderId="5" xfId="0" applyFont="1" applyFill="1" applyBorder="1" applyAlignment="1">
      <alignment horizontal="center"/>
    </xf>
    <xf numFmtId="0" fontId="3" fillId="8" borderId="8" xfId="0" applyFont="1" applyFill="1" applyBorder="1" applyAlignment="1">
      <alignment horizontal="center"/>
    </xf>
    <xf numFmtId="0" fontId="3" fillId="8" borderId="12" xfId="0" applyFont="1" applyFill="1" applyBorder="1"/>
    <xf numFmtId="0" fontId="3" fillId="8" borderId="13" xfId="0" applyFont="1" applyFill="1" applyBorder="1"/>
    <xf numFmtId="0" fontId="3" fillId="8" borderId="13" xfId="0" applyFont="1" applyFill="1" applyBorder="1" applyAlignment="1">
      <alignment horizontal="left"/>
    </xf>
    <xf numFmtId="164" fontId="3" fillId="8" borderId="13" xfId="0" applyNumberFormat="1" applyFont="1" applyFill="1" applyBorder="1" applyAlignment="1">
      <alignment horizontal="center"/>
    </xf>
    <xf numFmtId="0" fontId="3" fillId="8" borderId="14" xfId="0" applyFont="1" applyFill="1" applyBorder="1" applyAlignment="1">
      <alignment horizontal="center"/>
    </xf>
    <xf numFmtId="0" fontId="3" fillId="8" borderId="14" xfId="0" applyFont="1" applyFill="1" applyBorder="1" applyAlignment="1">
      <alignment horizontal="left"/>
    </xf>
    <xf numFmtId="0" fontId="3" fillId="8" borderId="15" xfId="0" applyFont="1" applyFill="1" applyBorder="1" applyAlignment="1">
      <alignment horizontal="left"/>
    </xf>
    <xf numFmtId="0" fontId="3" fillId="8" borderId="16" xfId="0" applyFont="1" applyFill="1" applyBorder="1" applyAlignment="1">
      <alignment horizontal="left"/>
    </xf>
    <xf numFmtId="0" fontId="2" fillId="8" borderId="2" xfId="0" applyFont="1" applyFill="1" applyBorder="1"/>
    <xf numFmtId="0" fontId="2" fillId="8" borderId="17" xfId="0" applyFont="1" applyFill="1" applyBorder="1" applyAlignment="1">
      <alignment horizontal="left"/>
    </xf>
    <xf numFmtId="0" fontId="2" fillId="8" borderId="11" xfId="0" applyFont="1" applyFill="1" applyBorder="1"/>
    <xf numFmtId="0" fontId="2" fillId="0" borderId="18" xfId="0" applyFont="1" applyBorder="1" applyAlignment="1">
      <alignment horizontal="left"/>
    </xf>
    <xf numFmtId="0" fontId="3" fillId="8" borderId="11" xfId="0" applyFont="1" applyFill="1" applyBorder="1" applyAlignment="1">
      <alignment horizontal="center"/>
    </xf>
    <xf numFmtId="0" fontId="3" fillId="8" borderId="11" xfId="0" applyFont="1" applyFill="1" applyBorder="1" applyAlignment="1">
      <alignment horizontal="left"/>
    </xf>
    <xf numFmtId="0" fontId="2" fillId="8" borderId="17" xfId="0" applyFont="1" applyFill="1" applyBorder="1"/>
    <xf numFmtId="0" fontId="2" fillId="8" borderId="11" xfId="0" applyFont="1" applyFill="1" applyBorder="1" applyAlignment="1">
      <alignment horizontal="left"/>
    </xf>
    <xf numFmtId="0" fontId="2" fillId="5" borderId="9" xfId="0" applyFont="1" applyFill="1" applyBorder="1" applyAlignment="1">
      <alignment horizontal="left"/>
    </xf>
    <xf numFmtId="0" fontId="2" fillId="9" borderId="9" xfId="0" applyFont="1" applyFill="1" applyBorder="1" applyAlignment="1">
      <alignment horizontal="center"/>
    </xf>
    <xf numFmtId="0" fontId="2" fillId="9" borderId="18" xfId="0" applyFont="1" applyFill="1" applyBorder="1" applyAlignment="1">
      <alignment horizontal="left"/>
    </xf>
    <xf numFmtId="0" fontId="2" fillId="9" borderId="5" xfId="0" applyFont="1" applyFill="1" applyBorder="1" applyAlignment="1">
      <alignment horizontal="left"/>
    </xf>
    <xf numFmtId="0" fontId="2" fillId="9" borderId="9" xfId="0" applyFont="1" applyFill="1" applyBorder="1" applyAlignment="1">
      <alignment horizontal="left"/>
    </xf>
    <xf numFmtId="0" fontId="2" fillId="0" borderId="19" xfId="0" applyFont="1" applyBorder="1" applyAlignment="1">
      <alignment horizontal="left"/>
    </xf>
    <xf numFmtId="0" fontId="2" fillId="9" borderId="19" xfId="0" applyFont="1" applyFill="1" applyBorder="1" applyAlignment="1">
      <alignment horizontal="left"/>
    </xf>
    <xf numFmtId="164" fontId="3" fillId="10" borderId="2" xfId="1" applyNumberFormat="1" applyFont="1" applyFill="1" applyBorder="1"/>
    <xf numFmtId="0" fontId="3" fillId="10" borderId="2" xfId="0" applyFont="1" applyFill="1" applyBorder="1"/>
    <xf numFmtId="0" fontId="3" fillId="10" borderId="2" xfId="0" applyFont="1" applyFill="1" applyBorder="1" applyAlignment="1">
      <alignment horizontal="left"/>
    </xf>
    <xf numFmtId="164" fontId="2" fillId="0" borderId="0" xfId="0" applyNumberFormat="1" applyFont="1"/>
    <xf numFmtId="43" fontId="2" fillId="0" borderId="0" xfId="0" applyNumberFormat="1" applyFont="1"/>
    <xf numFmtId="0" fontId="2" fillId="9" borderId="5" xfId="0" applyFont="1" applyFill="1" applyBorder="1" applyAlignment="1">
      <alignment horizontal="center"/>
    </xf>
    <xf numFmtId="164" fontId="3" fillId="10" borderId="11" xfId="1" applyNumberFormat="1" applyFont="1" applyFill="1" applyBorder="1"/>
    <xf numFmtId="164" fontId="2" fillId="0" borderId="0" xfId="1" applyNumberFormat="1" applyFont="1"/>
    <xf numFmtId="0" fontId="3" fillId="8" borderId="17" xfId="0" applyFont="1" applyFill="1" applyBorder="1"/>
    <xf numFmtId="164" fontId="3" fillId="8" borderId="11" xfId="1" applyNumberFormat="1" applyFont="1" applyFill="1" applyBorder="1" applyAlignment="1">
      <alignment horizontal="center"/>
    </xf>
    <xf numFmtId="164" fontId="2" fillId="0" borderId="5" xfId="1" applyNumberFormat="1" applyFont="1" applyBorder="1"/>
    <xf numFmtId="0" fontId="2" fillId="10" borderId="2" xfId="0" applyFont="1" applyFill="1" applyBorder="1" applyAlignment="1">
      <alignment horizontal="left"/>
    </xf>
    <xf numFmtId="164" fontId="2" fillId="0" borderId="0" xfId="1" applyNumberFormat="1" applyFont="1" applyFill="1"/>
    <xf numFmtId="0" fontId="3" fillId="8" borderId="11" xfId="0" applyFont="1" applyFill="1" applyBorder="1"/>
    <xf numFmtId="0" fontId="5" fillId="0" borderId="5" xfId="0" applyFont="1" applyBorder="1" applyAlignment="1">
      <alignment horizontal="center"/>
    </xf>
    <xf numFmtId="0" fontId="5" fillId="0" borderId="5" xfId="0" applyFont="1" applyBorder="1" applyAlignment="1">
      <alignment horizontal="left"/>
    </xf>
    <xf numFmtId="0" fontId="5" fillId="0" borderId="9" xfId="0" applyFont="1" applyBorder="1" applyAlignment="1">
      <alignment horizontal="center"/>
    </xf>
    <xf numFmtId="0" fontId="5" fillId="0" borderId="9" xfId="0" applyFont="1" applyBorder="1" applyAlignment="1">
      <alignment horizontal="left"/>
    </xf>
    <xf numFmtId="0" fontId="5" fillId="0" borderId="9" xfId="0" applyFont="1" applyBorder="1"/>
    <xf numFmtId="0" fontId="5" fillId="0" borderId="10" xfId="0" applyFont="1" applyBorder="1" applyAlignment="1">
      <alignment horizontal="center"/>
    </xf>
    <xf numFmtId="0" fontId="5" fillId="0" borderId="10" xfId="0" applyFont="1" applyBorder="1"/>
    <xf numFmtId="0" fontId="4" fillId="10" borderId="2" xfId="0" applyFont="1" applyFill="1" applyBorder="1"/>
    <xf numFmtId="0" fontId="5" fillId="0" borderId="5" xfId="0" applyFont="1" applyBorder="1"/>
    <xf numFmtId="0" fontId="3" fillId="10" borderId="1" xfId="0" applyFont="1" applyFill="1" applyBorder="1"/>
    <xf numFmtId="0" fontId="2" fillId="0" borderId="21" xfId="0" applyFont="1" applyBorder="1"/>
    <xf numFmtId="0" fontId="5" fillId="0" borderId="20" xfId="0" applyFont="1" applyBorder="1" applyAlignment="1">
      <alignment horizontal="center"/>
    </xf>
    <xf numFmtId="0" fontId="5" fillId="0" borderId="20" xfId="0" applyFont="1" applyBorder="1"/>
    <xf numFmtId="164" fontId="3" fillId="8" borderId="23" xfId="1" applyNumberFormat="1" applyFont="1" applyFill="1" applyBorder="1"/>
    <xf numFmtId="0" fontId="2" fillId="8" borderId="25" xfId="0" applyFont="1" applyFill="1" applyBorder="1"/>
    <xf numFmtId="0" fontId="2" fillId="8" borderId="25" xfId="0" applyFont="1" applyFill="1" applyBorder="1" applyAlignment="1">
      <alignment horizontal="left"/>
    </xf>
    <xf numFmtId="164" fontId="2" fillId="8" borderId="25" xfId="1" applyNumberFormat="1" applyFont="1" applyFill="1" applyBorder="1"/>
    <xf numFmtId="0" fontId="5" fillId="0" borderId="26" xfId="0" applyFont="1" applyBorder="1" applyAlignment="1">
      <alignment horizontal="center"/>
    </xf>
    <xf numFmtId="0" fontId="5" fillId="0" borderId="26" xfId="0" applyFont="1" applyBorder="1"/>
    <xf numFmtId="164" fontId="2" fillId="0" borderId="26" xfId="1" applyNumberFormat="1" applyFont="1" applyBorder="1"/>
    <xf numFmtId="0" fontId="5" fillId="0" borderId="27" xfId="0" applyFont="1" applyBorder="1" applyAlignment="1">
      <alignment horizontal="center"/>
    </xf>
    <xf numFmtId="0" fontId="5" fillId="0" borderId="27" xfId="0" applyFont="1" applyBorder="1"/>
    <xf numFmtId="164" fontId="2" fillId="0" borderId="27" xfId="1" applyNumberFormat="1" applyFont="1" applyBorder="1"/>
    <xf numFmtId="0" fontId="5" fillId="0" borderId="28" xfId="0" applyFont="1" applyBorder="1"/>
    <xf numFmtId="164" fontId="2" fillId="0" borderId="28" xfId="1" applyNumberFormat="1" applyFont="1" applyBorder="1"/>
    <xf numFmtId="0" fontId="3" fillId="11" borderId="25" xfId="0" applyFont="1" applyFill="1" applyBorder="1" applyAlignment="1">
      <alignment horizontal="center"/>
    </xf>
    <xf numFmtId="0" fontId="3" fillId="11" borderId="25" xfId="0" applyFont="1" applyFill="1" applyBorder="1" applyAlignment="1">
      <alignment horizontal="left"/>
    </xf>
    <xf numFmtId="0" fontId="3" fillId="11" borderId="12" xfId="0" applyFont="1" applyFill="1" applyBorder="1"/>
    <xf numFmtId="0" fontId="2" fillId="11" borderId="25" xfId="0" applyFont="1" applyFill="1" applyBorder="1"/>
    <xf numFmtId="0" fontId="3" fillId="11" borderId="29" xfId="0" applyFont="1" applyFill="1" applyBorder="1" applyAlignment="1">
      <alignment horizontal="left"/>
    </xf>
    <xf numFmtId="164" fontId="3" fillId="11" borderId="29" xfId="1" applyNumberFormat="1" applyFont="1" applyFill="1" applyBorder="1"/>
    <xf numFmtId="164" fontId="3" fillId="0" borderId="0" xfId="1" applyNumberFormat="1" applyFont="1" applyAlignment="1">
      <alignment horizontal="center"/>
    </xf>
    <xf numFmtId="0" fontId="5" fillId="0" borderId="0" xfId="0" applyFont="1"/>
    <xf numFmtId="0" fontId="3" fillId="12" borderId="12" xfId="0" applyFont="1" applyFill="1" applyBorder="1"/>
    <xf numFmtId="0" fontId="2" fillId="12" borderId="25" xfId="0" applyFont="1" applyFill="1" applyBorder="1"/>
    <xf numFmtId="0" fontId="3" fillId="12" borderId="29" xfId="0" applyFont="1" applyFill="1" applyBorder="1" applyAlignment="1">
      <alignment horizontal="left"/>
    </xf>
    <xf numFmtId="164" fontId="3" fillId="12" borderId="29" xfId="1" applyNumberFormat="1" applyFont="1" applyFill="1" applyBorder="1"/>
    <xf numFmtId="44" fontId="2" fillId="0" borderId="0" xfId="2" applyFont="1"/>
    <xf numFmtId="164" fontId="3" fillId="0" borderId="0" xfId="0" applyNumberFormat="1" applyFont="1" applyAlignment="1">
      <alignment horizontal="center"/>
    </xf>
    <xf numFmtId="0" fontId="9" fillId="0" borderId="0" xfId="0" applyFont="1"/>
    <xf numFmtId="10" fontId="10" fillId="0" borderId="0" xfId="3" applyNumberFormat="1" applyFont="1"/>
    <xf numFmtId="0" fontId="10" fillId="0" borderId="0" xfId="0" applyFont="1" applyAlignment="1">
      <alignment horizontal="right"/>
    </xf>
    <xf numFmtId="10" fontId="9" fillId="0" borderId="1" xfId="3" applyNumberFormat="1" applyFont="1" applyBorder="1"/>
    <xf numFmtId="164" fontId="9" fillId="0" borderId="1" xfId="0" applyNumberFormat="1" applyFont="1" applyBorder="1"/>
    <xf numFmtId="164" fontId="9" fillId="0" borderId="1" xfId="1" applyNumberFormat="1" applyFont="1" applyBorder="1"/>
    <xf numFmtId="0" fontId="9" fillId="0" borderId="1" xfId="0" applyFont="1" applyBorder="1"/>
    <xf numFmtId="10" fontId="9" fillId="0" borderId="2" xfId="3" applyNumberFormat="1" applyFont="1" applyBorder="1"/>
    <xf numFmtId="164" fontId="9" fillId="0" borderId="2" xfId="0" applyNumberFormat="1" applyFont="1" applyBorder="1"/>
    <xf numFmtId="164" fontId="9" fillId="0" borderId="2" xfId="1" applyNumberFormat="1" applyFont="1" applyBorder="1"/>
    <xf numFmtId="0" fontId="9" fillId="0" borderId="2" xfId="0" applyFont="1" applyBorder="1"/>
    <xf numFmtId="0" fontId="11" fillId="0" borderId="0" xfId="0" applyFont="1" applyAlignment="1">
      <alignment horizontal="center"/>
    </xf>
    <xf numFmtId="2" fontId="6" fillId="0" borderId="3" xfId="0" applyNumberFormat="1" applyFont="1" applyBorder="1" applyAlignment="1">
      <alignment horizontal="center"/>
    </xf>
    <xf numFmtId="0" fontId="11" fillId="0" borderId="2" xfId="0" applyFont="1" applyBorder="1" applyAlignment="1">
      <alignment horizontal="center"/>
    </xf>
    <xf numFmtId="0" fontId="12" fillId="0" borderId="2" xfId="0" applyFont="1" applyBorder="1" applyAlignment="1">
      <alignment horizontal="center"/>
    </xf>
    <xf numFmtId="43" fontId="9" fillId="0" borderId="0" xfId="1" applyFont="1"/>
    <xf numFmtId="10" fontId="2" fillId="0" borderId="0" xfId="3" applyNumberFormat="1" applyFont="1"/>
    <xf numFmtId="164" fontId="5" fillId="8" borderId="11" xfId="0" applyNumberFormat="1" applyFont="1" applyFill="1" applyBorder="1"/>
    <xf numFmtId="164" fontId="5" fillId="0" borderId="0" xfId="1" applyNumberFormat="1" applyFont="1" applyBorder="1"/>
    <xf numFmtId="164" fontId="5" fillId="8" borderId="11" xfId="1" applyNumberFormat="1" applyFont="1" applyFill="1" applyBorder="1"/>
    <xf numFmtId="0" fontId="3" fillId="13" borderId="11" xfId="0" applyFont="1" applyFill="1" applyBorder="1"/>
    <xf numFmtId="43" fontId="4" fillId="13" borderId="11" xfId="1" applyFont="1" applyFill="1" applyBorder="1"/>
    <xf numFmtId="0" fontId="2" fillId="4" borderId="11" xfId="0" applyFont="1" applyFill="1" applyBorder="1"/>
    <xf numFmtId="0" fontId="3" fillId="4" borderId="11" xfId="0" applyFont="1" applyFill="1" applyBorder="1"/>
    <xf numFmtId="0" fontId="2" fillId="14" borderId="0" xfId="0" applyFont="1" applyFill="1"/>
    <xf numFmtId="164" fontId="4" fillId="14" borderId="21" xfId="1" applyNumberFormat="1" applyFont="1" applyFill="1" applyBorder="1"/>
    <xf numFmtId="41" fontId="5" fillId="5" borderId="0" xfId="0" applyNumberFormat="1" applyFont="1" applyFill="1"/>
    <xf numFmtId="164" fontId="6" fillId="4" borderId="11" xfId="1" applyNumberFormat="1" applyFont="1" applyFill="1" applyBorder="1"/>
    <xf numFmtId="0" fontId="3" fillId="15" borderId="11" xfId="0" applyFont="1" applyFill="1" applyBorder="1"/>
    <xf numFmtId="43" fontId="4" fillId="15" borderId="11" xfId="1" applyFont="1" applyFill="1" applyBorder="1"/>
    <xf numFmtId="164" fontId="5" fillId="0" borderId="21" xfId="1" applyNumberFormat="1" applyFont="1" applyFill="1" applyBorder="1"/>
    <xf numFmtId="0" fontId="3" fillId="16" borderId="0" xfId="0" applyFont="1" applyFill="1" applyAlignment="1">
      <alignment horizontal="center"/>
    </xf>
    <xf numFmtId="0" fontId="2" fillId="0" borderId="5" xfId="0" applyFont="1" applyBorder="1"/>
    <xf numFmtId="0" fontId="2" fillId="0" borderId="10" xfId="0" applyFont="1" applyBorder="1"/>
    <xf numFmtId="164" fontId="2" fillId="9" borderId="5" xfId="1" applyNumberFormat="1" applyFont="1" applyFill="1" applyBorder="1"/>
    <xf numFmtId="0" fontId="3" fillId="8" borderId="22" xfId="0" applyFont="1" applyFill="1" applyBorder="1" applyAlignment="1">
      <alignment horizontal="left" wrapText="1"/>
    </xf>
    <xf numFmtId="0" fontId="3" fillId="8" borderId="23" xfId="0" applyFont="1" applyFill="1" applyBorder="1" applyAlignment="1">
      <alignment horizontal="left" wrapText="1"/>
    </xf>
    <xf numFmtId="0" fontId="3" fillId="8" borderId="12" xfId="0" applyFont="1" applyFill="1" applyBorder="1" applyAlignment="1">
      <alignment horizontal="left" wrapText="1"/>
    </xf>
    <xf numFmtId="0" fontId="3" fillId="8" borderId="25" xfId="0" applyFont="1" applyFill="1" applyBorder="1" applyAlignment="1">
      <alignment horizontal="left" wrapText="1"/>
    </xf>
    <xf numFmtId="0" fontId="3" fillId="8" borderId="31" xfId="0" applyFont="1" applyFill="1" applyBorder="1" applyAlignment="1">
      <alignment horizontal="left" wrapText="1"/>
    </xf>
    <xf numFmtId="0" fontId="11" fillId="0" borderId="30" xfId="0" applyFont="1" applyBorder="1" applyAlignment="1">
      <alignment horizontal="center"/>
    </xf>
    <xf numFmtId="0" fontId="2" fillId="0" borderId="12" xfId="0" applyFont="1" applyBorder="1" applyAlignment="1">
      <alignment horizontal="left"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cellXfs>
  <cellStyles count="8">
    <cellStyle name="Comma" xfId="1" builtinId="3"/>
    <cellStyle name="Comma 2" xfId="7" xr:uid="{EBC3A551-DE97-434C-B0BF-EAD6E7F1D4BC}"/>
    <cellStyle name="Currency" xfId="2" builtinId="4"/>
    <cellStyle name="Currency 2" xfId="5" xr:uid="{1068F826-86F9-4A95-A809-AB02BEBF0CAA}"/>
    <cellStyle name="Normal" xfId="0" builtinId="0"/>
    <cellStyle name="Normal 2" xfId="4" xr:uid="{8EBBEC7F-B926-4B4F-9E1D-F4518BA87F38}"/>
    <cellStyle name="Percent" xfId="3" builtinId="5"/>
    <cellStyle name="Percent 2" xfId="6" xr:uid="{D91B39CA-CD51-4905-8962-EA02D4A986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C893C-F112-4BE6-8DE0-D376D837F87A}">
  <sheetPr>
    <pageSetUpPr fitToPage="1"/>
  </sheetPr>
  <dimension ref="A1:P320"/>
  <sheetViews>
    <sheetView tabSelected="1" view="pageBreakPreview" zoomScale="60" zoomScaleNormal="75" workbookViewId="0">
      <selection activeCell="G1" sqref="G1:O291"/>
    </sheetView>
  </sheetViews>
  <sheetFormatPr defaultColWidth="8.7109375" defaultRowHeight="15.75" x14ac:dyDescent="0.25"/>
  <cols>
    <col min="1" max="1" width="46.7109375" style="1" customWidth="1"/>
    <col min="2" max="2" width="24.5703125" style="1" customWidth="1"/>
    <col min="3" max="3" width="31.28515625" style="1" customWidth="1"/>
    <col min="4" max="4" width="41.7109375" style="1" customWidth="1"/>
    <col min="5" max="5" width="57.28515625" style="1" bestFit="1" customWidth="1"/>
    <col min="6" max="8" width="1.7109375" style="1" customWidth="1"/>
    <col min="9" max="9" width="53.85546875" style="11" bestFit="1" customWidth="1"/>
    <col min="10" max="15" width="18.5703125" style="1" customWidth="1"/>
    <col min="16" max="16" width="6.28515625" style="1" bestFit="1" customWidth="1"/>
    <col min="17" max="16384" width="8.7109375" style="1"/>
  </cols>
  <sheetData>
    <row r="1" spans="1:16" x14ac:dyDescent="0.25">
      <c r="B1" s="2" t="s">
        <v>0</v>
      </c>
      <c r="C1" s="2"/>
      <c r="G1" s="3"/>
      <c r="I1" s="4" t="s">
        <v>401</v>
      </c>
      <c r="J1" s="4" t="s">
        <v>10</v>
      </c>
      <c r="K1" s="144" t="s">
        <v>44</v>
      </c>
      <c r="L1" s="144" t="s">
        <v>40</v>
      </c>
      <c r="M1" s="144" t="s">
        <v>45</v>
      </c>
      <c r="N1" s="144" t="s">
        <v>46</v>
      </c>
      <c r="O1" s="144" t="s">
        <v>48</v>
      </c>
    </row>
    <row r="2" spans="1:16" x14ac:dyDescent="0.25">
      <c r="B2" s="2" t="s">
        <v>1</v>
      </c>
      <c r="C2" s="2"/>
      <c r="I2" s="5" t="s">
        <v>2</v>
      </c>
      <c r="J2" s="6">
        <f>ROUND(9416*1,0)</f>
        <v>9416</v>
      </c>
      <c r="K2" s="6"/>
      <c r="L2" s="6"/>
      <c r="M2" s="6"/>
      <c r="N2" s="6"/>
      <c r="O2" s="6">
        <f>SUM(J2:N2)</f>
        <v>9416</v>
      </c>
    </row>
    <row r="3" spans="1:16" x14ac:dyDescent="0.25">
      <c r="I3" s="7" t="s">
        <v>3</v>
      </c>
      <c r="J3" s="8">
        <f>J4+J5+J6+J7+J8+J9+J10+J11+J12+J13+J14+J15+J16</f>
        <v>106</v>
      </c>
      <c r="K3" s="8"/>
      <c r="L3" s="8"/>
      <c r="M3" s="8"/>
      <c r="N3" s="8"/>
      <c r="O3" s="8">
        <f t="shared" ref="O3" si="0">O4+O5+O6+O7+O8+O9+O10+O11+O12+O13+O14+O15+O16</f>
        <v>106</v>
      </c>
    </row>
    <row r="4" spans="1:16" x14ac:dyDescent="0.25">
      <c r="A4" s="4" t="s">
        <v>4</v>
      </c>
      <c r="C4" s="4" t="s">
        <v>5</v>
      </c>
      <c r="D4" s="4" t="s">
        <v>6</v>
      </c>
      <c r="E4" s="4" t="s">
        <v>7</v>
      </c>
      <c r="I4" s="9" t="s">
        <v>8</v>
      </c>
      <c r="J4" s="10">
        <v>0</v>
      </c>
      <c r="K4" s="10"/>
      <c r="L4" s="10"/>
      <c r="M4" s="10"/>
      <c r="N4" s="10"/>
      <c r="O4" s="10">
        <f>SUM(J4:N4)</f>
        <v>0</v>
      </c>
      <c r="P4" s="157"/>
    </row>
    <row r="5" spans="1:16" x14ac:dyDescent="0.25">
      <c r="A5" s="11" t="s">
        <v>9</v>
      </c>
      <c r="B5" s="11" t="s">
        <v>10</v>
      </c>
      <c r="C5" s="12">
        <f>SUMIF('25-26'!$D$68:$D$88,A5,O68:O88)</f>
        <v>998096</v>
      </c>
      <c r="D5" s="12">
        <f>SUMIF('25-26'!$D$92:$D$289,A5,'25-26'!$O$92:$O$289)</f>
        <v>1671013.7670047174</v>
      </c>
      <c r="E5" s="13">
        <f t="shared" ref="E5:E12" si="1">C5-D5</f>
        <v>-672917.76700471737</v>
      </c>
      <c r="I5" s="7" t="s">
        <v>11</v>
      </c>
      <c r="J5" s="10">
        <v>0</v>
      </c>
      <c r="K5" s="10"/>
      <c r="L5" s="10"/>
      <c r="M5" s="10"/>
      <c r="N5" s="10"/>
      <c r="O5" s="10">
        <f t="shared" ref="O5:O16" si="2">SUM(J5:N5)</f>
        <v>0</v>
      </c>
      <c r="P5" s="157"/>
    </row>
    <row r="6" spans="1:16" x14ac:dyDescent="0.25">
      <c r="A6" s="11" t="s">
        <v>12</v>
      </c>
      <c r="B6" s="11" t="s">
        <v>13</v>
      </c>
      <c r="C6" s="12">
        <f>SUMIF('25-26'!$D$68:$D$88,A6,O69:O89)</f>
        <v>0</v>
      </c>
      <c r="D6" s="12">
        <f>SUMIF('25-26'!$D$92:$D$289,A6,'25-26'!$O$92:$O$289)</f>
        <v>111853.48799528301</v>
      </c>
      <c r="E6" s="13">
        <f t="shared" si="1"/>
        <v>-111853.48799528301</v>
      </c>
      <c r="I6" s="7" t="s">
        <v>14</v>
      </c>
      <c r="J6" s="10">
        <v>0</v>
      </c>
      <c r="K6" s="10"/>
      <c r="L6" s="10"/>
      <c r="M6" s="10"/>
      <c r="N6" s="10"/>
      <c r="O6" s="10">
        <f t="shared" si="2"/>
        <v>0</v>
      </c>
      <c r="P6" s="157"/>
    </row>
    <row r="7" spans="1:16" x14ac:dyDescent="0.25">
      <c r="A7" s="11" t="s">
        <v>15</v>
      </c>
      <c r="B7" s="11" t="s">
        <v>16</v>
      </c>
      <c r="C7" s="12">
        <f>SUMIF('25-26'!$D$68:$D$88,A7,O70:O90)</f>
        <v>49722.3</v>
      </c>
      <c r="D7" s="12">
        <f>SUMIF('25-26'!$D$92:$D$289,A7,'25-26'!$O$92:$O$289)</f>
        <v>0</v>
      </c>
      <c r="E7" s="13">
        <f t="shared" si="1"/>
        <v>49722.3</v>
      </c>
      <c r="I7" s="14" t="s">
        <v>17</v>
      </c>
      <c r="J7" s="10">
        <v>0</v>
      </c>
      <c r="K7" s="10"/>
      <c r="L7" s="10"/>
      <c r="M7" s="10"/>
      <c r="N7" s="10"/>
      <c r="O7" s="10">
        <f t="shared" si="2"/>
        <v>0</v>
      </c>
      <c r="P7" s="157"/>
    </row>
    <row r="8" spans="1:16" x14ac:dyDescent="0.25">
      <c r="A8" s="11" t="s">
        <v>18</v>
      </c>
      <c r="B8" s="11" t="s">
        <v>19</v>
      </c>
      <c r="C8" s="12">
        <f>SUMIF('25-26'!$D$68:$D$88,A8,O71:O91)</f>
        <v>32698.992074025962</v>
      </c>
      <c r="D8" s="12">
        <f>SUMIF('25-26'!$D$92:$D$289,A8,'25-26'!$O$92:$O$289)</f>
        <v>7487.5</v>
      </c>
      <c r="E8" s="13">
        <f t="shared" si="1"/>
        <v>25211.492074025962</v>
      </c>
      <c r="I8" s="14" t="s">
        <v>20</v>
      </c>
      <c r="J8" s="10">
        <v>0</v>
      </c>
      <c r="K8" s="10"/>
      <c r="L8" s="10"/>
      <c r="M8" s="10"/>
      <c r="N8" s="10"/>
      <c r="O8" s="10">
        <f t="shared" si="2"/>
        <v>0</v>
      </c>
      <c r="P8" s="157"/>
    </row>
    <row r="9" spans="1:16" x14ac:dyDescent="0.25">
      <c r="A9" s="11" t="s">
        <v>21</v>
      </c>
      <c r="B9" s="11" t="s">
        <v>22</v>
      </c>
      <c r="C9" s="12">
        <f>SUMIF('25-26'!$D$68:$D$88,A9,O72:O92)</f>
        <v>0</v>
      </c>
      <c r="D9" s="12">
        <f>SUMIF('25-26'!$D$92:$D$289,A9,'25-26'!$O$92:$O$289)</f>
        <v>49722.3</v>
      </c>
      <c r="E9" s="13">
        <f t="shared" si="1"/>
        <v>-49722.3</v>
      </c>
      <c r="I9" s="14" t="s">
        <v>23</v>
      </c>
      <c r="J9" s="10">
        <v>0</v>
      </c>
      <c r="K9" s="10"/>
      <c r="L9" s="10"/>
      <c r="M9" s="10"/>
      <c r="N9" s="10"/>
      <c r="O9" s="10">
        <f t="shared" si="2"/>
        <v>0</v>
      </c>
      <c r="P9" s="157"/>
    </row>
    <row r="10" spans="1:16" x14ac:dyDescent="0.25">
      <c r="A10" s="11" t="s">
        <v>24</v>
      </c>
      <c r="B10" s="11" t="s">
        <v>25</v>
      </c>
      <c r="C10" s="12">
        <f>SUMIF('25-26'!$D$68:$D$88,A10,O73:O93)</f>
        <v>48816</v>
      </c>
      <c r="D10" s="12">
        <f>SUMIF('25-26'!$D$92:$D$289,A10,'25-26'!$O$92:$O$289)</f>
        <v>80000</v>
      </c>
      <c r="E10" s="13">
        <f t="shared" si="1"/>
        <v>-31184</v>
      </c>
      <c r="I10" s="14" t="s">
        <v>26</v>
      </c>
      <c r="J10" s="10">
        <v>23</v>
      </c>
      <c r="K10" s="15"/>
      <c r="L10" s="15"/>
      <c r="M10" s="15"/>
      <c r="N10" s="15"/>
      <c r="O10" s="10">
        <f t="shared" si="2"/>
        <v>23</v>
      </c>
      <c r="P10" s="157">
        <v>1</v>
      </c>
    </row>
    <row r="11" spans="1:16" x14ac:dyDescent="0.25">
      <c r="A11" s="11" t="s">
        <v>27</v>
      </c>
      <c r="B11" s="11" t="s">
        <v>28</v>
      </c>
      <c r="C11" s="12">
        <f>SUMIF('25-26'!$D$68:$D$88,A11,O74:O94)</f>
        <v>746486.80740000005</v>
      </c>
      <c r="D11" s="12">
        <f>SUMIF('25-26'!$D$92:$D$289,A11,'25-26'!$O$92:$O$289)</f>
        <v>123064.88750000001</v>
      </c>
      <c r="E11" s="13">
        <f t="shared" si="1"/>
        <v>623421.9199000001</v>
      </c>
      <c r="I11" s="14" t="s">
        <v>29</v>
      </c>
      <c r="J11" s="10">
        <v>34</v>
      </c>
      <c r="K11" s="15"/>
      <c r="L11" s="15"/>
      <c r="M11" s="15"/>
      <c r="N11" s="15"/>
      <c r="O11" s="10">
        <f t="shared" si="2"/>
        <v>34</v>
      </c>
      <c r="P11" s="157">
        <v>1</v>
      </c>
    </row>
    <row r="12" spans="1:16" x14ac:dyDescent="0.25">
      <c r="A12" s="11" t="s">
        <v>30</v>
      </c>
      <c r="B12" s="11" t="s">
        <v>31</v>
      </c>
      <c r="C12" s="12">
        <f>SUMIF('25-26'!$D$68:$D$88,A12,O75:O95)</f>
        <v>0</v>
      </c>
      <c r="D12" s="12">
        <f>SUMIF('25-26'!$D$92:$D$289,A12,'25-26'!$O$92:$O$289)</f>
        <v>0</v>
      </c>
      <c r="E12" s="13">
        <f t="shared" si="1"/>
        <v>0</v>
      </c>
      <c r="I12" s="14" t="s">
        <v>32</v>
      </c>
      <c r="J12" s="10">
        <v>22</v>
      </c>
      <c r="K12" s="15"/>
      <c r="L12" s="15"/>
      <c r="M12" s="15"/>
      <c r="N12" s="15"/>
      <c r="O12" s="10">
        <f t="shared" si="2"/>
        <v>22</v>
      </c>
      <c r="P12" s="157">
        <v>1</v>
      </c>
    </row>
    <row r="13" spans="1:16" x14ac:dyDescent="0.25">
      <c r="A13" s="16" t="s">
        <v>33</v>
      </c>
      <c r="B13" s="11" t="s">
        <v>34</v>
      </c>
      <c r="C13" s="12">
        <f>SUMIF('25-26'!$D$68:$D$88,A13,O76:O96)</f>
        <v>0</v>
      </c>
      <c r="D13" s="12">
        <f>SUMIF('25-26'!$D$92:$D$289,A13,'25-26'!$O$92:$O$289)</f>
        <v>0</v>
      </c>
      <c r="E13" s="13">
        <f>C13-D13</f>
        <v>0</v>
      </c>
      <c r="I13" s="14" t="s">
        <v>35</v>
      </c>
      <c r="J13" s="10">
        <v>14</v>
      </c>
      <c r="K13" s="15"/>
      <c r="L13" s="15"/>
      <c r="M13" s="15"/>
      <c r="N13" s="15"/>
      <c r="O13" s="10">
        <f t="shared" si="2"/>
        <v>14</v>
      </c>
      <c r="P13" s="157">
        <v>1</v>
      </c>
    </row>
    <row r="14" spans="1:16" x14ac:dyDescent="0.25">
      <c r="A14" s="11" t="s">
        <v>36</v>
      </c>
      <c r="B14" s="11" t="s">
        <v>37</v>
      </c>
      <c r="C14" s="12">
        <f>SUMIF('25-26'!$D$68:$D$88,A14,O77:O97)</f>
        <v>0</v>
      </c>
      <c r="D14" s="12">
        <f>SUMIF('25-26'!$D$92:$D$289,A14,'25-26'!$O$92:$O$289)</f>
        <v>36764.577499999999</v>
      </c>
      <c r="E14" s="13">
        <f>C14-D14</f>
        <v>-36764.577499999999</v>
      </c>
      <c r="I14" s="14" t="s">
        <v>38</v>
      </c>
      <c r="J14" s="10">
        <v>13</v>
      </c>
      <c r="K14" s="15"/>
      <c r="L14" s="15"/>
      <c r="M14" s="15"/>
      <c r="N14" s="15"/>
      <c r="O14" s="10">
        <f t="shared" si="2"/>
        <v>13</v>
      </c>
      <c r="P14" s="157">
        <v>1</v>
      </c>
    </row>
    <row r="15" spans="1:16" x14ac:dyDescent="0.25">
      <c r="A15" s="11" t="s">
        <v>39</v>
      </c>
      <c r="B15" s="11" t="s">
        <v>40</v>
      </c>
      <c r="C15" s="12">
        <f>SUMIF('25-26'!$D$68:$D$88,A15,O78:O98)</f>
        <v>0</v>
      </c>
      <c r="D15" s="12">
        <f>SUMIF('25-26'!$D$92:$D$289,A15,'25-26'!$O$92:$O$289)</f>
        <v>127231.6575</v>
      </c>
      <c r="E15" s="13">
        <f>C15-D15</f>
        <v>-127231.6575</v>
      </c>
      <c r="I15" s="14" t="s">
        <v>41</v>
      </c>
      <c r="J15" s="15">
        <v>0</v>
      </c>
      <c r="K15" s="15"/>
      <c r="L15" s="15"/>
      <c r="M15" s="15"/>
      <c r="N15" s="15"/>
      <c r="O15" s="10">
        <f t="shared" si="2"/>
        <v>0</v>
      </c>
      <c r="P15" s="157"/>
    </row>
    <row r="16" spans="1:16" x14ac:dyDescent="0.25">
      <c r="A16" s="17"/>
      <c r="C16" s="4"/>
      <c r="D16" s="4"/>
      <c r="E16" s="4"/>
      <c r="I16" s="14" t="s">
        <v>42</v>
      </c>
      <c r="J16" s="10">
        <v>0</v>
      </c>
      <c r="K16" s="10"/>
      <c r="L16" s="10"/>
      <c r="M16" s="10"/>
      <c r="N16" s="10"/>
      <c r="O16" s="10">
        <f t="shared" si="2"/>
        <v>0</v>
      </c>
      <c r="P16" s="157"/>
    </row>
    <row r="17" spans="1:16" x14ac:dyDescent="0.25">
      <c r="A17" s="4"/>
      <c r="C17" s="18">
        <f>SUM(C5:C16)</f>
        <v>1875820.0994740261</v>
      </c>
      <c r="D17" s="18">
        <f>SUM(D5:D16)</f>
        <v>2207138.1775000002</v>
      </c>
      <c r="E17" s="18">
        <f>SUM(E5:E16)</f>
        <v>-331318.07802597433</v>
      </c>
      <c r="I17" s="19" t="s">
        <v>3</v>
      </c>
      <c r="J17" s="8">
        <f>SUM(J4:J16)</f>
        <v>106</v>
      </c>
      <c r="K17" s="8">
        <f t="shared" ref="K17:O17" si="3">SUM(K4:K16)</f>
        <v>0</v>
      </c>
      <c r="L17" s="8">
        <f t="shared" si="3"/>
        <v>0</v>
      </c>
      <c r="M17" s="8">
        <f t="shared" si="3"/>
        <v>0</v>
      </c>
      <c r="N17" s="8">
        <f t="shared" si="3"/>
        <v>0</v>
      </c>
      <c r="O17" s="8">
        <f t="shared" si="3"/>
        <v>106</v>
      </c>
      <c r="P17" s="157">
        <f>SUM(P4:P16)</f>
        <v>5</v>
      </c>
    </row>
    <row r="18" spans="1:16" x14ac:dyDescent="0.25">
      <c r="A18" s="11"/>
      <c r="C18" s="20" t="e">
        <f>C17=('25-26'!#REF!+'25-26'!#REF!)</f>
        <v>#REF!</v>
      </c>
      <c r="D18" s="1" t="e">
        <f>D17=('25-26'!#REF!+'25-26'!#REF!)</f>
        <v>#REF!</v>
      </c>
      <c r="E18" s="20" t="e">
        <f>ROUND(E17,2)=ROUND('25-26'!#REF!,2)</f>
        <v>#REF!</v>
      </c>
    </row>
    <row r="20" spans="1:16" x14ac:dyDescent="0.25">
      <c r="I20" s="21" t="s">
        <v>43</v>
      </c>
      <c r="J20" s="22" t="s">
        <v>10</v>
      </c>
      <c r="K20" s="22" t="s">
        <v>44</v>
      </c>
      <c r="L20" s="22" t="s">
        <v>40</v>
      </c>
      <c r="M20" s="22" t="s">
        <v>45</v>
      </c>
      <c r="N20" s="22" t="s">
        <v>46</v>
      </c>
      <c r="O20" s="22" t="s">
        <v>47</v>
      </c>
    </row>
    <row r="21" spans="1:16" x14ac:dyDescent="0.25">
      <c r="I21" s="14" t="s">
        <v>49</v>
      </c>
      <c r="J21" s="10">
        <v>0</v>
      </c>
      <c r="K21" s="10">
        <v>9</v>
      </c>
      <c r="L21" s="10"/>
      <c r="M21" s="10"/>
      <c r="N21" s="10"/>
      <c r="O21" s="10">
        <f>SUM(J21:N21)</f>
        <v>9</v>
      </c>
    </row>
    <row r="22" spans="1:16" x14ac:dyDescent="0.25">
      <c r="I22" s="14" t="s">
        <v>50</v>
      </c>
      <c r="J22" s="10">
        <v>19</v>
      </c>
      <c r="K22" s="10"/>
      <c r="L22" s="10"/>
      <c r="M22" s="10"/>
      <c r="N22" s="10"/>
      <c r="O22" s="10">
        <f t="shared" ref="O22:O25" si="4">SUM(J22:N22)</f>
        <v>19</v>
      </c>
    </row>
    <row r="23" spans="1:16" x14ac:dyDescent="0.25">
      <c r="I23" s="14" t="s">
        <v>51</v>
      </c>
      <c r="J23" s="15">
        <v>0</v>
      </c>
      <c r="K23" s="15"/>
      <c r="L23" s="15"/>
      <c r="M23" s="15"/>
      <c r="N23" s="15"/>
      <c r="O23" s="10">
        <f t="shared" si="4"/>
        <v>0</v>
      </c>
    </row>
    <row r="24" spans="1:16" x14ac:dyDescent="0.25">
      <c r="I24" s="14" t="s">
        <v>52</v>
      </c>
      <c r="J24" s="15">
        <v>3</v>
      </c>
      <c r="K24" s="15"/>
      <c r="L24" s="15"/>
      <c r="M24" s="15"/>
      <c r="N24" s="15"/>
      <c r="O24" s="10">
        <f t="shared" si="4"/>
        <v>3</v>
      </c>
    </row>
    <row r="25" spans="1:16" x14ac:dyDescent="0.25">
      <c r="I25" s="14" t="s">
        <v>53</v>
      </c>
      <c r="J25" s="23"/>
      <c r="K25" s="23"/>
      <c r="L25" s="23">
        <v>1</v>
      </c>
      <c r="M25" s="23"/>
      <c r="N25" s="23"/>
      <c r="O25" s="24">
        <f t="shared" si="4"/>
        <v>1</v>
      </c>
    </row>
    <row r="26" spans="1:16" x14ac:dyDescent="0.25">
      <c r="I26" s="25" t="s">
        <v>54</v>
      </c>
      <c r="J26" s="22" t="str">
        <f>J20</f>
        <v>Operating</v>
      </c>
      <c r="K26" s="22" t="str">
        <f t="shared" ref="K26:O26" si="5">K20</f>
        <v>SPED</v>
      </c>
      <c r="L26" s="22" t="str">
        <f t="shared" si="5"/>
        <v>NSLP</v>
      </c>
      <c r="M26" s="22" t="str">
        <f t="shared" si="5"/>
        <v>Title(s)</v>
      </c>
      <c r="N26" s="22" t="str">
        <f t="shared" si="5"/>
        <v>Other</v>
      </c>
      <c r="O26" s="22" t="str">
        <f t="shared" si="5"/>
        <v>Total</v>
      </c>
    </row>
    <row r="27" spans="1:16" x14ac:dyDescent="0.25">
      <c r="I27" s="26" t="s">
        <v>55</v>
      </c>
      <c r="J27" s="27">
        <v>5</v>
      </c>
      <c r="K27" s="27"/>
      <c r="L27" s="27"/>
      <c r="M27" s="27"/>
      <c r="N27" s="27"/>
      <c r="O27" s="27">
        <f>SUM(J27:N27)</f>
        <v>5</v>
      </c>
    </row>
    <row r="28" spans="1:16" x14ac:dyDescent="0.25">
      <c r="I28" s="26" t="s">
        <v>56</v>
      </c>
      <c r="J28" s="28"/>
      <c r="K28" s="28">
        <v>1</v>
      </c>
      <c r="L28" s="28"/>
      <c r="M28" s="28"/>
      <c r="N28" s="28"/>
      <c r="O28" s="27">
        <f t="shared" ref="O28:O35" si="6">SUM(J28:N28)</f>
        <v>1</v>
      </c>
    </row>
    <row r="29" spans="1:16" x14ac:dyDescent="0.25">
      <c r="I29" s="26" t="s">
        <v>57</v>
      </c>
      <c r="J29" s="27">
        <v>0</v>
      </c>
      <c r="K29" s="27"/>
      <c r="L29" s="27"/>
      <c r="M29" s="27"/>
      <c r="N29" s="27"/>
      <c r="O29" s="27">
        <f t="shared" si="6"/>
        <v>0</v>
      </c>
    </row>
    <row r="30" spans="1:16" x14ac:dyDescent="0.25">
      <c r="I30" s="26" t="s">
        <v>58</v>
      </c>
      <c r="J30" s="27">
        <v>0</v>
      </c>
      <c r="K30" s="27"/>
      <c r="L30" s="27"/>
      <c r="M30" s="27"/>
      <c r="N30" s="27"/>
      <c r="O30" s="27">
        <f t="shared" si="6"/>
        <v>0</v>
      </c>
    </row>
    <row r="31" spans="1:16" x14ac:dyDescent="0.25">
      <c r="I31" s="26" t="s">
        <v>59</v>
      </c>
      <c r="J31" s="27">
        <v>0</v>
      </c>
      <c r="K31" s="27"/>
      <c r="L31" s="27"/>
      <c r="M31" s="27"/>
      <c r="N31" s="27"/>
      <c r="O31" s="27">
        <f t="shared" si="6"/>
        <v>0</v>
      </c>
    </row>
    <row r="32" spans="1:16" x14ac:dyDescent="0.25">
      <c r="I32" s="29" t="s">
        <v>60</v>
      </c>
      <c r="J32" s="27">
        <v>0</v>
      </c>
      <c r="K32" s="27"/>
      <c r="L32" s="27"/>
      <c r="M32" s="27"/>
      <c r="N32" s="27"/>
      <c r="O32" s="27">
        <f t="shared" si="6"/>
        <v>0</v>
      </c>
    </row>
    <row r="33" spans="9:15" x14ac:dyDescent="0.25">
      <c r="I33" s="29" t="s">
        <v>61</v>
      </c>
      <c r="J33" s="27">
        <v>0</v>
      </c>
      <c r="K33" s="27"/>
      <c r="L33" s="27"/>
      <c r="M33" s="27"/>
      <c r="N33" s="27"/>
      <c r="O33" s="27">
        <f t="shared" si="6"/>
        <v>0</v>
      </c>
    </row>
    <row r="34" spans="9:15" x14ac:dyDescent="0.25">
      <c r="I34" s="29" t="s">
        <v>62</v>
      </c>
      <c r="J34" s="27">
        <v>3</v>
      </c>
      <c r="K34" s="27"/>
      <c r="L34" s="27"/>
      <c r="M34" s="27"/>
      <c r="N34" s="27"/>
      <c r="O34" s="27">
        <f t="shared" si="6"/>
        <v>3</v>
      </c>
    </row>
    <row r="35" spans="9:15" x14ac:dyDescent="0.25">
      <c r="I35" s="30" t="s">
        <v>63</v>
      </c>
      <c r="J35" s="27">
        <v>0</v>
      </c>
      <c r="K35" s="27"/>
      <c r="L35" s="27"/>
      <c r="M35" s="27"/>
      <c r="N35" s="27"/>
      <c r="O35" s="27">
        <f t="shared" si="6"/>
        <v>0</v>
      </c>
    </row>
    <row r="36" spans="9:15" x14ac:dyDescent="0.25">
      <c r="I36" s="25" t="s">
        <v>64</v>
      </c>
      <c r="J36" s="31">
        <f t="shared" ref="J36:O36" si="7">SUM(J27:J35)</f>
        <v>8</v>
      </c>
      <c r="K36" s="31">
        <f t="shared" si="7"/>
        <v>1</v>
      </c>
      <c r="L36" s="31">
        <f t="shared" si="7"/>
        <v>0</v>
      </c>
      <c r="M36" s="31">
        <f t="shared" si="7"/>
        <v>0</v>
      </c>
      <c r="N36" s="31">
        <f t="shared" si="7"/>
        <v>0</v>
      </c>
      <c r="O36" s="31">
        <f t="shared" si="7"/>
        <v>9</v>
      </c>
    </row>
    <row r="37" spans="9:15" x14ac:dyDescent="0.25">
      <c r="I37" s="32"/>
      <c r="J37" s="10"/>
      <c r="K37" s="10"/>
      <c r="L37" s="10"/>
      <c r="M37" s="10"/>
      <c r="N37" s="10"/>
      <c r="O37" s="10"/>
    </row>
    <row r="38" spans="9:15" x14ac:dyDescent="0.25">
      <c r="I38" s="25" t="s">
        <v>65</v>
      </c>
      <c r="J38" s="22" t="str">
        <f>J20</f>
        <v>Operating</v>
      </c>
      <c r="K38" s="22" t="str">
        <f t="shared" ref="K38:N38" si="8">K20</f>
        <v>SPED</v>
      </c>
      <c r="L38" s="22" t="str">
        <f t="shared" si="8"/>
        <v>NSLP</v>
      </c>
      <c r="M38" s="22" t="str">
        <f t="shared" si="8"/>
        <v>Title(s)</v>
      </c>
      <c r="N38" s="22" t="str">
        <f t="shared" si="8"/>
        <v>Other</v>
      </c>
      <c r="O38" s="22" t="str">
        <f>O20</f>
        <v>Total</v>
      </c>
    </row>
    <row r="39" spans="9:15" x14ac:dyDescent="0.25">
      <c r="I39" s="29" t="s">
        <v>402</v>
      </c>
      <c r="J39" s="28">
        <v>1</v>
      </c>
      <c r="K39" s="28"/>
      <c r="L39" s="28"/>
      <c r="M39" s="28"/>
      <c r="N39" s="28"/>
      <c r="O39" s="27">
        <f>SUM(J39:N39)</f>
        <v>1</v>
      </c>
    </row>
    <row r="40" spans="9:15" x14ac:dyDescent="0.25">
      <c r="I40" s="29" t="s">
        <v>66</v>
      </c>
      <c r="J40" s="28">
        <v>1</v>
      </c>
      <c r="K40" s="28"/>
      <c r="L40" s="28"/>
      <c r="M40" s="28"/>
      <c r="N40" s="28"/>
      <c r="O40" s="27">
        <f t="shared" ref="O40:O60" si="9">SUM(J40:N40)</f>
        <v>1</v>
      </c>
    </row>
    <row r="41" spans="9:15" x14ac:dyDescent="0.25">
      <c r="I41" s="33" t="s">
        <v>67</v>
      </c>
      <c r="J41" s="28"/>
      <c r="K41" s="28"/>
      <c r="L41" s="28"/>
      <c r="M41" s="28">
        <v>0</v>
      </c>
      <c r="N41" s="28"/>
      <c r="O41" s="27">
        <f t="shared" si="9"/>
        <v>0</v>
      </c>
    </row>
    <row r="42" spans="9:15" x14ac:dyDescent="0.25">
      <c r="I42" s="29" t="s">
        <v>68</v>
      </c>
      <c r="J42" s="28">
        <v>0</v>
      </c>
      <c r="K42" s="28"/>
      <c r="L42" s="28"/>
      <c r="M42" s="28"/>
      <c r="N42" s="28"/>
      <c r="O42" s="27">
        <f t="shared" si="9"/>
        <v>0</v>
      </c>
    </row>
    <row r="43" spans="9:15" x14ac:dyDescent="0.25">
      <c r="I43" s="29" t="s">
        <v>69</v>
      </c>
      <c r="J43" s="28">
        <v>0</v>
      </c>
      <c r="K43" s="28"/>
      <c r="L43" s="28"/>
      <c r="M43" s="28"/>
      <c r="N43" s="28"/>
      <c r="O43" s="27">
        <f t="shared" si="9"/>
        <v>0</v>
      </c>
    </row>
    <row r="44" spans="9:15" x14ac:dyDescent="0.25">
      <c r="I44" s="29" t="s">
        <v>70</v>
      </c>
      <c r="J44" s="28">
        <v>1</v>
      </c>
      <c r="K44" s="28"/>
      <c r="L44" s="28"/>
      <c r="M44" s="28"/>
      <c r="N44" s="28"/>
      <c r="O44" s="27">
        <f t="shared" si="9"/>
        <v>1</v>
      </c>
    </row>
    <row r="45" spans="9:15" x14ac:dyDescent="0.25">
      <c r="I45" s="29" t="s">
        <v>71</v>
      </c>
      <c r="J45" s="28">
        <v>0</v>
      </c>
      <c r="K45" s="28"/>
      <c r="L45" s="28"/>
      <c r="M45" s="28"/>
      <c r="N45" s="28"/>
      <c r="O45" s="27">
        <f t="shared" si="9"/>
        <v>0</v>
      </c>
    </row>
    <row r="46" spans="9:15" x14ac:dyDescent="0.25">
      <c r="I46" s="29" t="s">
        <v>72</v>
      </c>
      <c r="J46" s="28">
        <v>1</v>
      </c>
      <c r="K46" s="28"/>
      <c r="L46" s="28"/>
      <c r="M46" s="28"/>
      <c r="N46" s="28"/>
      <c r="O46" s="27">
        <f t="shared" si="9"/>
        <v>1</v>
      </c>
    </row>
    <row r="47" spans="9:15" x14ac:dyDescent="0.25">
      <c r="I47" s="29" t="s">
        <v>73</v>
      </c>
      <c r="J47" s="28">
        <v>0</v>
      </c>
      <c r="K47" s="28"/>
      <c r="L47" s="28"/>
      <c r="M47" s="28"/>
      <c r="N47" s="28"/>
      <c r="O47" s="27">
        <f t="shared" si="9"/>
        <v>0</v>
      </c>
    </row>
    <row r="48" spans="9:15" x14ac:dyDescent="0.25">
      <c r="I48" s="29" t="s">
        <v>74</v>
      </c>
      <c r="J48" s="28">
        <v>0</v>
      </c>
      <c r="K48" s="28"/>
      <c r="L48" s="28"/>
      <c r="M48" s="28"/>
      <c r="N48" s="28"/>
      <c r="O48" s="27">
        <f t="shared" si="9"/>
        <v>0</v>
      </c>
    </row>
    <row r="49" spans="9:15" x14ac:dyDescent="0.25">
      <c r="I49" s="29" t="s">
        <v>75</v>
      </c>
      <c r="J49" s="28">
        <v>0</v>
      </c>
      <c r="K49" s="28"/>
      <c r="L49" s="28"/>
      <c r="M49" s="28"/>
      <c r="N49" s="28"/>
      <c r="O49" s="27">
        <f t="shared" si="9"/>
        <v>0</v>
      </c>
    </row>
    <row r="50" spans="9:15" x14ac:dyDescent="0.25">
      <c r="I50" s="29" t="s">
        <v>76</v>
      </c>
      <c r="J50" s="28">
        <v>0</v>
      </c>
      <c r="K50" s="28"/>
      <c r="L50" s="28"/>
      <c r="M50" s="28">
        <v>1</v>
      </c>
      <c r="N50" s="28"/>
      <c r="O50" s="27">
        <f t="shared" si="9"/>
        <v>1</v>
      </c>
    </row>
    <row r="51" spans="9:15" x14ac:dyDescent="0.25">
      <c r="I51" s="29" t="s">
        <v>77</v>
      </c>
      <c r="J51" s="28">
        <v>0</v>
      </c>
      <c r="K51" s="28"/>
      <c r="L51" s="28"/>
      <c r="M51" s="28"/>
      <c r="N51" s="28"/>
      <c r="O51" s="27">
        <f t="shared" si="9"/>
        <v>0</v>
      </c>
    </row>
    <row r="52" spans="9:15" x14ac:dyDescent="0.25">
      <c r="I52" s="29" t="s">
        <v>78</v>
      </c>
      <c r="J52" s="28"/>
      <c r="K52" s="28"/>
      <c r="L52" s="28">
        <v>1</v>
      </c>
      <c r="M52" s="28"/>
      <c r="N52" s="28"/>
      <c r="O52" s="27">
        <f t="shared" si="9"/>
        <v>1</v>
      </c>
    </row>
    <row r="53" spans="9:15" x14ac:dyDescent="0.25">
      <c r="I53" s="29" t="s">
        <v>79</v>
      </c>
      <c r="J53" s="28">
        <v>0</v>
      </c>
      <c r="K53" s="28"/>
      <c r="L53" s="28"/>
      <c r="M53" s="28"/>
      <c r="N53" s="28"/>
      <c r="O53" s="27">
        <f t="shared" si="9"/>
        <v>0</v>
      </c>
    </row>
    <row r="54" spans="9:15" x14ac:dyDescent="0.25">
      <c r="I54" s="33" t="s">
        <v>80</v>
      </c>
      <c r="J54" s="28">
        <v>0</v>
      </c>
      <c r="K54" s="28"/>
      <c r="L54" s="28"/>
      <c r="M54" s="28"/>
      <c r="N54" s="28"/>
      <c r="O54" s="27">
        <f t="shared" si="9"/>
        <v>0</v>
      </c>
    </row>
    <row r="55" spans="9:15" x14ac:dyDescent="0.25">
      <c r="I55" s="33" t="s">
        <v>81</v>
      </c>
      <c r="J55" s="28">
        <v>0</v>
      </c>
      <c r="K55" s="28"/>
      <c r="L55" s="28"/>
      <c r="M55" s="28"/>
      <c r="N55" s="28"/>
      <c r="O55" s="27">
        <f t="shared" si="9"/>
        <v>0</v>
      </c>
    </row>
    <row r="56" spans="9:15" x14ac:dyDescent="0.25">
      <c r="I56" s="33" t="s">
        <v>82</v>
      </c>
      <c r="J56" s="28">
        <v>0</v>
      </c>
      <c r="K56" s="28"/>
      <c r="L56" s="28"/>
      <c r="M56" s="28"/>
      <c r="N56" s="28"/>
      <c r="O56" s="27">
        <f t="shared" si="9"/>
        <v>0</v>
      </c>
    </row>
    <row r="57" spans="9:15" x14ac:dyDescent="0.25">
      <c r="I57" s="33" t="s">
        <v>83</v>
      </c>
      <c r="J57" s="28">
        <v>0</v>
      </c>
      <c r="K57" s="28"/>
      <c r="L57" s="28"/>
      <c r="M57" s="28"/>
      <c r="N57" s="28"/>
      <c r="O57" s="27">
        <f t="shared" si="9"/>
        <v>0</v>
      </c>
    </row>
    <row r="58" spans="9:15" x14ac:dyDescent="0.25">
      <c r="I58" s="33" t="s">
        <v>84</v>
      </c>
      <c r="J58" s="28">
        <v>0</v>
      </c>
      <c r="K58" s="28"/>
      <c r="L58" s="28"/>
      <c r="M58" s="28"/>
      <c r="N58" s="28"/>
      <c r="O58" s="27">
        <f t="shared" si="9"/>
        <v>0</v>
      </c>
    </row>
    <row r="59" spans="9:15" x14ac:dyDescent="0.25">
      <c r="I59" s="33" t="s">
        <v>85</v>
      </c>
      <c r="J59" s="28">
        <v>0</v>
      </c>
      <c r="K59" s="28"/>
      <c r="L59" s="28"/>
      <c r="M59" s="28"/>
      <c r="N59" s="28"/>
      <c r="O59" s="27">
        <f t="shared" si="9"/>
        <v>0</v>
      </c>
    </row>
    <row r="60" spans="9:15" x14ac:dyDescent="0.25">
      <c r="I60" s="29" t="s">
        <v>86</v>
      </c>
      <c r="J60" s="27">
        <v>0</v>
      </c>
      <c r="K60" s="27"/>
      <c r="L60" s="27"/>
      <c r="M60" s="27"/>
      <c r="N60" s="27"/>
      <c r="O60" s="27">
        <f t="shared" si="9"/>
        <v>0</v>
      </c>
    </row>
    <row r="61" spans="9:15" x14ac:dyDescent="0.25">
      <c r="I61" s="25" t="s">
        <v>87</v>
      </c>
      <c r="J61" s="31">
        <f t="shared" ref="J61:O61" si="10">SUM(J39:J60)</f>
        <v>4</v>
      </c>
      <c r="K61" s="31">
        <f t="shared" si="10"/>
        <v>0</v>
      </c>
      <c r="L61" s="31">
        <f t="shared" si="10"/>
        <v>1</v>
      </c>
      <c r="M61" s="31">
        <f t="shared" si="10"/>
        <v>1</v>
      </c>
      <c r="N61" s="31">
        <f t="shared" si="10"/>
        <v>0</v>
      </c>
      <c r="O61" s="31">
        <f t="shared" si="10"/>
        <v>6</v>
      </c>
    </row>
    <row r="62" spans="9:15" ht="16.5" thickBot="1" x14ac:dyDescent="0.3">
      <c r="I62" s="34"/>
      <c r="J62" s="35"/>
      <c r="K62" s="35"/>
      <c r="L62" s="35"/>
      <c r="M62" s="35"/>
      <c r="N62" s="35"/>
      <c r="O62" s="35"/>
    </row>
    <row r="63" spans="9:15" x14ac:dyDescent="0.25">
      <c r="I63" s="36" t="s">
        <v>88</v>
      </c>
      <c r="J63" s="37">
        <f t="shared" ref="J63:O63" si="11">J36</f>
        <v>8</v>
      </c>
      <c r="K63" s="37">
        <f t="shared" si="11"/>
        <v>1</v>
      </c>
      <c r="L63" s="37">
        <f t="shared" si="11"/>
        <v>0</v>
      </c>
      <c r="M63" s="37">
        <f t="shared" si="11"/>
        <v>0</v>
      </c>
      <c r="N63" s="37">
        <f t="shared" si="11"/>
        <v>0</v>
      </c>
      <c r="O63" s="37">
        <f t="shared" si="11"/>
        <v>9</v>
      </c>
    </row>
    <row r="64" spans="9:15" x14ac:dyDescent="0.25">
      <c r="I64" s="38" t="s">
        <v>89</v>
      </c>
      <c r="J64" s="39">
        <f t="shared" ref="J64:O64" si="12">J61</f>
        <v>4</v>
      </c>
      <c r="K64" s="39">
        <f t="shared" si="12"/>
        <v>0</v>
      </c>
      <c r="L64" s="39">
        <f t="shared" si="12"/>
        <v>1</v>
      </c>
      <c r="M64" s="39">
        <f t="shared" si="12"/>
        <v>1</v>
      </c>
      <c r="N64" s="39">
        <f t="shared" si="12"/>
        <v>0</v>
      </c>
      <c r="O64" s="39">
        <f t="shared" si="12"/>
        <v>6</v>
      </c>
    </row>
    <row r="65" spans="1:15" ht="16.5" thickBot="1" x14ac:dyDescent="0.3">
      <c r="I65" s="40" t="s">
        <v>90</v>
      </c>
      <c r="J65" s="41">
        <f t="shared" ref="J65:O65" si="13">SUM(J63:J64)</f>
        <v>12</v>
      </c>
      <c r="K65" s="41">
        <f t="shared" si="13"/>
        <v>1</v>
      </c>
      <c r="L65" s="41">
        <f t="shared" si="13"/>
        <v>1</v>
      </c>
      <c r="M65" s="41">
        <f t="shared" si="13"/>
        <v>1</v>
      </c>
      <c r="N65" s="41">
        <f t="shared" si="13"/>
        <v>0</v>
      </c>
      <c r="O65" s="41">
        <f t="shared" si="13"/>
        <v>15</v>
      </c>
    </row>
    <row r="66" spans="1:15" ht="16.5" thickBot="1" x14ac:dyDescent="0.3"/>
    <row r="67" spans="1:15" ht="16.5" thickBot="1" x14ac:dyDescent="0.3">
      <c r="A67" s="42" t="s">
        <v>5</v>
      </c>
      <c r="B67" s="42" t="s">
        <v>91</v>
      </c>
      <c r="C67" s="42" t="s">
        <v>92</v>
      </c>
      <c r="D67" s="42" t="s">
        <v>4</v>
      </c>
      <c r="E67" s="42" t="s">
        <v>93</v>
      </c>
      <c r="G67" s="43" t="s">
        <v>94</v>
      </c>
      <c r="H67" s="43"/>
      <c r="I67" s="44"/>
      <c r="J67" s="45" t="str">
        <f>J20</f>
        <v>Operating</v>
      </c>
      <c r="K67" s="45" t="str">
        <f t="shared" ref="K67:O67" si="14">K20</f>
        <v>SPED</v>
      </c>
      <c r="L67" s="45" t="str">
        <f t="shared" si="14"/>
        <v>NSLP</v>
      </c>
      <c r="M67" s="45" t="str">
        <f t="shared" si="14"/>
        <v>Title(s)</v>
      </c>
      <c r="N67" s="45" t="str">
        <f t="shared" si="14"/>
        <v>Other</v>
      </c>
      <c r="O67" s="45" t="str">
        <f t="shared" si="14"/>
        <v>Total</v>
      </c>
    </row>
    <row r="68" spans="1:15" x14ac:dyDescent="0.25">
      <c r="A68" s="46">
        <v>40010</v>
      </c>
      <c r="B68" s="47" t="s">
        <v>95</v>
      </c>
      <c r="C68" s="48">
        <f t="shared" ref="C68:C82" si="15">$C$1</f>
        <v>0</v>
      </c>
      <c r="D68" s="49" t="s">
        <v>9</v>
      </c>
      <c r="E68" s="47" t="s">
        <v>96</v>
      </c>
      <c r="I68" s="49" t="s">
        <v>97</v>
      </c>
      <c r="J68" s="50">
        <f>J17*J2</f>
        <v>998096</v>
      </c>
      <c r="K68" s="50"/>
      <c r="L68" s="50"/>
      <c r="M68" s="50"/>
      <c r="N68" s="50"/>
      <c r="O68" s="50">
        <f>SUM(J68:N68)</f>
        <v>998096</v>
      </c>
    </row>
    <row r="69" spans="1:15" x14ac:dyDescent="0.25">
      <c r="A69" s="51">
        <v>40012</v>
      </c>
      <c r="B69" s="47" t="s">
        <v>95</v>
      </c>
      <c r="C69" s="48">
        <f t="shared" si="15"/>
        <v>0</v>
      </c>
      <c r="D69" s="52" t="s">
        <v>12</v>
      </c>
      <c r="E69" s="47" t="s">
        <v>96</v>
      </c>
      <c r="I69" s="52" t="s">
        <v>13</v>
      </c>
      <c r="J69" s="53">
        <v>80508</v>
      </c>
      <c r="K69" s="53"/>
      <c r="L69" s="53"/>
      <c r="M69" s="53"/>
      <c r="N69" s="53"/>
      <c r="O69" s="50">
        <f t="shared" ref="O69:O82" si="16">SUM(J69:N69)</f>
        <v>80508</v>
      </c>
    </row>
    <row r="70" spans="1:15" x14ac:dyDescent="0.25">
      <c r="A70" s="51">
        <v>40014</v>
      </c>
      <c r="B70" s="47" t="s">
        <v>95</v>
      </c>
      <c r="C70" s="48">
        <f t="shared" si="15"/>
        <v>0</v>
      </c>
      <c r="D70" s="52" t="s">
        <v>15</v>
      </c>
      <c r="E70" s="47" t="s">
        <v>96</v>
      </c>
      <c r="I70" s="52" t="s">
        <v>16</v>
      </c>
      <c r="J70" s="53">
        <f>J23*1163</f>
        <v>0</v>
      </c>
      <c r="K70" s="53"/>
      <c r="L70" s="53"/>
      <c r="M70" s="53"/>
      <c r="N70" s="53"/>
      <c r="O70" s="50">
        <f t="shared" si="16"/>
        <v>0</v>
      </c>
    </row>
    <row r="71" spans="1:15" x14ac:dyDescent="0.25">
      <c r="A71" s="51">
        <v>40013</v>
      </c>
      <c r="B71" s="47" t="s">
        <v>95</v>
      </c>
      <c r="C71" s="48">
        <f t="shared" si="15"/>
        <v>0</v>
      </c>
      <c r="D71" s="52" t="s">
        <v>18</v>
      </c>
      <c r="E71" s="47" t="s">
        <v>96</v>
      </c>
      <c r="I71" s="52" t="s">
        <v>19</v>
      </c>
      <c r="J71" s="53">
        <v>6591</v>
      </c>
      <c r="K71" s="53"/>
      <c r="L71" s="53"/>
      <c r="M71" s="53"/>
      <c r="N71" s="53"/>
      <c r="O71" s="50">
        <f t="shared" si="16"/>
        <v>6591</v>
      </c>
    </row>
    <row r="72" spans="1:15" x14ac:dyDescent="0.25">
      <c r="A72" s="51">
        <v>40015</v>
      </c>
      <c r="B72" s="47" t="s">
        <v>95</v>
      </c>
      <c r="C72" s="48">
        <f t="shared" si="15"/>
        <v>0</v>
      </c>
      <c r="D72" s="52" t="s">
        <v>21</v>
      </c>
      <c r="E72" s="47" t="s">
        <v>96</v>
      </c>
      <c r="I72" s="52" t="s">
        <v>22</v>
      </c>
      <c r="J72" s="53">
        <v>49722.3</v>
      </c>
      <c r="K72" s="53"/>
      <c r="L72" s="53"/>
      <c r="M72" s="53"/>
      <c r="N72" s="53"/>
      <c r="O72" s="50">
        <f t="shared" si="16"/>
        <v>49722.3</v>
      </c>
    </row>
    <row r="73" spans="1:15" x14ac:dyDescent="0.25">
      <c r="A73" s="51">
        <v>40011</v>
      </c>
      <c r="B73" s="47" t="s">
        <v>95</v>
      </c>
      <c r="C73" s="48">
        <f t="shared" si="15"/>
        <v>0</v>
      </c>
      <c r="D73" s="54" t="s">
        <v>27</v>
      </c>
      <c r="E73" s="47" t="s">
        <v>96</v>
      </c>
      <c r="I73" s="52" t="s">
        <v>98</v>
      </c>
      <c r="J73" s="53"/>
      <c r="K73" s="53">
        <v>122895</v>
      </c>
      <c r="L73" s="53"/>
      <c r="M73" s="53"/>
      <c r="N73" s="53"/>
      <c r="O73" s="50">
        <f t="shared" si="16"/>
        <v>122895</v>
      </c>
    </row>
    <row r="74" spans="1:15" x14ac:dyDescent="0.25">
      <c r="A74" s="51">
        <v>40020</v>
      </c>
      <c r="B74" s="47" t="s">
        <v>95</v>
      </c>
      <c r="C74" s="48">
        <f t="shared" si="15"/>
        <v>0</v>
      </c>
      <c r="D74" s="52" t="s">
        <v>27</v>
      </c>
      <c r="E74" s="47" t="s">
        <v>96</v>
      </c>
      <c r="I74" s="52" t="s">
        <v>99</v>
      </c>
      <c r="J74" s="55"/>
      <c r="K74" s="55">
        <f>3633.22134155844*K21</f>
        <v>32698.992074025962</v>
      </c>
      <c r="L74" s="55"/>
      <c r="M74" s="55"/>
      <c r="N74" s="55"/>
      <c r="O74" s="50">
        <f t="shared" si="16"/>
        <v>32698.992074025962</v>
      </c>
    </row>
    <row r="75" spans="1:15" x14ac:dyDescent="0.25">
      <c r="A75" s="51">
        <v>42010</v>
      </c>
      <c r="B75" s="47" t="s">
        <v>95</v>
      </c>
      <c r="C75" s="48">
        <f t="shared" si="15"/>
        <v>0</v>
      </c>
      <c r="D75" s="52" t="s">
        <v>36</v>
      </c>
      <c r="E75" s="47" t="s">
        <v>96</v>
      </c>
      <c r="I75" s="52" t="s">
        <v>100</v>
      </c>
      <c r="J75" s="55"/>
      <c r="K75" s="55">
        <f>961.832*K21</f>
        <v>8656.4879999999994</v>
      </c>
      <c r="L75" s="55"/>
      <c r="M75" s="55"/>
      <c r="N75" s="55"/>
      <c r="O75" s="50">
        <f t="shared" si="16"/>
        <v>8656.4879999999994</v>
      </c>
    </row>
    <row r="76" spans="1:15" x14ac:dyDescent="0.25">
      <c r="A76" s="51">
        <v>70200</v>
      </c>
      <c r="B76" s="47" t="s">
        <v>95</v>
      </c>
      <c r="C76" s="48">
        <f t="shared" si="15"/>
        <v>0</v>
      </c>
      <c r="D76" s="49" t="s">
        <v>9</v>
      </c>
      <c r="E76" s="47" t="s">
        <v>96</v>
      </c>
      <c r="I76" s="52" t="s">
        <v>101</v>
      </c>
      <c r="J76" s="55">
        <v>0</v>
      </c>
      <c r="K76" s="55"/>
      <c r="L76" s="55"/>
      <c r="M76" s="55"/>
      <c r="N76" s="55"/>
      <c r="O76" s="50">
        <f t="shared" si="16"/>
        <v>0</v>
      </c>
    </row>
    <row r="77" spans="1:15" x14ac:dyDescent="0.25">
      <c r="A77" s="51">
        <v>40020</v>
      </c>
      <c r="B77" s="47" t="s">
        <v>95</v>
      </c>
      <c r="C77" s="48">
        <f t="shared" si="15"/>
        <v>0</v>
      </c>
      <c r="D77" s="52" t="s">
        <v>24</v>
      </c>
      <c r="E77" s="47" t="s">
        <v>96</v>
      </c>
      <c r="I77" s="52" t="s">
        <v>25</v>
      </c>
      <c r="J77" s="55"/>
      <c r="K77" s="55"/>
      <c r="L77" s="55"/>
      <c r="M77" s="55"/>
      <c r="N77" s="55"/>
      <c r="O77" s="50">
        <f t="shared" si="16"/>
        <v>0</v>
      </c>
    </row>
    <row r="78" spans="1:15" x14ac:dyDescent="0.25">
      <c r="A78" s="51">
        <v>42010</v>
      </c>
      <c r="B78" s="47" t="s">
        <v>95</v>
      </c>
      <c r="C78" s="48">
        <f t="shared" si="15"/>
        <v>0</v>
      </c>
      <c r="D78" s="52" t="s">
        <v>36</v>
      </c>
      <c r="E78" s="47" t="s">
        <v>96</v>
      </c>
      <c r="I78" s="52" t="s">
        <v>37</v>
      </c>
      <c r="J78" s="55"/>
      <c r="K78" s="55"/>
      <c r="L78" s="55"/>
      <c r="M78" s="55">
        <f>37760+2596.59+1446+3353+2331+44733</f>
        <v>92219.59</v>
      </c>
      <c r="N78" s="55"/>
      <c r="O78" s="50">
        <f t="shared" si="16"/>
        <v>92219.59</v>
      </c>
    </row>
    <row r="79" spans="1:15" x14ac:dyDescent="0.25">
      <c r="A79" s="51">
        <v>44000</v>
      </c>
      <c r="B79" s="47" t="s">
        <v>95</v>
      </c>
      <c r="C79" s="48">
        <f t="shared" si="15"/>
        <v>0</v>
      </c>
      <c r="D79" s="52" t="s">
        <v>30</v>
      </c>
      <c r="E79" s="47" t="s">
        <v>96</v>
      </c>
      <c r="I79" s="52" t="s">
        <v>31</v>
      </c>
      <c r="J79" s="55">
        <f>774492-31749+3744-0.1926</f>
        <v>746486.80740000005</v>
      </c>
      <c r="K79" s="55"/>
      <c r="L79" s="55"/>
      <c r="M79" s="55"/>
      <c r="N79" s="55"/>
      <c r="O79" s="50">
        <f t="shared" si="16"/>
        <v>746486.80740000005</v>
      </c>
    </row>
    <row r="80" spans="1:15" x14ac:dyDescent="0.25">
      <c r="A80" s="51">
        <v>43040</v>
      </c>
      <c r="B80" s="47" t="s">
        <v>95</v>
      </c>
      <c r="C80" s="48">
        <f t="shared" si="15"/>
        <v>0</v>
      </c>
      <c r="D80" s="52" t="s">
        <v>33</v>
      </c>
      <c r="E80" s="47" t="s">
        <v>96</v>
      </c>
      <c r="I80" s="52" t="s">
        <v>102</v>
      </c>
      <c r="J80" s="55">
        <v>0</v>
      </c>
      <c r="K80" s="55"/>
      <c r="L80" s="55"/>
      <c r="M80" s="55"/>
      <c r="N80" s="55"/>
      <c r="O80" s="50">
        <f t="shared" si="16"/>
        <v>0</v>
      </c>
    </row>
    <row r="81" spans="1:15" x14ac:dyDescent="0.25">
      <c r="A81" s="51">
        <v>43020</v>
      </c>
      <c r="B81" s="47" t="s">
        <v>95</v>
      </c>
      <c r="C81" s="48">
        <f t="shared" si="15"/>
        <v>0</v>
      </c>
      <c r="D81" s="52" t="s">
        <v>39</v>
      </c>
      <c r="E81" s="47" t="s">
        <v>96</v>
      </c>
      <c r="I81" s="52" t="s">
        <v>103</v>
      </c>
      <c r="J81" s="55"/>
      <c r="K81" s="55"/>
      <c r="L81" s="55">
        <f>(40*2.84*180)</f>
        <v>20448</v>
      </c>
      <c r="M81" s="55"/>
      <c r="N81" s="55"/>
      <c r="O81" s="50">
        <f t="shared" si="16"/>
        <v>20448</v>
      </c>
    </row>
    <row r="82" spans="1:15" x14ac:dyDescent="0.25">
      <c r="A82" s="56">
        <v>43020</v>
      </c>
      <c r="B82" s="47" t="s">
        <v>95</v>
      </c>
      <c r="C82" s="48">
        <f t="shared" si="15"/>
        <v>0</v>
      </c>
      <c r="D82" s="57" t="s">
        <v>39</v>
      </c>
      <c r="E82" s="47" t="s">
        <v>96</v>
      </c>
      <c r="I82" s="57" t="s">
        <v>104</v>
      </c>
      <c r="J82" s="58"/>
      <c r="K82" s="58"/>
      <c r="L82" s="58">
        <f>(60*4.52*180)</f>
        <v>48816</v>
      </c>
      <c r="M82" s="58"/>
      <c r="N82" s="58"/>
      <c r="O82" s="50">
        <f t="shared" si="16"/>
        <v>48816</v>
      </c>
    </row>
    <row r="83" spans="1:15" x14ac:dyDescent="0.25">
      <c r="A83" s="59"/>
      <c r="B83" s="60"/>
      <c r="C83" s="60"/>
      <c r="D83" s="60"/>
      <c r="E83" s="60"/>
      <c r="H83" s="61" t="s">
        <v>105</v>
      </c>
      <c r="I83" s="62"/>
      <c r="J83" s="63">
        <f t="shared" ref="J83:O83" si="17">SUM(J68:J82)</f>
        <v>1881404.1074000001</v>
      </c>
      <c r="K83" s="63">
        <f t="shared" si="17"/>
        <v>164250.48007402598</v>
      </c>
      <c r="L83" s="63">
        <f t="shared" si="17"/>
        <v>69264</v>
      </c>
      <c r="M83" s="63">
        <f t="shared" si="17"/>
        <v>92219.59</v>
      </c>
      <c r="N83" s="63">
        <f t="shared" si="17"/>
        <v>0</v>
      </c>
      <c r="O83" s="63">
        <f t="shared" si="17"/>
        <v>2207138.1774740261</v>
      </c>
    </row>
    <row r="85" spans="1:15" x14ac:dyDescent="0.25">
      <c r="A85" s="59"/>
      <c r="B85" s="60"/>
      <c r="C85" s="60"/>
      <c r="D85" s="60"/>
      <c r="E85" s="60"/>
      <c r="G85" s="61" t="s">
        <v>106</v>
      </c>
      <c r="H85" s="64"/>
      <c r="I85" s="65"/>
      <c r="J85" s="66" t="str">
        <f>J20</f>
        <v>Operating</v>
      </c>
      <c r="K85" s="66" t="str">
        <f t="shared" ref="K85:O85" si="18">K20</f>
        <v>SPED</v>
      </c>
      <c r="L85" s="66" t="str">
        <f t="shared" si="18"/>
        <v>NSLP</v>
      </c>
      <c r="M85" s="66" t="str">
        <f t="shared" si="18"/>
        <v>Title(s)</v>
      </c>
      <c r="N85" s="66" t="str">
        <f t="shared" si="18"/>
        <v>Other</v>
      </c>
      <c r="O85" s="66" t="str">
        <f t="shared" si="18"/>
        <v>Total</v>
      </c>
    </row>
    <row r="86" spans="1:15" x14ac:dyDescent="0.25">
      <c r="A86" s="67">
        <v>45000</v>
      </c>
      <c r="B86" s="47" t="s">
        <v>95</v>
      </c>
      <c r="C86" s="48">
        <f>$C$1</f>
        <v>0</v>
      </c>
      <c r="D86" s="49" t="s">
        <v>9</v>
      </c>
      <c r="E86" s="47" t="s">
        <v>96</v>
      </c>
      <c r="I86" s="49" t="s">
        <v>107</v>
      </c>
      <c r="J86" s="177"/>
      <c r="K86" s="177"/>
      <c r="L86" s="177"/>
      <c r="M86" s="177"/>
      <c r="N86" s="177"/>
      <c r="O86" s="50">
        <f t="shared" ref="O86:O88" si="19">SUM(J86:N86)</f>
        <v>0</v>
      </c>
    </row>
    <row r="87" spans="1:15" x14ac:dyDescent="0.25">
      <c r="A87" s="67">
        <v>45000</v>
      </c>
      <c r="B87" s="47" t="s">
        <v>95</v>
      </c>
      <c r="C87" s="48">
        <f>$C$1</f>
        <v>0</v>
      </c>
      <c r="D87" s="49" t="s">
        <v>9</v>
      </c>
      <c r="E87" s="47" t="s">
        <v>96</v>
      </c>
      <c r="I87" s="52" t="s">
        <v>108</v>
      </c>
      <c r="J87" s="55"/>
      <c r="K87" s="55"/>
      <c r="L87" s="55"/>
      <c r="M87" s="55"/>
      <c r="N87" s="55"/>
      <c r="O87" s="50">
        <f t="shared" si="19"/>
        <v>0</v>
      </c>
    </row>
    <row r="88" spans="1:15" x14ac:dyDescent="0.25">
      <c r="A88" s="67">
        <v>45000</v>
      </c>
      <c r="B88" s="47" t="s">
        <v>95</v>
      </c>
      <c r="C88" s="48">
        <f>$C$1</f>
        <v>0</v>
      </c>
      <c r="D88" s="49" t="s">
        <v>9</v>
      </c>
      <c r="E88" s="47" t="s">
        <v>96</v>
      </c>
      <c r="I88" s="57" t="s">
        <v>109</v>
      </c>
      <c r="J88" s="178"/>
      <c r="K88" s="178"/>
      <c r="L88" s="178"/>
      <c r="M88" s="178"/>
      <c r="N88" s="178"/>
      <c r="O88" s="50">
        <f t="shared" si="19"/>
        <v>0</v>
      </c>
    </row>
    <row r="89" spans="1:15" x14ac:dyDescent="0.25">
      <c r="A89" s="59"/>
      <c r="B89" s="60"/>
      <c r="C89" s="60"/>
      <c r="D89" s="60"/>
      <c r="E89" s="60"/>
      <c r="H89" s="61" t="s">
        <v>110</v>
      </c>
      <c r="I89" s="65"/>
      <c r="J89" s="63">
        <f t="shared" ref="J89:O89" si="20">SUM(J86:J88)</f>
        <v>0</v>
      </c>
      <c r="K89" s="63">
        <f t="shared" si="20"/>
        <v>0</v>
      </c>
      <c r="L89" s="63">
        <f t="shared" si="20"/>
        <v>0</v>
      </c>
      <c r="M89" s="63">
        <f t="shared" si="20"/>
        <v>0</v>
      </c>
      <c r="N89" s="63">
        <f t="shared" si="20"/>
        <v>0</v>
      </c>
      <c r="O89" s="63">
        <f t="shared" si="20"/>
        <v>0</v>
      </c>
    </row>
    <row r="91" spans="1:15" ht="16.5" thickBot="1" x14ac:dyDescent="0.3"/>
    <row r="92" spans="1:15" ht="16.5" thickBot="1" x14ac:dyDescent="0.3">
      <c r="A92" s="68" t="s">
        <v>5</v>
      </c>
      <c r="B92" s="68" t="s">
        <v>91</v>
      </c>
      <c r="C92" s="68" t="s">
        <v>92</v>
      </c>
      <c r="D92" s="68" t="s">
        <v>4</v>
      </c>
      <c r="E92" s="68" t="s">
        <v>93</v>
      </c>
      <c r="G92" s="69" t="s">
        <v>111</v>
      </c>
      <c r="H92" s="70"/>
      <c r="I92" s="71"/>
      <c r="J92" s="72" t="str">
        <f>J20</f>
        <v>Operating</v>
      </c>
      <c r="K92" s="72" t="str">
        <f t="shared" ref="K92:O92" si="21">K20</f>
        <v>SPED</v>
      </c>
      <c r="L92" s="72" t="str">
        <f t="shared" si="21"/>
        <v>NSLP</v>
      </c>
      <c r="M92" s="72" t="str">
        <f t="shared" si="21"/>
        <v>Title(s)</v>
      </c>
      <c r="N92" s="72" t="str">
        <f t="shared" si="21"/>
        <v>Other</v>
      </c>
      <c r="O92" s="72" t="str">
        <f t="shared" si="21"/>
        <v>Total</v>
      </c>
    </row>
    <row r="93" spans="1:15" x14ac:dyDescent="0.25">
      <c r="A93" s="73"/>
      <c r="B93" s="74"/>
      <c r="C93" s="75"/>
      <c r="D93" s="76"/>
      <c r="E93" s="74"/>
      <c r="H93" s="77" t="s">
        <v>112</v>
      </c>
      <c r="I93" s="78"/>
      <c r="J93" s="79"/>
      <c r="K93" s="79"/>
      <c r="L93" s="79"/>
      <c r="M93" s="79"/>
      <c r="N93" s="79"/>
      <c r="O93" s="79"/>
    </row>
    <row r="94" spans="1:15" x14ac:dyDescent="0.25">
      <c r="A94" s="51">
        <v>60036</v>
      </c>
      <c r="B94" s="80" t="s">
        <v>113</v>
      </c>
      <c r="C94" s="48">
        <f>$C$1</f>
        <v>0</v>
      </c>
      <c r="D94" s="49" t="s">
        <v>9</v>
      </c>
      <c r="E94" s="52" t="s">
        <v>114</v>
      </c>
      <c r="I94" s="49" t="s">
        <v>402</v>
      </c>
      <c r="J94" s="50">
        <v>135000</v>
      </c>
      <c r="K94" s="50"/>
      <c r="L94" s="50"/>
      <c r="M94" s="50"/>
      <c r="N94" s="50"/>
      <c r="O94" s="50">
        <f t="shared" ref="O94:O152" si="22">SUM(J94:N94)</f>
        <v>135000</v>
      </c>
    </row>
    <row r="95" spans="1:15" x14ac:dyDescent="0.25">
      <c r="A95" s="51">
        <v>60036</v>
      </c>
      <c r="B95" s="80" t="s">
        <v>113</v>
      </c>
      <c r="C95" s="48">
        <f>$C$1</f>
        <v>0</v>
      </c>
      <c r="D95" s="49" t="s">
        <v>9</v>
      </c>
      <c r="E95" s="52" t="s">
        <v>114</v>
      </c>
      <c r="I95" s="52" t="s">
        <v>66</v>
      </c>
      <c r="J95" s="55">
        <v>127500</v>
      </c>
      <c r="K95" s="55"/>
      <c r="L95" s="55"/>
      <c r="M95" s="55"/>
      <c r="N95" s="55"/>
      <c r="O95" s="50">
        <f t="shared" si="22"/>
        <v>127500</v>
      </c>
    </row>
    <row r="96" spans="1:15" x14ac:dyDescent="0.25">
      <c r="A96" s="51">
        <v>60036</v>
      </c>
      <c r="B96" s="80" t="s">
        <v>113</v>
      </c>
      <c r="C96" s="48">
        <f>$C$1</f>
        <v>0</v>
      </c>
      <c r="D96" s="52" t="s">
        <v>36</v>
      </c>
      <c r="E96" s="52" t="s">
        <v>114</v>
      </c>
      <c r="I96" s="52" t="s">
        <v>115</v>
      </c>
      <c r="J96" s="55"/>
      <c r="K96" s="55"/>
      <c r="L96" s="55"/>
      <c r="M96" s="55"/>
      <c r="N96" s="55"/>
      <c r="O96" s="50">
        <f t="shared" si="22"/>
        <v>0</v>
      </c>
    </row>
    <row r="97" spans="1:15" x14ac:dyDescent="0.25">
      <c r="A97" s="81"/>
      <c r="B97" s="82"/>
      <c r="C97" s="82"/>
      <c r="D97" s="82"/>
      <c r="E97" s="82"/>
      <c r="H97" s="83" t="s">
        <v>116</v>
      </c>
      <c r="I97" s="84"/>
      <c r="J97" s="79"/>
      <c r="K97" s="79"/>
      <c r="L97" s="79"/>
      <c r="M97" s="79"/>
      <c r="N97" s="79"/>
      <c r="O97" s="79"/>
    </row>
    <row r="98" spans="1:15" x14ac:dyDescent="0.25">
      <c r="A98" s="51">
        <v>60036</v>
      </c>
      <c r="B98" s="80" t="s">
        <v>113</v>
      </c>
      <c r="C98" s="85">
        <f>$C$1</f>
        <v>0</v>
      </c>
      <c r="D98" s="52" t="s">
        <v>27</v>
      </c>
      <c r="E98" s="52" t="s">
        <v>114</v>
      </c>
      <c r="I98" s="52" t="s">
        <v>117</v>
      </c>
      <c r="J98" s="50">
        <v>0</v>
      </c>
      <c r="K98" s="50">
        <v>0</v>
      </c>
      <c r="L98" s="50"/>
      <c r="M98" s="50"/>
      <c r="N98" s="50"/>
      <c r="O98" s="50">
        <f t="shared" si="22"/>
        <v>0</v>
      </c>
    </row>
    <row r="99" spans="1:15" x14ac:dyDescent="0.25">
      <c r="A99" s="51">
        <v>60036</v>
      </c>
      <c r="B99" s="80" t="s">
        <v>113</v>
      </c>
      <c r="C99" s="85">
        <f>$C$1</f>
        <v>0</v>
      </c>
      <c r="D99" s="52" t="s">
        <v>27</v>
      </c>
      <c r="E99" s="52" t="s">
        <v>114</v>
      </c>
      <c r="I99" s="52" t="s">
        <v>118</v>
      </c>
      <c r="J99" s="50">
        <v>0</v>
      </c>
      <c r="K99" s="50"/>
      <c r="L99" s="50"/>
      <c r="M99" s="50"/>
      <c r="N99" s="50"/>
      <c r="O99" s="50">
        <f t="shared" si="22"/>
        <v>0</v>
      </c>
    </row>
    <row r="100" spans="1:15" x14ac:dyDescent="0.25">
      <c r="A100" s="81"/>
      <c r="B100" s="82"/>
      <c r="C100" s="82"/>
      <c r="D100" s="82"/>
      <c r="E100" s="82"/>
      <c r="H100" s="83" t="s">
        <v>119</v>
      </c>
      <c r="I100" s="84"/>
      <c r="J100" s="79"/>
      <c r="K100" s="79"/>
      <c r="L100" s="79"/>
      <c r="M100" s="79"/>
      <c r="N100" s="79"/>
      <c r="O100" s="79"/>
    </row>
    <row r="101" spans="1:15" x14ac:dyDescent="0.25">
      <c r="A101" s="51">
        <v>60036</v>
      </c>
      <c r="B101" s="80" t="s">
        <v>113</v>
      </c>
      <c r="C101" s="48">
        <f t="shared" ref="C101:C119" si="23">$C$1</f>
        <v>0</v>
      </c>
      <c r="D101" s="49" t="s">
        <v>9</v>
      </c>
      <c r="E101" s="52" t="s">
        <v>120</v>
      </c>
      <c r="I101" s="52" t="s">
        <v>70</v>
      </c>
      <c r="J101" s="55">
        <f>70000-J103</f>
        <v>68026</v>
      </c>
      <c r="K101" s="55"/>
      <c r="L101" s="55"/>
      <c r="M101" s="55"/>
      <c r="N101" s="55"/>
      <c r="O101" s="50">
        <f t="shared" si="22"/>
        <v>68026</v>
      </c>
    </row>
    <row r="102" spans="1:15" x14ac:dyDescent="0.25">
      <c r="A102" s="86">
        <v>60036</v>
      </c>
      <c r="B102" s="87" t="s">
        <v>113</v>
      </c>
      <c r="C102" s="88">
        <f t="shared" si="23"/>
        <v>0</v>
      </c>
      <c r="D102" s="89" t="s">
        <v>18</v>
      </c>
      <c r="E102" s="89" t="s">
        <v>120</v>
      </c>
      <c r="I102" s="52" t="s">
        <v>121</v>
      </c>
      <c r="J102" s="55">
        <v>0</v>
      </c>
      <c r="K102" s="55"/>
      <c r="L102" s="55"/>
      <c r="M102" s="55"/>
      <c r="N102" s="55"/>
      <c r="O102" s="50">
        <f t="shared" si="22"/>
        <v>0</v>
      </c>
    </row>
    <row r="103" spans="1:15" x14ac:dyDescent="0.25">
      <c r="A103" s="86">
        <v>60036</v>
      </c>
      <c r="B103" s="87" t="s">
        <v>113</v>
      </c>
      <c r="C103" s="88">
        <f t="shared" si="23"/>
        <v>0</v>
      </c>
      <c r="D103" s="89" t="s">
        <v>21</v>
      </c>
      <c r="E103" s="89" t="s">
        <v>120</v>
      </c>
      <c r="I103" s="52" t="s">
        <v>122</v>
      </c>
      <c r="J103" s="55">
        <v>1974</v>
      </c>
      <c r="K103" s="55"/>
      <c r="L103" s="55"/>
      <c r="M103" s="55"/>
      <c r="N103" s="55"/>
      <c r="O103" s="50">
        <f t="shared" si="22"/>
        <v>1974</v>
      </c>
    </row>
    <row r="104" spans="1:15" x14ac:dyDescent="0.25">
      <c r="A104" s="51">
        <v>60036</v>
      </c>
      <c r="B104" s="80" t="s">
        <v>113</v>
      </c>
      <c r="C104" s="48">
        <f t="shared" si="23"/>
        <v>0</v>
      </c>
      <c r="D104" s="52" t="s">
        <v>36</v>
      </c>
      <c r="E104" s="52" t="s">
        <v>120</v>
      </c>
      <c r="I104" s="52" t="s">
        <v>123</v>
      </c>
      <c r="J104" s="55">
        <v>0</v>
      </c>
      <c r="K104" s="55"/>
      <c r="L104" s="55"/>
      <c r="M104" s="55"/>
      <c r="N104" s="55"/>
      <c r="O104" s="50">
        <f t="shared" si="22"/>
        <v>0</v>
      </c>
    </row>
    <row r="105" spans="1:15" ht="17.649999999999999" customHeight="1" x14ac:dyDescent="0.25">
      <c r="A105" s="51">
        <v>60036</v>
      </c>
      <c r="B105" s="80" t="s">
        <v>113</v>
      </c>
      <c r="C105" s="48">
        <f t="shared" si="23"/>
        <v>0</v>
      </c>
      <c r="D105" s="49" t="s">
        <v>9</v>
      </c>
      <c r="E105" s="52" t="s">
        <v>124</v>
      </c>
      <c r="I105" s="52" t="s">
        <v>125</v>
      </c>
      <c r="J105" s="55">
        <v>0</v>
      </c>
      <c r="K105" s="55"/>
      <c r="L105" s="55"/>
      <c r="M105" s="55"/>
      <c r="N105" s="55"/>
      <c r="O105" s="50">
        <f t="shared" si="22"/>
        <v>0</v>
      </c>
    </row>
    <row r="106" spans="1:15" ht="17.649999999999999" customHeight="1" x14ac:dyDescent="0.25">
      <c r="A106" s="86">
        <v>60036</v>
      </c>
      <c r="B106" s="87" t="s">
        <v>113</v>
      </c>
      <c r="C106" s="88">
        <f t="shared" si="23"/>
        <v>0</v>
      </c>
      <c r="D106" s="89" t="s">
        <v>21</v>
      </c>
      <c r="E106" s="89" t="s">
        <v>124</v>
      </c>
      <c r="I106" s="52" t="s">
        <v>126</v>
      </c>
      <c r="J106" s="55">
        <v>0</v>
      </c>
      <c r="K106" s="55"/>
      <c r="L106" s="55"/>
      <c r="M106" s="55"/>
      <c r="N106" s="55"/>
      <c r="O106" s="50">
        <f t="shared" si="22"/>
        <v>0</v>
      </c>
    </row>
    <row r="107" spans="1:15" ht="17.649999999999999" customHeight="1" x14ac:dyDescent="0.25">
      <c r="A107" s="51">
        <v>60036</v>
      </c>
      <c r="B107" s="80" t="s">
        <v>113</v>
      </c>
      <c r="C107" s="48">
        <f t="shared" si="23"/>
        <v>0</v>
      </c>
      <c r="D107" s="52" t="s">
        <v>36</v>
      </c>
      <c r="E107" s="52" t="s">
        <v>124</v>
      </c>
      <c r="I107" s="52" t="s">
        <v>127</v>
      </c>
      <c r="J107" s="55">
        <v>0</v>
      </c>
      <c r="K107" s="55"/>
      <c r="L107" s="55"/>
      <c r="M107" s="55"/>
      <c r="N107" s="55"/>
      <c r="O107" s="50">
        <f t="shared" si="22"/>
        <v>0</v>
      </c>
    </row>
    <row r="108" spans="1:15" x14ac:dyDescent="0.25">
      <c r="A108" s="51">
        <v>60036</v>
      </c>
      <c r="B108" s="80" t="s">
        <v>113</v>
      </c>
      <c r="C108" s="48">
        <f t="shared" si="23"/>
        <v>0</v>
      </c>
      <c r="D108" s="49" t="s">
        <v>9</v>
      </c>
      <c r="E108" s="52" t="s">
        <v>114</v>
      </c>
      <c r="I108" s="52" t="s">
        <v>128</v>
      </c>
      <c r="J108" s="55">
        <v>0</v>
      </c>
      <c r="K108" s="55"/>
      <c r="L108" s="55"/>
      <c r="M108" s="55"/>
      <c r="N108" s="55"/>
      <c r="O108" s="50">
        <f t="shared" si="22"/>
        <v>0</v>
      </c>
    </row>
    <row r="109" spans="1:15" x14ac:dyDescent="0.25">
      <c r="A109" s="86">
        <v>60036</v>
      </c>
      <c r="B109" s="87" t="s">
        <v>113</v>
      </c>
      <c r="C109" s="88">
        <f t="shared" si="23"/>
        <v>0</v>
      </c>
      <c r="D109" s="89" t="s">
        <v>21</v>
      </c>
      <c r="E109" s="89" t="s">
        <v>114</v>
      </c>
      <c r="I109" s="52" t="s">
        <v>129</v>
      </c>
      <c r="J109" s="55">
        <v>0</v>
      </c>
      <c r="K109" s="55"/>
      <c r="L109" s="55"/>
      <c r="M109" s="55"/>
      <c r="N109" s="55"/>
      <c r="O109" s="50">
        <f t="shared" si="22"/>
        <v>0</v>
      </c>
    </row>
    <row r="110" spans="1:15" x14ac:dyDescent="0.25">
      <c r="A110" s="51">
        <v>60036</v>
      </c>
      <c r="B110" s="80" t="s">
        <v>113</v>
      </c>
      <c r="C110" s="48">
        <f t="shared" si="23"/>
        <v>0</v>
      </c>
      <c r="D110" s="52" t="s">
        <v>36</v>
      </c>
      <c r="E110" s="52" t="s">
        <v>114</v>
      </c>
      <c r="I110" s="52" t="s">
        <v>130</v>
      </c>
      <c r="J110" s="55">
        <v>0</v>
      </c>
      <c r="K110" s="55"/>
      <c r="L110" s="55"/>
      <c r="M110" s="55"/>
      <c r="N110" s="55"/>
      <c r="O110" s="50">
        <f t="shared" si="22"/>
        <v>0</v>
      </c>
    </row>
    <row r="111" spans="1:15" x14ac:dyDescent="0.25">
      <c r="A111" s="51">
        <v>60070</v>
      </c>
      <c r="B111" s="52" t="s">
        <v>131</v>
      </c>
      <c r="C111" s="48">
        <f t="shared" si="23"/>
        <v>0</v>
      </c>
      <c r="D111" s="52" t="s">
        <v>27</v>
      </c>
      <c r="E111" s="52" t="s">
        <v>132</v>
      </c>
      <c r="I111" s="52" t="s">
        <v>133</v>
      </c>
      <c r="J111" s="55"/>
      <c r="K111" s="55"/>
      <c r="L111" s="55"/>
      <c r="M111" s="55"/>
      <c r="N111" s="55"/>
      <c r="O111" s="50">
        <f t="shared" si="22"/>
        <v>0</v>
      </c>
    </row>
    <row r="112" spans="1:15" x14ac:dyDescent="0.25">
      <c r="A112" s="51">
        <v>60041</v>
      </c>
      <c r="B112" s="52" t="s">
        <v>134</v>
      </c>
      <c r="C112" s="48">
        <f t="shared" si="23"/>
        <v>0</v>
      </c>
      <c r="D112" s="52" t="s">
        <v>27</v>
      </c>
      <c r="E112" s="52" t="s">
        <v>135</v>
      </c>
      <c r="I112" s="52" t="s">
        <v>80</v>
      </c>
      <c r="J112" s="55">
        <v>0</v>
      </c>
      <c r="K112" s="55"/>
      <c r="L112" s="55"/>
      <c r="M112" s="55"/>
      <c r="N112" s="55"/>
      <c r="O112" s="50">
        <f t="shared" si="22"/>
        <v>0</v>
      </c>
    </row>
    <row r="113" spans="1:15" x14ac:dyDescent="0.25">
      <c r="A113" s="86">
        <v>60041</v>
      </c>
      <c r="B113" s="89" t="s">
        <v>134</v>
      </c>
      <c r="C113" s="88">
        <f t="shared" si="23"/>
        <v>0</v>
      </c>
      <c r="D113" s="89" t="s">
        <v>21</v>
      </c>
      <c r="E113" s="89" t="s">
        <v>135</v>
      </c>
      <c r="I113" s="52" t="s">
        <v>136</v>
      </c>
      <c r="J113" s="55">
        <v>0</v>
      </c>
      <c r="K113" s="55"/>
      <c r="L113" s="55"/>
      <c r="M113" s="55"/>
      <c r="N113" s="55"/>
      <c r="O113" s="50">
        <f t="shared" si="22"/>
        <v>0</v>
      </c>
    </row>
    <row r="114" spans="1:15" x14ac:dyDescent="0.25">
      <c r="A114" s="51">
        <v>60070</v>
      </c>
      <c r="B114" s="52" t="s">
        <v>131</v>
      </c>
      <c r="C114" s="48">
        <f t="shared" si="23"/>
        <v>0</v>
      </c>
      <c r="D114" s="52" t="s">
        <v>27</v>
      </c>
      <c r="E114" s="52" t="s">
        <v>137</v>
      </c>
      <c r="I114" s="52" t="s">
        <v>138</v>
      </c>
      <c r="J114" s="55"/>
      <c r="K114" s="55"/>
      <c r="L114" s="55"/>
      <c r="M114" s="55"/>
      <c r="N114" s="55"/>
      <c r="O114" s="50">
        <f t="shared" si="22"/>
        <v>0</v>
      </c>
    </row>
    <row r="115" spans="1:15" x14ac:dyDescent="0.25">
      <c r="A115" s="86">
        <v>60070</v>
      </c>
      <c r="B115" s="89" t="s">
        <v>131</v>
      </c>
      <c r="C115" s="88">
        <f t="shared" si="23"/>
        <v>0</v>
      </c>
      <c r="D115" s="89" t="s">
        <v>21</v>
      </c>
      <c r="E115" s="89" t="s">
        <v>137</v>
      </c>
      <c r="I115" s="52" t="s">
        <v>139</v>
      </c>
      <c r="J115" s="55">
        <v>0</v>
      </c>
      <c r="K115" s="55"/>
      <c r="L115" s="55"/>
      <c r="M115" s="55"/>
      <c r="N115" s="55"/>
      <c r="O115" s="50">
        <f t="shared" si="22"/>
        <v>0</v>
      </c>
    </row>
    <row r="116" spans="1:15" x14ac:dyDescent="0.25">
      <c r="A116" s="51">
        <v>60070</v>
      </c>
      <c r="B116" s="52" t="s">
        <v>131</v>
      </c>
      <c r="C116" s="48">
        <f t="shared" si="23"/>
        <v>0</v>
      </c>
      <c r="D116" s="52" t="s">
        <v>27</v>
      </c>
      <c r="E116" s="52" t="s">
        <v>140</v>
      </c>
      <c r="I116" s="52" t="s">
        <v>141</v>
      </c>
      <c r="J116" s="55"/>
      <c r="K116" s="55"/>
      <c r="L116" s="55"/>
      <c r="M116" s="55"/>
      <c r="N116" s="55"/>
      <c r="O116" s="50">
        <f t="shared" si="22"/>
        <v>0</v>
      </c>
    </row>
    <row r="117" spans="1:15" x14ac:dyDescent="0.25">
      <c r="A117" s="86">
        <v>60070</v>
      </c>
      <c r="B117" s="89" t="s">
        <v>131</v>
      </c>
      <c r="C117" s="88">
        <f t="shared" si="23"/>
        <v>0</v>
      </c>
      <c r="D117" s="89" t="s">
        <v>21</v>
      </c>
      <c r="E117" s="89" t="s">
        <v>140</v>
      </c>
      <c r="I117" s="52" t="s">
        <v>142</v>
      </c>
      <c r="J117" s="55">
        <v>0</v>
      </c>
      <c r="K117" s="55"/>
      <c r="L117" s="55"/>
      <c r="M117" s="55"/>
      <c r="N117" s="55"/>
      <c r="O117" s="50">
        <f t="shared" si="22"/>
        <v>0</v>
      </c>
    </row>
    <row r="118" spans="1:15" x14ac:dyDescent="0.25">
      <c r="A118" s="51">
        <v>60070</v>
      </c>
      <c r="B118" s="52" t="s">
        <v>131</v>
      </c>
      <c r="C118" s="48">
        <f t="shared" si="23"/>
        <v>0</v>
      </c>
      <c r="D118" s="49" t="s">
        <v>9</v>
      </c>
      <c r="E118" s="52" t="s">
        <v>143</v>
      </c>
      <c r="I118" s="52" t="s">
        <v>84</v>
      </c>
      <c r="J118" s="55">
        <v>0</v>
      </c>
      <c r="K118" s="55"/>
      <c r="L118" s="55"/>
      <c r="M118" s="55"/>
      <c r="N118" s="55"/>
      <c r="O118" s="50">
        <f t="shared" si="22"/>
        <v>0</v>
      </c>
    </row>
    <row r="119" spans="1:15" x14ac:dyDescent="0.25">
      <c r="A119" s="86">
        <v>60070</v>
      </c>
      <c r="B119" s="89" t="s">
        <v>131</v>
      </c>
      <c r="C119" s="88">
        <f t="shared" si="23"/>
        <v>0</v>
      </c>
      <c r="D119" s="89" t="s">
        <v>21</v>
      </c>
      <c r="E119" s="89" t="s">
        <v>143</v>
      </c>
      <c r="I119" s="52" t="s">
        <v>144</v>
      </c>
      <c r="J119" s="55">
        <v>0</v>
      </c>
      <c r="K119" s="55"/>
      <c r="L119" s="55"/>
      <c r="M119" s="55"/>
      <c r="N119" s="55"/>
      <c r="O119" s="50">
        <f t="shared" si="22"/>
        <v>0</v>
      </c>
    </row>
    <row r="120" spans="1:15" x14ac:dyDescent="0.25">
      <c r="A120" s="81"/>
      <c r="B120" s="82"/>
      <c r="C120" s="82"/>
      <c r="D120" s="82"/>
      <c r="E120" s="82"/>
      <c r="H120" s="83" t="s">
        <v>145</v>
      </c>
      <c r="I120" s="84"/>
      <c r="J120" s="79"/>
      <c r="K120" s="79"/>
      <c r="L120" s="79"/>
      <c r="M120" s="79"/>
      <c r="N120" s="79"/>
      <c r="O120" s="79"/>
    </row>
    <row r="121" spans="1:15" x14ac:dyDescent="0.25">
      <c r="A121" s="51">
        <v>60043</v>
      </c>
      <c r="B121" s="90" t="s">
        <v>146</v>
      </c>
      <c r="C121" s="85">
        <f t="shared" ref="C121:C126" si="24">$C$1</f>
        <v>0</v>
      </c>
      <c r="D121" s="49" t="s">
        <v>9</v>
      </c>
      <c r="E121" s="52" t="s">
        <v>147</v>
      </c>
      <c r="I121" s="52" t="s">
        <v>148</v>
      </c>
      <c r="J121" s="55">
        <f>65000-J123</f>
        <v>59025</v>
      </c>
      <c r="K121" s="55"/>
      <c r="L121" s="55"/>
      <c r="M121" s="55"/>
      <c r="N121" s="55"/>
      <c r="O121" s="50">
        <f t="shared" si="22"/>
        <v>59025</v>
      </c>
    </row>
    <row r="122" spans="1:15" x14ac:dyDescent="0.25">
      <c r="A122" s="51">
        <v>60043</v>
      </c>
      <c r="B122" s="52" t="s">
        <v>146</v>
      </c>
      <c r="C122" s="85">
        <f t="shared" si="24"/>
        <v>0</v>
      </c>
      <c r="D122" s="49" t="s">
        <v>9</v>
      </c>
      <c r="E122" s="52" t="s">
        <v>147</v>
      </c>
      <c r="I122" s="52" t="s">
        <v>149</v>
      </c>
      <c r="J122" s="55">
        <f>(22.25*8*190)*(J48+J49)</f>
        <v>0</v>
      </c>
      <c r="K122" s="55"/>
      <c r="L122" s="55"/>
      <c r="M122" s="55"/>
      <c r="N122" s="55"/>
      <c r="O122" s="50">
        <f t="shared" si="22"/>
        <v>0</v>
      </c>
    </row>
    <row r="123" spans="1:15" x14ac:dyDescent="0.25">
      <c r="A123" s="86">
        <v>60043</v>
      </c>
      <c r="B123" s="91" t="s">
        <v>146</v>
      </c>
      <c r="C123" s="89">
        <f t="shared" si="24"/>
        <v>0</v>
      </c>
      <c r="D123" s="89" t="s">
        <v>21</v>
      </c>
      <c r="E123" s="89" t="s">
        <v>147</v>
      </c>
      <c r="I123" s="52" t="s">
        <v>150</v>
      </c>
      <c r="J123" s="55">
        <v>5975</v>
      </c>
      <c r="K123" s="55"/>
      <c r="L123" s="55"/>
      <c r="M123" s="55"/>
      <c r="N123" s="55"/>
      <c r="O123" s="50">
        <f t="shared" si="22"/>
        <v>5975</v>
      </c>
    </row>
    <row r="124" spans="1:15" x14ac:dyDescent="0.25">
      <c r="A124" s="51">
        <v>60043</v>
      </c>
      <c r="B124" s="52" t="s">
        <v>146</v>
      </c>
      <c r="C124" s="85">
        <f t="shared" si="24"/>
        <v>0</v>
      </c>
      <c r="D124" s="52" t="s">
        <v>24</v>
      </c>
      <c r="E124" s="52" t="s">
        <v>147</v>
      </c>
      <c r="I124" s="52" t="s">
        <v>151</v>
      </c>
      <c r="J124" s="55"/>
      <c r="K124" s="55"/>
      <c r="L124" s="55"/>
      <c r="M124" s="55"/>
      <c r="N124" s="55"/>
      <c r="O124" s="50">
        <f t="shared" si="22"/>
        <v>0</v>
      </c>
    </row>
    <row r="125" spans="1:15" x14ac:dyDescent="0.25">
      <c r="A125" s="51">
        <v>60043</v>
      </c>
      <c r="B125" s="52" t="s">
        <v>146</v>
      </c>
      <c r="C125" s="85">
        <f t="shared" si="24"/>
        <v>0</v>
      </c>
      <c r="D125" s="49" t="s">
        <v>9</v>
      </c>
      <c r="E125" s="52" t="s">
        <v>147</v>
      </c>
      <c r="I125" s="52" t="s">
        <v>152</v>
      </c>
      <c r="J125" s="55"/>
      <c r="K125" s="55"/>
      <c r="L125" s="55"/>
      <c r="M125" s="55"/>
      <c r="N125" s="55"/>
      <c r="O125" s="50">
        <f t="shared" si="22"/>
        <v>0</v>
      </c>
    </row>
    <row r="126" spans="1:15" x14ac:dyDescent="0.25">
      <c r="A126" s="51">
        <v>60043</v>
      </c>
      <c r="B126" s="52" t="s">
        <v>146</v>
      </c>
      <c r="C126" s="85">
        <f t="shared" si="24"/>
        <v>0</v>
      </c>
      <c r="D126" s="52" t="s">
        <v>36</v>
      </c>
      <c r="E126" s="52" t="s">
        <v>147</v>
      </c>
      <c r="I126" s="52" t="s">
        <v>153</v>
      </c>
      <c r="J126" s="55">
        <v>0</v>
      </c>
      <c r="K126" s="55"/>
      <c r="L126" s="55"/>
      <c r="M126" s="55"/>
      <c r="N126" s="55"/>
      <c r="O126" s="50">
        <f t="shared" si="22"/>
        <v>0</v>
      </c>
    </row>
    <row r="127" spans="1:15" x14ac:dyDescent="0.25">
      <c r="A127" s="81"/>
      <c r="B127" s="82"/>
      <c r="C127" s="82"/>
      <c r="D127" s="82"/>
      <c r="E127" s="82"/>
      <c r="H127" s="83" t="s">
        <v>154</v>
      </c>
      <c r="I127" s="84"/>
      <c r="J127" s="79"/>
      <c r="K127" s="79"/>
      <c r="L127" s="79"/>
      <c r="M127" s="79"/>
      <c r="N127" s="79"/>
      <c r="O127" s="79"/>
    </row>
    <row r="128" spans="1:15" x14ac:dyDescent="0.25">
      <c r="A128" s="51">
        <v>60043</v>
      </c>
      <c r="B128" s="52" t="s">
        <v>146</v>
      </c>
      <c r="C128" s="85">
        <f>$C$1</f>
        <v>0</v>
      </c>
      <c r="D128" s="49" t="s">
        <v>9</v>
      </c>
      <c r="E128" s="52" t="s">
        <v>147</v>
      </c>
      <c r="I128" s="52" t="s">
        <v>155</v>
      </c>
      <c r="J128" s="55">
        <f>(20*8*240)*J51</f>
        <v>0</v>
      </c>
      <c r="K128" s="55"/>
      <c r="L128" s="55"/>
      <c r="M128" s="55"/>
      <c r="N128" s="55"/>
      <c r="O128" s="50">
        <f t="shared" si="22"/>
        <v>0</v>
      </c>
    </row>
    <row r="129" spans="1:15" x14ac:dyDescent="0.25">
      <c r="A129" s="51">
        <v>60070</v>
      </c>
      <c r="B129" s="52" t="s">
        <v>131</v>
      </c>
      <c r="C129" s="85">
        <f>$C$1</f>
        <v>0</v>
      </c>
      <c r="D129" s="49" t="s">
        <v>9</v>
      </c>
      <c r="E129" s="52" t="s">
        <v>156</v>
      </c>
      <c r="I129" s="57" t="s">
        <v>157</v>
      </c>
      <c r="J129" s="58"/>
      <c r="K129" s="58"/>
      <c r="L129" s="58"/>
      <c r="M129" s="58"/>
      <c r="N129" s="58"/>
      <c r="O129" s="50">
        <f t="shared" si="22"/>
        <v>0</v>
      </c>
    </row>
    <row r="130" spans="1:15" x14ac:dyDescent="0.25">
      <c r="A130" s="86">
        <v>60070</v>
      </c>
      <c r="B130" s="89" t="s">
        <v>131</v>
      </c>
      <c r="C130" s="89">
        <f>$C$1</f>
        <v>0</v>
      </c>
      <c r="D130" s="89" t="s">
        <v>21</v>
      </c>
      <c r="E130" s="89" t="s">
        <v>156</v>
      </c>
      <c r="I130" s="57" t="s">
        <v>158</v>
      </c>
      <c r="J130" s="55">
        <v>0</v>
      </c>
      <c r="K130" s="55"/>
      <c r="L130" s="55"/>
      <c r="M130" s="55"/>
      <c r="N130" s="55"/>
      <c r="O130" s="50">
        <f t="shared" si="22"/>
        <v>0</v>
      </c>
    </row>
    <row r="131" spans="1:15" x14ac:dyDescent="0.25">
      <c r="A131" s="81"/>
      <c r="B131" s="82"/>
      <c r="C131" s="82"/>
      <c r="D131" s="82"/>
      <c r="E131" s="82"/>
      <c r="H131" s="83" t="s">
        <v>159</v>
      </c>
      <c r="I131" s="84"/>
      <c r="J131" s="79"/>
      <c r="K131" s="79"/>
      <c r="L131" s="79"/>
      <c r="M131" s="79"/>
      <c r="N131" s="79"/>
      <c r="O131" s="79"/>
    </row>
    <row r="132" spans="1:15" x14ac:dyDescent="0.25">
      <c r="A132" s="51">
        <v>60070</v>
      </c>
      <c r="B132" s="52" t="s">
        <v>131</v>
      </c>
      <c r="C132" s="85">
        <f>$C$1</f>
        <v>0</v>
      </c>
      <c r="D132" s="52" t="s">
        <v>39</v>
      </c>
      <c r="E132" s="52" t="s">
        <v>160</v>
      </c>
      <c r="I132" s="52" t="s">
        <v>161</v>
      </c>
      <c r="J132" s="55">
        <f>(24*8*200)*J52</f>
        <v>0</v>
      </c>
      <c r="K132" s="55"/>
      <c r="L132" s="55">
        <f>48000-L133</f>
        <v>44829</v>
      </c>
      <c r="M132" s="55"/>
      <c r="N132" s="55"/>
      <c r="O132" s="50">
        <f t="shared" si="22"/>
        <v>44829</v>
      </c>
    </row>
    <row r="133" spans="1:15" x14ac:dyDescent="0.25">
      <c r="A133" s="86">
        <v>60070</v>
      </c>
      <c r="B133" s="89" t="s">
        <v>131</v>
      </c>
      <c r="C133" s="89">
        <f>$C$1</f>
        <v>0</v>
      </c>
      <c r="D133" s="89" t="s">
        <v>21</v>
      </c>
      <c r="E133" s="89" t="s">
        <v>160</v>
      </c>
      <c r="I133" s="52" t="s">
        <v>162</v>
      </c>
      <c r="J133" s="55">
        <v>0</v>
      </c>
      <c r="K133" s="55"/>
      <c r="L133" s="55">
        <v>3171</v>
      </c>
      <c r="M133" s="55"/>
      <c r="N133" s="55"/>
      <c r="O133" s="50">
        <f t="shared" si="22"/>
        <v>3171</v>
      </c>
    </row>
    <row r="134" spans="1:15" x14ac:dyDescent="0.25">
      <c r="A134" s="92" t="s">
        <v>5</v>
      </c>
      <c r="B134" s="92" t="s">
        <v>91</v>
      </c>
      <c r="C134" s="92" t="s">
        <v>92</v>
      </c>
      <c r="D134" s="92" t="s">
        <v>4</v>
      </c>
      <c r="E134" s="92" t="s">
        <v>93</v>
      </c>
      <c r="H134" s="115" t="s">
        <v>163</v>
      </c>
      <c r="I134" s="94"/>
      <c r="J134" s="92">
        <f>SUM(J94:J133)</f>
        <v>397500</v>
      </c>
      <c r="K134" s="92">
        <f t="shared" ref="K134:O134" si="25">SUM(K94:K133)</f>
        <v>0</v>
      </c>
      <c r="L134" s="92">
        <f t="shared" si="25"/>
        <v>48000</v>
      </c>
      <c r="M134" s="92">
        <f t="shared" si="25"/>
        <v>0</v>
      </c>
      <c r="N134" s="92">
        <f t="shared" si="25"/>
        <v>0</v>
      </c>
      <c r="O134" s="92">
        <f t="shared" si="25"/>
        <v>445500</v>
      </c>
    </row>
    <row r="135" spans="1:15" x14ac:dyDescent="0.25">
      <c r="A135" s="46">
        <v>60503</v>
      </c>
      <c r="B135" s="49" t="s">
        <v>164</v>
      </c>
      <c r="C135" s="85">
        <f t="shared" ref="C135:C152" si="26">$C$1</f>
        <v>0</v>
      </c>
      <c r="D135" s="49" t="s">
        <v>9</v>
      </c>
      <c r="E135" s="49" t="s">
        <v>165</v>
      </c>
      <c r="I135" s="49" t="s">
        <v>166</v>
      </c>
      <c r="J135" s="55">
        <f>SUMIF($D$94:$D$133,D135,$J$94:$J$133)*0.3675</f>
        <v>143159.99249999999</v>
      </c>
      <c r="K135" s="55">
        <f>SUMIF($D$94:$D$133,D135,$K$94:$K$133)*0.3675</f>
        <v>0</v>
      </c>
      <c r="L135" s="55">
        <f>SUMIF($D$94:$D$133,D135,$L$94:$L$133)*0.3675</f>
        <v>0</v>
      </c>
      <c r="M135" s="55">
        <f>SUMIF($D$94:$D$133,D135,$M$94:$M$133)*0.3675</f>
        <v>0</v>
      </c>
      <c r="N135" s="55">
        <f>SUMIF($D$94:$D$133,D135,$N$94:$N$133)*0.3675</f>
        <v>0</v>
      </c>
      <c r="O135" s="50">
        <f>SUM(J135:N135)</f>
        <v>143159.99249999999</v>
      </c>
    </row>
    <row r="136" spans="1:15" x14ac:dyDescent="0.25">
      <c r="A136" s="97">
        <v>60503</v>
      </c>
      <c r="B136" s="88" t="s">
        <v>164</v>
      </c>
      <c r="C136" s="89">
        <f t="shared" si="26"/>
        <v>0</v>
      </c>
      <c r="D136" s="89" t="s">
        <v>18</v>
      </c>
      <c r="E136" s="88" t="s">
        <v>165</v>
      </c>
      <c r="I136" s="52" t="s">
        <v>167</v>
      </c>
      <c r="J136" s="55">
        <f t="shared" ref="J136:J141" si="27">SUMIF($D$94:$D$133,D136,$J$94:$J$133)*0.3675</f>
        <v>0</v>
      </c>
      <c r="K136" s="55">
        <f t="shared" ref="K136:K141" si="28">SUMIF($D$94:$D$133,D136,$K$94:$K$133)*0.3675</f>
        <v>0</v>
      </c>
      <c r="L136" s="55">
        <f t="shared" ref="L136:L141" si="29">SUMIF($D$94:$D$133,D136,$L$94:$L$133)*0.3675</f>
        <v>0</v>
      </c>
      <c r="M136" s="55">
        <f t="shared" ref="M136:M141" si="30">SUMIF($D$94:$D$133,D136,$M$94:$M$133)*0.3675</f>
        <v>0</v>
      </c>
      <c r="N136" s="55">
        <f t="shared" ref="N136:N141" si="31">SUMIF($D$94:$D$133,D136,$N$94:$N$133)*0.3675</f>
        <v>0</v>
      </c>
      <c r="O136" s="50">
        <f t="shared" si="22"/>
        <v>0</v>
      </c>
    </row>
    <row r="137" spans="1:15" x14ac:dyDescent="0.25">
      <c r="A137" s="97">
        <v>60503</v>
      </c>
      <c r="B137" s="88" t="s">
        <v>164</v>
      </c>
      <c r="C137" s="89">
        <f t="shared" si="26"/>
        <v>0</v>
      </c>
      <c r="D137" s="89" t="s">
        <v>21</v>
      </c>
      <c r="E137" s="88" t="s">
        <v>165</v>
      </c>
      <c r="I137" s="52" t="s">
        <v>168</v>
      </c>
      <c r="J137" s="55">
        <f t="shared" si="27"/>
        <v>2921.2575000000002</v>
      </c>
      <c r="K137" s="55">
        <f t="shared" si="28"/>
        <v>0</v>
      </c>
      <c r="L137" s="55">
        <f t="shared" si="29"/>
        <v>1165.3425</v>
      </c>
      <c r="M137" s="55">
        <f t="shared" si="30"/>
        <v>0</v>
      </c>
      <c r="N137" s="55">
        <f t="shared" si="31"/>
        <v>0</v>
      </c>
      <c r="O137" s="50">
        <f t="shared" si="22"/>
        <v>4086.6000000000004</v>
      </c>
    </row>
    <row r="138" spans="1:15" x14ac:dyDescent="0.25">
      <c r="A138" s="46">
        <v>60503</v>
      </c>
      <c r="B138" s="49" t="s">
        <v>164</v>
      </c>
      <c r="C138" s="85">
        <f t="shared" si="26"/>
        <v>0</v>
      </c>
      <c r="D138" s="52" t="s">
        <v>24</v>
      </c>
      <c r="E138" s="49" t="s">
        <v>165</v>
      </c>
      <c r="I138" s="49" t="s">
        <v>169</v>
      </c>
      <c r="J138" s="55">
        <f t="shared" si="27"/>
        <v>0</v>
      </c>
      <c r="K138" s="55">
        <f t="shared" si="28"/>
        <v>0</v>
      </c>
      <c r="L138" s="55">
        <f t="shared" si="29"/>
        <v>0</v>
      </c>
      <c r="M138" s="55">
        <f t="shared" si="30"/>
        <v>0</v>
      </c>
      <c r="N138" s="55">
        <f t="shared" si="31"/>
        <v>0</v>
      </c>
      <c r="O138" s="50">
        <f t="shared" si="22"/>
        <v>0</v>
      </c>
    </row>
    <row r="139" spans="1:15" x14ac:dyDescent="0.25">
      <c r="A139" s="46">
        <v>60503</v>
      </c>
      <c r="B139" s="49" t="s">
        <v>164</v>
      </c>
      <c r="C139" s="85">
        <f t="shared" si="26"/>
        <v>0</v>
      </c>
      <c r="D139" s="52" t="s">
        <v>27</v>
      </c>
      <c r="E139" s="49" t="s">
        <v>165</v>
      </c>
      <c r="I139" s="49" t="s">
        <v>170</v>
      </c>
      <c r="J139" s="55">
        <f t="shared" si="27"/>
        <v>0</v>
      </c>
      <c r="K139" s="55">
        <f t="shared" si="28"/>
        <v>0</v>
      </c>
      <c r="L139" s="55">
        <f t="shared" si="29"/>
        <v>0</v>
      </c>
      <c r="M139" s="55">
        <f t="shared" si="30"/>
        <v>0</v>
      </c>
      <c r="N139" s="55">
        <f t="shared" si="31"/>
        <v>0</v>
      </c>
      <c r="O139" s="50">
        <f t="shared" si="22"/>
        <v>0</v>
      </c>
    </row>
    <row r="140" spans="1:15" x14ac:dyDescent="0.25">
      <c r="A140" s="46">
        <v>60503</v>
      </c>
      <c r="B140" s="49" t="s">
        <v>164</v>
      </c>
      <c r="C140" s="85">
        <f t="shared" si="26"/>
        <v>0</v>
      </c>
      <c r="D140" s="52" t="s">
        <v>36</v>
      </c>
      <c r="E140" s="49" t="s">
        <v>165</v>
      </c>
      <c r="I140" s="49" t="s">
        <v>171</v>
      </c>
      <c r="J140" s="55">
        <f t="shared" si="27"/>
        <v>0</v>
      </c>
      <c r="K140" s="55">
        <f t="shared" si="28"/>
        <v>0</v>
      </c>
      <c r="L140" s="55">
        <f t="shared" si="29"/>
        <v>0</v>
      </c>
      <c r="M140" s="55">
        <f t="shared" si="30"/>
        <v>0</v>
      </c>
      <c r="N140" s="55">
        <f t="shared" si="31"/>
        <v>0</v>
      </c>
      <c r="O140" s="50">
        <f t="shared" si="22"/>
        <v>0</v>
      </c>
    </row>
    <row r="141" spans="1:15" x14ac:dyDescent="0.25">
      <c r="A141" s="46">
        <v>60503</v>
      </c>
      <c r="B141" s="49" t="s">
        <v>164</v>
      </c>
      <c r="C141" s="85">
        <f t="shared" si="26"/>
        <v>0</v>
      </c>
      <c r="D141" s="52" t="s">
        <v>39</v>
      </c>
      <c r="E141" s="49" t="s">
        <v>165</v>
      </c>
      <c r="I141" s="49" t="s">
        <v>172</v>
      </c>
      <c r="J141" s="55">
        <f t="shared" si="27"/>
        <v>0</v>
      </c>
      <c r="K141" s="55">
        <f t="shared" si="28"/>
        <v>0</v>
      </c>
      <c r="L141" s="55">
        <f t="shared" si="29"/>
        <v>16474.657500000001</v>
      </c>
      <c r="M141" s="55">
        <f t="shared" si="30"/>
        <v>0</v>
      </c>
      <c r="N141" s="55">
        <f t="shared" si="31"/>
        <v>0</v>
      </c>
      <c r="O141" s="50">
        <f t="shared" si="22"/>
        <v>16474.657500000001</v>
      </c>
    </row>
    <row r="142" spans="1:15" x14ac:dyDescent="0.25">
      <c r="A142" s="51">
        <v>61012</v>
      </c>
      <c r="B142" s="49" t="s">
        <v>173</v>
      </c>
      <c r="C142" s="85">
        <f t="shared" si="26"/>
        <v>0</v>
      </c>
      <c r="D142" s="49" t="s">
        <v>9</v>
      </c>
      <c r="E142" s="49" t="s">
        <v>165</v>
      </c>
      <c r="I142" s="52" t="s">
        <v>174</v>
      </c>
      <c r="J142" s="55">
        <f>SUMIF($D$94:$D$132,D142,$J$94:$J$133)*0.13+SUMIF($D$94:$D$132,D144,$J$94:$J$133)*0.13</f>
        <v>51675.000000000007</v>
      </c>
      <c r="K142" s="55">
        <f>SUMIF($D$94:$D$132,D142,$K$94:$K$133)*0.13</f>
        <v>0</v>
      </c>
      <c r="L142" s="55">
        <f>SUMIF($D$94:$D$133,D142,$L$94:$L$133)*0.13</f>
        <v>0</v>
      </c>
      <c r="M142" s="55">
        <f>SUMIF($D$94:$D$132,D142,$M$94:$M$133)*0.13</f>
        <v>0</v>
      </c>
      <c r="N142" s="55">
        <f>SUMIF($D$94:$D$132,D142,$N$94:$N$133)*0.13</f>
        <v>0</v>
      </c>
      <c r="O142" s="50">
        <f t="shared" si="22"/>
        <v>51675.000000000007</v>
      </c>
    </row>
    <row r="143" spans="1:15" x14ac:dyDescent="0.25">
      <c r="A143" s="86">
        <v>61012</v>
      </c>
      <c r="B143" s="89" t="s">
        <v>173</v>
      </c>
      <c r="C143" s="89">
        <f>$C$1</f>
        <v>0</v>
      </c>
      <c r="D143" s="89" t="s">
        <v>18</v>
      </c>
      <c r="E143" s="89" t="s">
        <v>165</v>
      </c>
      <c r="I143" s="52" t="s">
        <v>175</v>
      </c>
      <c r="J143" s="55">
        <f t="shared" ref="J143:J148" si="32">SUMIF($D$94:$D$132,D143,$J$94:$J$133)*0.13</f>
        <v>0</v>
      </c>
      <c r="K143" s="55">
        <f t="shared" ref="K143:K148" si="33">SUMIF($D$94:$D$132,D143,$K$94:$K$133)*0.13</f>
        <v>0</v>
      </c>
      <c r="L143" s="55">
        <f t="shared" ref="L143:L147" si="34">SUMIF($D$94:$D$132,D143,$L$94:$L$133)*0.13</f>
        <v>0</v>
      </c>
      <c r="M143" s="55">
        <f t="shared" ref="M143:M148" si="35">SUMIF($D$94:$D$132,D143,$M$94:$M$133)*0.13</f>
        <v>0</v>
      </c>
      <c r="N143" s="55">
        <f t="shared" ref="N143:N148" si="36">SUMIF($D$94:$D$132,D143,$N$94:$N$133)*0.13</f>
        <v>0</v>
      </c>
      <c r="O143" s="50">
        <f t="shared" si="22"/>
        <v>0</v>
      </c>
    </row>
    <row r="144" spans="1:15" x14ac:dyDescent="0.25">
      <c r="A144" s="86">
        <v>61012</v>
      </c>
      <c r="B144" s="89" t="s">
        <v>173</v>
      </c>
      <c r="C144" s="89">
        <f>$C$1</f>
        <v>0</v>
      </c>
      <c r="D144" s="89" t="s">
        <v>21</v>
      </c>
      <c r="E144" s="89" t="s">
        <v>165</v>
      </c>
      <c r="I144" s="52" t="s">
        <v>176</v>
      </c>
      <c r="J144" s="55">
        <f>SUMIF($D$94:$D$133,D144,$J$94:$J$133)*0.13*0</f>
        <v>0</v>
      </c>
      <c r="K144" s="55">
        <f>SUMIF($D$94:$D$133,D144,$K$94:$K$133)*0.13</f>
        <v>0</v>
      </c>
      <c r="L144" s="55">
        <f>SUMIF($D$94:$D$133,D144,$L$94:$L$133)*0.13*0</f>
        <v>0</v>
      </c>
      <c r="M144" s="55">
        <f>SUMIF($D$94:$D$133,D144,$M$94:$M$133)*0.13</f>
        <v>0</v>
      </c>
      <c r="N144" s="55">
        <f>SUMIF($D$94:$D$133,D144,$N$94:$N$133)*0.13</f>
        <v>0</v>
      </c>
      <c r="O144" s="50">
        <f t="shared" si="22"/>
        <v>0</v>
      </c>
    </row>
    <row r="145" spans="1:16" x14ac:dyDescent="0.25">
      <c r="A145" s="51">
        <v>61012</v>
      </c>
      <c r="B145" s="49" t="s">
        <v>173</v>
      </c>
      <c r="C145" s="85">
        <f t="shared" si="26"/>
        <v>0</v>
      </c>
      <c r="D145" s="52" t="s">
        <v>24</v>
      </c>
      <c r="E145" s="49" t="s">
        <v>165</v>
      </c>
      <c r="I145" s="52" t="s">
        <v>177</v>
      </c>
      <c r="J145" s="55">
        <f t="shared" si="32"/>
        <v>0</v>
      </c>
      <c r="K145" s="55">
        <f t="shared" si="33"/>
        <v>0</v>
      </c>
      <c r="L145" s="55">
        <f t="shared" si="34"/>
        <v>0</v>
      </c>
      <c r="M145" s="55">
        <f t="shared" si="35"/>
        <v>0</v>
      </c>
      <c r="N145" s="55">
        <f t="shared" si="36"/>
        <v>0</v>
      </c>
      <c r="O145" s="50">
        <f t="shared" si="22"/>
        <v>0</v>
      </c>
    </row>
    <row r="146" spans="1:16" x14ac:dyDescent="0.25">
      <c r="A146" s="51">
        <v>61012</v>
      </c>
      <c r="B146" s="49" t="s">
        <v>173</v>
      </c>
      <c r="C146" s="85">
        <f t="shared" si="26"/>
        <v>0</v>
      </c>
      <c r="D146" s="52" t="s">
        <v>27</v>
      </c>
      <c r="E146" s="49" t="s">
        <v>165</v>
      </c>
      <c r="I146" s="52" t="s">
        <v>178</v>
      </c>
      <c r="J146" s="55">
        <f t="shared" si="32"/>
        <v>0</v>
      </c>
      <c r="K146" s="55">
        <f t="shared" si="33"/>
        <v>0</v>
      </c>
      <c r="L146" s="55">
        <f t="shared" si="34"/>
        <v>0</v>
      </c>
      <c r="M146" s="55">
        <f t="shared" si="35"/>
        <v>0</v>
      </c>
      <c r="N146" s="55">
        <f t="shared" si="36"/>
        <v>0</v>
      </c>
      <c r="O146" s="50">
        <f t="shared" si="22"/>
        <v>0</v>
      </c>
    </row>
    <row r="147" spans="1:16" x14ac:dyDescent="0.25">
      <c r="A147" s="51">
        <v>61012</v>
      </c>
      <c r="B147" s="49" t="s">
        <v>173</v>
      </c>
      <c r="C147" s="85">
        <f t="shared" si="26"/>
        <v>0</v>
      </c>
      <c r="D147" s="52" t="s">
        <v>36</v>
      </c>
      <c r="E147" s="49" t="s">
        <v>165</v>
      </c>
      <c r="I147" s="52" t="s">
        <v>179</v>
      </c>
      <c r="J147" s="55">
        <f t="shared" si="32"/>
        <v>0</v>
      </c>
      <c r="K147" s="55">
        <f t="shared" si="33"/>
        <v>0</v>
      </c>
      <c r="L147" s="55">
        <f t="shared" si="34"/>
        <v>0</v>
      </c>
      <c r="M147" s="55">
        <f t="shared" si="35"/>
        <v>0</v>
      </c>
      <c r="N147" s="55">
        <f t="shared" si="36"/>
        <v>0</v>
      </c>
      <c r="O147" s="50">
        <f t="shared" si="22"/>
        <v>0</v>
      </c>
    </row>
    <row r="148" spans="1:16" x14ac:dyDescent="0.25">
      <c r="A148" s="51">
        <v>61012</v>
      </c>
      <c r="B148" s="49" t="s">
        <v>173</v>
      </c>
      <c r="C148" s="85">
        <f t="shared" si="26"/>
        <v>0</v>
      </c>
      <c r="D148" s="52" t="s">
        <v>39</v>
      </c>
      <c r="E148" s="49" t="s">
        <v>165</v>
      </c>
      <c r="I148" s="52" t="s">
        <v>180</v>
      </c>
      <c r="J148" s="55">
        <f t="shared" si="32"/>
        <v>0</v>
      </c>
      <c r="K148" s="55">
        <f t="shared" si="33"/>
        <v>0</v>
      </c>
      <c r="L148" s="55">
        <f>SUMIF($D$94:$D$132,D148,$L$94:$L$133)*0.13+SUMIF($D$94:$D$133,D144,$L$94:$L$133)*0.13</f>
        <v>6240</v>
      </c>
      <c r="M148" s="55">
        <f t="shared" si="35"/>
        <v>0</v>
      </c>
      <c r="N148" s="55">
        <f t="shared" si="36"/>
        <v>0</v>
      </c>
      <c r="O148" s="50">
        <f t="shared" si="22"/>
        <v>6240</v>
      </c>
    </row>
    <row r="149" spans="1:16" x14ac:dyDescent="0.25">
      <c r="A149" s="51">
        <v>60037</v>
      </c>
      <c r="B149" s="52" t="s">
        <v>181</v>
      </c>
      <c r="C149" s="85">
        <f t="shared" si="26"/>
        <v>0</v>
      </c>
      <c r="D149" s="49" t="s">
        <v>9</v>
      </c>
      <c r="E149" s="49" t="s">
        <v>165</v>
      </c>
      <c r="I149" s="52" t="s">
        <v>182</v>
      </c>
      <c r="J149" s="55">
        <f>(J39*2500)*0+(J40*2000)*0+(J42*1750)+(SUM(J44:J47)*1750)+(SUM(J48:J49)*500)+(SUM(J51:J53)*500)+(SUM(J57:J60)*500)</f>
        <v>3500</v>
      </c>
      <c r="K149" s="55">
        <f t="shared" ref="K149:N149" si="37">(K39*2500)*0+(K40*2000)*0+(K42*1750)+(SUM(K44:K47)*1750)+(SUM(K48:K49)*500)+(SUM(K51:K53)*500)+(SUM(K57:K60)*500)</f>
        <v>0</v>
      </c>
      <c r="L149" s="55">
        <f t="shared" si="37"/>
        <v>500</v>
      </c>
      <c r="M149" s="55">
        <f t="shared" si="37"/>
        <v>0</v>
      </c>
      <c r="N149" s="55">
        <f t="shared" si="37"/>
        <v>0</v>
      </c>
      <c r="O149" s="50">
        <f t="shared" si="22"/>
        <v>4000</v>
      </c>
    </row>
    <row r="150" spans="1:16" x14ac:dyDescent="0.25">
      <c r="A150" s="51">
        <v>60037</v>
      </c>
      <c r="B150" s="52" t="s">
        <v>181</v>
      </c>
      <c r="C150" s="85">
        <f t="shared" si="26"/>
        <v>0</v>
      </c>
      <c r="D150" s="49" t="s">
        <v>9</v>
      </c>
      <c r="E150" s="49" t="s">
        <v>165</v>
      </c>
      <c r="I150" s="52" t="s">
        <v>183</v>
      </c>
      <c r="J150" s="55">
        <f>(J39+J40+J42+J44+J45+J46+J47+J48+J49+J51+J52+J53+J57+J58+J59+J60)*125+125*3</f>
        <v>875</v>
      </c>
      <c r="K150" s="55">
        <f>(K39+K40+K42+K44+K45+K46+K47+K48+K49+K51+K52+K53+K57+K58+K59+K60)*125</f>
        <v>0</v>
      </c>
      <c r="L150" s="55">
        <f t="shared" ref="L150:N150" si="38">(L39+L40+L42+L44+L45+L46+L47+L48+L49+L51+L52+L53+L57+L58+L59+L60)*125</f>
        <v>125</v>
      </c>
      <c r="M150" s="55">
        <f t="shared" si="38"/>
        <v>0</v>
      </c>
      <c r="N150" s="55">
        <f t="shared" si="38"/>
        <v>0</v>
      </c>
      <c r="O150" s="50">
        <f t="shared" si="22"/>
        <v>1000</v>
      </c>
    </row>
    <row r="151" spans="1:16" x14ac:dyDescent="0.25">
      <c r="A151" s="51">
        <v>60037</v>
      </c>
      <c r="B151" s="52" t="s">
        <v>181</v>
      </c>
      <c r="C151" s="85">
        <f t="shared" si="26"/>
        <v>0</v>
      </c>
      <c r="D151" s="49" t="s">
        <v>9</v>
      </c>
      <c r="E151" s="49" t="s">
        <v>165</v>
      </c>
      <c r="I151" s="52" t="s">
        <v>184</v>
      </c>
      <c r="J151" s="55"/>
      <c r="K151" s="55"/>
      <c r="L151" s="55"/>
      <c r="M151" s="55"/>
      <c r="N151" s="55"/>
      <c r="O151" s="50">
        <f t="shared" si="22"/>
        <v>0</v>
      </c>
    </row>
    <row r="152" spans="1:16" x14ac:dyDescent="0.25">
      <c r="A152" s="56">
        <v>61251</v>
      </c>
      <c r="B152" s="57" t="s">
        <v>185</v>
      </c>
      <c r="C152" s="85">
        <f t="shared" si="26"/>
        <v>0</v>
      </c>
      <c r="D152" s="49" t="s">
        <v>9</v>
      </c>
      <c r="E152" s="52" t="s">
        <v>186</v>
      </c>
      <c r="I152" s="57" t="s">
        <v>187</v>
      </c>
      <c r="J152" s="58"/>
      <c r="K152" s="58"/>
      <c r="L152" s="58"/>
      <c r="M152" s="58"/>
      <c r="N152" s="58"/>
      <c r="O152" s="50">
        <f t="shared" si="22"/>
        <v>0</v>
      </c>
    </row>
    <row r="153" spans="1:16" x14ac:dyDescent="0.25">
      <c r="A153" s="98"/>
      <c r="B153" s="98"/>
      <c r="C153" s="98"/>
      <c r="D153" s="98"/>
      <c r="E153" s="98"/>
      <c r="F153" s="96"/>
      <c r="H153" s="93" t="s">
        <v>188</v>
      </c>
      <c r="I153" s="94"/>
      <c r="J153" s="92">
        <f t="shared" ref="J153:O153" si="39">SUM(J135:J152)</f>
        <v>202131.25</v>
      </c>
      <c r="K153" s="92">
        <f t="shared" si="39"/>
        <v>0</v>
      </c>
      <c r="L153" s="92">
        <f t="shared" si="39"/>
        <v>24505</v>
      </c>
      <c r="M153" s="92">
        <f t="shared" si="39"/>
        <v>0</v>
      </c>
      <c r="N153" s="92">
        <f t="shared" si="39"/>
        <v>0</v>
      </c>
      <c r="O153" s="92">
        <f t="shared" si="39"/>
        <v>226636.25</v>
      </c>
      <c r="P153" s="96"/>
    </row>
    <row r="154" spans="1:16" ht="16.5" thickBot="1" x14ac:dyDescent="0.3">
      <c r="J154" s="99"/>
      <c r="K154" s="99"/>
      <c r="L154" s="99"/>
      <c r="M154" s="99"/>
      <c r="N154" s="99"/>
      <c r="O154" s="99"/>
    </row>
    <row r="155" spans="1:16" ht="16.5" thickBot="1" x14ac:dyDescent="0.3">
      <c r="A155" s="68" t="s">
        <v>5</v>
      </c>
      <c r="B155" s="68" t="s">
        <v>91</v>
      </c>
      <c r="C155" s="68" t="s">
        <v>92</v>
      </c>
      <c r="D155" s="68" t="s">
        <v>4</v>
      </c>
      <c r="E155" s="68" t="s">
        <v>93</v>
      </c>
      <c r="H155" s="100" t="s">
        <v>189</v>
      </c>
      <c r="I155" s="82"/>
      <c r="J155" s="101" t="str">
        <f>J20</f>
        <v>Operating</v>
      </c>
      <c r="K155" s="101" t="str">
        <f t="shared" ref="K155:O155" si="40">K20</f>
        <v>SPED</v>
      </c>
      <c r="L155" s="101" t="str">
        <f t="shared" si="40"/>
        <v>NSLP</v>
      </c>
      <c r="M155" s="101" t="str">
        <f t="shared" si="40"/>
        <v>Title(s)</v>
      </c>
      <c r="N155" s="101" t="str">
        <f t="shared" si="40"/>
        <v>Other</v>
      </c>
      <c r="O155" s="101" t="str">
        <f t="shared" si="40"/>
        <v>Total</v>
      </c>
    </row>
    <row r="156" spans="1:16" x14ac:dyDescent="0.25">
      <c r="A156" s="73"/>
      <c r="B156" s="74"/>
      <c r="C156" s="74"/>
      <c r="D156" s="74"/>
      <c r="E156" s="74"/>
      <c r="H156" s="77" t="s">
        <v>190</v>
      </c>
      <c r="I156" s="78"/>
      <c r="J156" s="79"/>
      <c r="K156" s="79"/>
      <c r="L156" s="79"/>
      <c r="M156" s="79"/>
      <c r="N156" s="79"/>
      <c r="O156" s="79"/>
    </row>
    <row r="157" spans="1:16" x14ac:dyDescent="0.25">
      <c r="A157" s="51">
        <v>60010</v>
      </c>
      <c r="B157" s="49" t="s">
        <v>191</v>
      </c>
      <c r="C157" s="85">
        <f t="shared" ref="C157:C167" si="41">$C$1</f>
        <v>0</v>
      </c>
      <c r="D157" s="49" t="s">
        <v>9</v>
      </c>
      <c r="E157" s="52" t="s">
        <v>186</v>
      </c>
      <c r="I157" s="49" t="s">
        <v>192</v>
      </c>
      <c r="J157" s="102">
        <v>0</v>
      </c>
      <c r="K157" s="102"/>
      <c r="L157" s="102"/>
      <c r="M157" s="102"/>
      <c r="N157" s="102"/>
      <c r="O157" s="50">
        <f t="shared" ref="O157:O200" si="42">SUM(J157:N157)</f>
        <v>0</v>
      </c>
    </row>
    <row r="158" spans="1:16" x14ac:dyDescent="0.25">
      <c r="A158" s="51">
        <v>60010</v>
      </c>
      <c r="B158" s="49" t="s">
        <v>191</v>
      </c>
      <c r="C158" s="85">
        <f t="shared" si="41"/>
        <v>0</v>
      </c>
      <c r="D158" s="52" t="s">
        <v>18</v>
      </c>
      <c r="E158" s="52" t="s">
        <v>186</v>
      </c>
      <c r="I158" s="49" t="s">
        <v>193</v>
      </c>
      <c r="J158" s="102"/>
      <c r="K158" s="102"/>
      <c r="L158" s="102"/>
      <c r="M158" s="102"/>
      <c r="N158" s="102"/>
      <c r="O158" s="50">
        <f t="shared" si="42"/>
        <v>0</v>
      </c>
    </row>
    <row r="159" spans="1:16" x14ac:dyDescent="0.25">
      <c r="A159" s="51">
        <v>60010</v>
      </c>
      <c r="B159" s="49" t="s">
        <v>191</v>
      </c>
      <c r="C159" s="85">
        <f t="shared" si="41"/>
        <v>0</v>
      </c>
      <c r="D159" s="52" t="s">
        <v>36</v>
      </c>
      <c r="E159" s="52" t="s">
        <v>186</v>
      </c>
      <c r="I159" s="49" t="s">
        <v>194</v>
      </c>
      <c r="J159" s="102">
        <v>0</v>
      </c>
      <c r="K159" s="102"/>
      <c r="L159" s="102"/>
      <c r="M159" s="102">
        <f>(84*24*40)*M41</f>
        <v>0</v>
      </c>
      <c r="N159" s="102"/>
      <c r="O159" s="50">
        <f t="shared" si="42"/>
        <v>0</v>
      </c>
    </row>
    <row r="160" spans="1:16" x14ac:dyDescent="0.25">
      <c r="A160" s="51">
        <v>60010</v>
      </c>
      <c r="B160" s="52" t="s">
        <v>191</v>
      </c>
      <c r="C160" s="85">
        <f t="shared" si="41"/>
        <v>0</v>
      </c>
      <c r="D160" s="52" t="s">
        <v>12</v>
      </c>
      <c r="E160" s="52" t="s">
        <v>186</v>
      </c>
      <c r="I160" s="52" t="s">
        <v>67</v>
      </c>
      <c r="J160" s="55">
        <v>0</v>
      </c>
      <c r="K160" s="55"/>
      <c r="L160" s="55"/>
      <c r="M160" s="55"/>
      <c r="N160" s="55"/>
      <c r="O160" s="50">
        <f t="shared" si="42"/>
        <v>0</v>
      </c>
    </row>
    <row r="161" spans="1:15" x14ac:dyDescent="0.25">
      <c r="A161" s="51">
        <v>60010</v>
      </c>
      <c r="B161" s="52" t="s">
        <v>191</v>
      </c>
      <c r="C161" s="85">
        <f t="shared" si="41"/>
        <v>0</v>
      </c>
      <c r="D161" s="52" t="s">
        <v>36</v>
      </c>
      <c r="E161" s="52" t="s">
        <v>186</v>
      </c>
      <c r="I161" s="52" t="s">
        <v>195</v>
      </c>
      <c r="J161" s="55"/>
      <c r="K161" s="55"/>
      <c r="L161" s="55"/>
      <c r="M161" s="55"/>
      <c r="N161" s="55"/>
      <c r="O161" s="50">
        <f t="shared" si="42"/>
        <v>0</v>
      </c>
    </row>
    <row r="162" spans="1:15" x14ac:dyDescent="0.25">
      <c r="A162" s="51">
        <v>60010</v>
      </c>
      <c r="B162" s="52" t="s">
        <v>191</v>
      </c>
      <c r="C162" s="85">
        <f t="shared" si="41"/>
        <v>0</v>
      </c>
      <c r="D162" s="49" t="s">
        <v>9</v>
      </c>
      <c r="E162" s="52" t="s">
        <v>186</v>
      </c>
      <c r="I162" s="52" t="s">
        <v>196</v>
      </c>
      <c r="J162" s="55">
        <f>55200*(J36-J35-J28)+0-J165-J163-K162</f>
        <v>316517.51886792452</v>
      </c>
      <c r="K162" s="55">
        <f>25500</f>
        <v>25500</v>
      </c>
      <c r="L162" s="55"/>
      <c r="M162" s="55"/>
      <c r="N162" s="55"/>
      <c r="O162" s="50">
        <f t="shared" si="42"/>
        <v>342017.51886792452</v>
      </c>
    </row>
    <row r="163" spans="1:15" x14ac:dyDescent="0.25">
      <c r="A163" s="51">
        <v>60010</v>
      </c>
      <c r="B163" s="52" t="s">
        <v>191</v>
      </c>
      <c r="C163" s="85">
        <f t="shared" si="41"/>
        <v>0</v>
      </c>
      <c r="D163" s="52" t="s">
        <v>12</v>
      </c>
      <c r="E163" s="52" t="s">
        <v>186</v>
      </c>
      <c r="I163" s="52" t="s">
        <v>197</v>
      </c>
      <c r="J163" s="55">
        <f>416711*(J22/J17)</f>
        <v>74693.481132075467</v>
      </c>
      <c r="K163" s="55"/>
      <c r="L163" s="55"/>
      <c r="M163" s="55"/>
      <c r="N163" s="55"/>
      <c r="O163" s="50">
        <f t="shared" si="42"/>
        <v>74693.481132075467</v>
      </c>
    </row>
    <row r="164" spans="1:15" x14ac:dyDescent="0.25">
      <c r="A164" s="51">
        <v>60010</v>
      </c>
      <c r="B164" s="52" t="s">
        <v>191</v>
      </c>
      <c r="C164" s="85">
        <f t="shared" si="41"/>
        <v>0</v>
      </c>
      <c r="D164" s="52" t="s">
        <v>18</v>
      </c>
      <c r="E164" s="52" t="s">
        <v>186</v>
      </c>
      <c r="I164" s="52" t="s">
        <v>198</v>
      </c>
      <c r="J164" s="55"/>
      <c r="K164" s="55"/>
      <c r="L164" s="55"/>
      <c r="M164" s="55"/>
      <c r="N164" s="55"/>
      <c r="O164" s="50">
        <f t="shared" si="42"/>
        <v>0</v>
      </c>
    </row>
    <row r="165" spans="1:15" x14ac:dyDescent="0.25">
      <c r="A165" s="51">
        <v>60010</v>
      </c>
      <c r="B165" s="52" t="s">
        <v>191</v>
      </c>
      <c r="C165" s="85">
        <f t="shared" si="41"/>
        <v>0</v>
      </c>
      <c r="D165" s="52" t="s">
        <v>21</v>
      </c>
      <c r="E165" s="52" t="s">
        <v>186</v>
      </c>
      <c r="I165" s="52" t="s">
        <v>199</v>
      </c>
      <c r="J165" s="55">
        <v>24889</v>
      </c>
      <c r="K165" s="55"/>
      <c r="L165" s="55"/>
      <c r="M165" s="55"/>
      <c r="N165" s="55"/>
      <c r="O165" s="50">
        <f t="shared" si="42"/>
        <v>24889</v>
      </c>
    </row>
    <row r="166" spans="1:15" x14ac:dyDescent="0.25">
      <c r="A166" s="51">
        <v>60010</v>
      </c>
      <c r="B166" s="52" t="s">
        <v>191</v>
      </c>
      <c r="C166" s="85">
        <f t="shared" si="41"/>
        <v>0</v>
      </c>
      <c r="D166" s="52" t="s">
        <v>24</v>
      </c>
      <c r="E166" s="52" t="s">
        <v>186</v>
      </c>
      <c r="I166" s="52" t="s">
        <v>200</v>
      </c>
      <c r="J166" s="55"/>
      <c r="K166" s="55"/>
      <c r="L166" s="55"/>
      <c r="M166" s="55"/>
      <c r="N166" s="55"/>
      <c r="O166" s="50">
        <f t="shared" si="42"/>
        <v>0</v>
      </c>
    </row>
    <row r="167" spans="1:15" ht="16.5" thickBot="1" x14ac:dyDescent="0.3">
      <c r="A167" s="51">
        <v>60010</v>
      </c>
      <c r="B167" s="52" t="s">
        <v>191</v>
      </c>
      <c r="C167" s="85">
        <f t="shared" si="41"/>
        <v>0</v>
      </c>
      <c r="D167" s="52" t="s">
        <v>15</v>
      </c>
      <c r="E167" s="52" t="s">
        <v>186</v>
      </c>
      <c r="I167" s="52" t="s">
        <v>201</v>
      </c>
      <c r="J167" s="55"/>
      <c r="K167" s="55"/>
      <c r="L167" s="55"/>
      <c r="M167" s="55"/>
      <c r="N167" s="55"/>
      <c r="O167" s="50">
        <f t="shared" si="42"/>
        <v>0</v>
      </c>
    </row>
    <row r="168" spans="1:15" x14ac:dyDescent="0.25">
      <c r="A168" s="73"/>
      <c r="B168" s="74"/>
      <c r="C168" s="74"/>
      <c r="D168" s="74"/>
      <c r="E168" s="74"/>
      <c r="H168" s="77" t="s">
        <v>202</v>
      </c>
      <c r="I168" s="78"/>
      <c r="J168" s="79"/>
      <c r="K168" s="79"/>
      <c r="L168" s="79"/>
      <c r="M168" s="79"/>
      <c r="N168" s="79"/>
      <c r="O168" s="79"/>
    </row>
    <row r="169" spans="1:15" ht="16.5" thickBot="1" x14ac:dyDescent="0.3">
      <c r="A169" s="51">
        <v>60013</v>
      </c>
      <c r="B169" s="52" t="s">
        <v>191</v>
      </c>
      <c r="C169" s="85">
        <f>$C$1</f>
        <v>0</v>
      </c>
      <c r="D169" s="52" t="s">
        <v>27</v>
      </c>
      <c r="E169" s="52" t="s">
        <v>186</v>
      </c>
      <c r="I169" s="52" t="s">
        <v>203</v>
      </c>
      <c r="J169" s="55">
        <f>50000*(J28)</f>
        <v>0</v>
      </c>
      <c r="K169" s="55">
        <f>51045*(K28)</f>
        <v>51045</v>
      </c>
      <c r="L169" s="55"/>
      <c r="M169" s="55"/>
      <c r="N169" s="55"/>
      <c r="O169" s="50">
        <f t="shared" si="42"/>
        <v>51045</v>
      </c>
    </row>
    <row r="170" spans="1:15" x14ac:dyDescent="0.25">
      <c r="A170" s="73"/>
      <c r="B170" s="74"/>
      <c r="C170" s="74"/>
      <c r="D170" s="74"/>
      <c r="E170" s="74"/>
      <c r="H170" s="77" t="s">
        <v>202</v>
      </c>
      <c r="I170" s="78"/>
      <c r="J170" s="79"/>
      <c r="K170" s="79"/>
      <c r="L170" s="79"/>
      <c r="M170" s="79"/>
      <c r="N170" s="79"/>
      <c r="O170" s="79"/>
    </row>
    <row r="171" spans="1:15" x14ac:dyDescent="0.25">
      <c r="A171" s="51">
        <v>60020</v>
      </c>
      <c r="B171" s="52" t="s">
        <v>204</v>
      </c>
      <c r="C171" s="85">
        <f t="shared" ref="C171:C177" si="43">$C$1</f>
        <v>0</v>
      </c>
      <c r="D171" s="49" t="s">
        <v>9</v>
      </c>
      <c r="E171" s="52" t="s">
        <v>186</v>
      </c>
      <c r="I171" s="52" t="s">
        <v>205</v>
      </c>
      <c r="J171" s="55">
        <v>0</v>
      </c>
      <c r="K171" s="55"/>
      <c r="L171" s="55"/>
      <c r="M171" s="55"/>
      <c r="N171" s="55"/>
      <c r="O171" s="50">
        <f t="shared" si="42"/>
        <v>0</v>
      </c>
    </row>
    <row r="172" spans="1:15" x14ac:dyDescent="0.25">
      <c r="A172" s="51">
        <v>60020</v>
      </c>
      <c r="B172" s="52" t="s">
        <v>204</v>
      </c>
      <c r="C172" s="85">
        <f t="shared" si="43"/>
        <v>0</v>
      </c>
      <c r="D172" s="52" t="s">
        <v>18</v>
      </c>
      <c r="E172" s="52" t="s">
        <v>186</v>
      </c>
      <c r="I172" s="52" t="s">
        <v>206</v>
      </c>
      <c r="J172" s="55"/>
      <c r="K172" s="55"/>
      <c r="L172" s="55"/>
      <c r="M172" s="55">
        <v>5000</v>
      </c>
      <c r="N172" s="55"/>
      <c r="O172" s="50">
        <f t="shared" si="42"/>
        <v>5000</v>
      </c>
    </row>
    <row r="173" spans="1:15" x14ac:dyDescent="0.25">
      <c r="A173" s="51">
        <v>60020</v>
      </c>
      <c r="B173" s="52" t="s">
        <v>204</v>
      </c>
      <c r="C173" s="85">
        <f t="shared" si="43"/>
        <v>0</v>
      </c>
      <c r="D173" s="52" t="s">
        <v>12</v>
      </c>
      <c r="E173" s="52" t="s">
        <v>186</v>
      </c>
      <c r="I173" s="52" t="s">
        <v>207</v>
      </c>
      <c r="J173" s="55">
        <v>0</v>
      </c>
      <c r="K173" s="55"/>
      <c r="L173" s="55"/>
      <c r="M173" s="55"/>
      <c r="N173" s="55"/>
      <c r="O173" s="50">
        <f t="shared" si="42"/>
        <v>0</v>
      </c>
    </row>
    <row r="174" spans="1:15" x14ac:dyDescent="0.25">
      <c r="A174" s="86">
        <v>60020</v>
      </c>
      <c r="B174" s="89" t="s">
        <v>204</v>
      </c>
      <c r="C174" s="89">
        <f t="shared" si="43"/>
        <v>0</v>
      </c>
      <c r="D174" s="89" t="s">
        <v>21</v>
      </c>
      <c r="E174" s="89" t="s">
        <v>186</v>
      </c>
      <c r="I174" s="52" t="s">
        <v>208</v>
      </c>
      <c r="J174" s="55">
        <v>0</v>
      </c>
      <c r="K174" s="55"/>
      <c r="L174" s="55"/>
      <c r="M174" s="55">
        <v>351</v>
      </c>
      <c r="N174" s="55"/>
      <c r="O174" s="50">
        <f t="shared" ref="O174" si="44">SUM(J174:N174)</f>
        <v>351</v>
      </c>
    </row>
    <row r="175" spans="1:15" x14ac:dyDescent="0.25">
      <c r="A175" s="51">
        <v>60020</v>
      </c>
      <c r="B175" s="52" t="s">
        <v>209</v>
      </c>
      <c r="C175" s="85">
        <f t="shared" si="43"/>
        <v>0</v>
      </c>
      <c r="D175" s="52" t="s">
        <v>24</v>
      </c>
      <c r="E175" s="52" t="s">
        <v>186</v>
      </c>
      <c r="I175" s="52" t="s">
        <v>210</v>
      </c>
      <c r="J175" s="55">
        <v>0</v>
      </c>
      <c r="K175" s="55"/>
      <c r="L175" s="55"/>
      <c r="M175" s="55"/>
      <c r="N175" s="55"/>
      <c r="O175" s="50">
        <f t="shared" si="42"/>
        <v>0</v>
      </c>
    </row>
    <row r="176" spans="1:15" x14ac:dyDescent="0.25">
      <c r="A176" s="51">
        <v>60020</v>
      </c>
      <c r="B176" s="52" t="s">
        <v>209</v>
      </c>
      <c r="C176" s="85">
        <f t="shared" si="43"/>
        <v>0</v>
      </c>
      <c r="D176" s="52" t="s">
        <v>27</v>
      </c>
      <c r="E176" s="52" t="s">
        <v>186</v>
      </c>
      <c r="I176" s="52" t="s">
        <v>211</v>
      </c>
      <c r="J176" s="55"/>
      <c r="K176" s="55"/>
      <c r="L176" s="55"/>
      <c r="M176" s="55"/>
      <c r="N176" s="55"/>
      <c r="O176" s="50">
        <f t="shared" si="42"/>
        <v>0</v>
      </c>
    </row>
    <row r="177" spans="1:16" ht="16.5" thickBot="1" x14ac:dyDescent="0.3">
      <c r="A177" s="51">
        <v>60020</v>
      </c>
      <c r="B177" s="52" t="s">
        <v>209</v>
      </c>
      <c r="C177" s="85">
        <f t="shared" si="43"/>
        <v>0</v>
      </c>
      <c r="D177" s="52" t="s">
        <v>36</v>
      </c>
      <c r="E177" s="52" t="s">
        <v>186</v>
      </c>
      <c r="I177" s="52" t="s">
        <v>212</v>
      </c>
      <c r="J177" s="55"/>
      <c r="K177" s="55"/>
      <c r="L177" s="55"/>
      <c r="M177" s="55">
        <f>(15*8*180)*M50-M172-M174</f>
        <v>16249</v>
      </c>
      <c r="N177" s="55"/>
      <c r="O177" s="50">
        <f t="shared" si="42"/>
        <v>16249</v>
      </c>
    </row>
    <row r="178" spans="1:16" x14ac:dyDescent="0.25">
      <c r="A178" s="73"/>
      <c r="B178" s="74"/>
      <c r="C178" s="74"/>
      <c r="D178" s="74"/>
      <c r="E178" s="74"/>
      <c r="H178" s="77" t="s">
        <v>213</v>
      </c>
      <c r="I178" s="78"/>
      <c r="J178" s="79"/>
      <c r="K178" s="79"/>
      <c r="L178" s="79"/>
      <c r="M178" s="79"/>
      <c r="N178" s="79"/>
      <c r="O178" s="79"/>
    </row>
    <row r="179" spans="1:16" x14ac:dyDescent="0.25">
      <c r="A179" s="56">
        <v>60030</v>
      </c>
      <c r="B179" s="57" t="s">
        <v>214</v>
      </c>
      <c r="C179" s="85">
        <f>$C$1</f>
        <v>0</v>
      </c>
      <c r="D179" s="49" t="s">
        <v>9</v>
      </c>
      <c r="E179" s="52" t="s">
        <v>186</v>
      </c>
      <c r="I179" s="57" t="s">
        <v>85</v>
      </c>
      <c r="J179" s="58">
        <f>170*180*J59</f>
        <v>0</v>
      </c>
      <c r="K179" s="58"/>
      <c r="L179" s="58"/>
      <c r="M179" s="58"/>
      <c r="N179" s="58"/>
      <c r="O179" s="50">
        <f t="shared" si="42"/>
        <v>0</v>
      </c>
    </row>
    <row r="180" spans="1:16" x14ac:dyDescent="0.25">
      <c r="A180" s="98"/>
      <c r="B180" s="98"/>
      <c r="C180" s="98"/>
      <c r="D180" s="98"/>
      <c r="E180" s="98"/>
      <c r="F180" s="95"/>
      <c r="H180" s="93" t="s">
        <v>215</v>
      </c>
      <c r="I180" s="103"/>
      <c r="J180" s="92">
        <f t="shared" ref="J180:O180" si="45">SUM(J157:J179)</f>
        <v>416100</v>
      </c>
      <c r="K180" s="92">
        <f t="shared" si="45"/>
        <v>76545</v>
      </c>
      <c r="L180" s="92">
        <f t="shared" si="45"/>
        <v>0</v>
      </c>
      <c r="M180" s="92">
        <f t="shared" si="45"/>
        <v>21600</v>
      </c>
      <c r="N180" s="92">
        <f t="shared" si="45"/>
        <v>0</v>
      </c>
      <c r="O180" s="92">
        <f t="shared" si="45"/>
        <v>514245</v>
      </c>
      <c r="P180" s="95"/>
    </row>
    <row r="181" spans="1:16" x14ac:dyDescent="0.25">
      <c r="A181" s="46">
        <v>60505</v>
      </c>
      <c r="B181" s="49" t="s">
        <v>216</v>
      </c>
      <c r="C181" s="85">
        <f t="shared" ref="C181:C200" si="46">$C$1</f>
        <v>0</v>
      </c>
      <c r="D181" s="49" t="s">
        <v>9</v>
      </c>
      <c r="E181" s="52" t="s">
        <v>186</v>
      </c>
      <c r="F181" s="95"/>
      <c r="I181" s="49" t="s">
        <v>166</v>
      </c>
      <c r="J181" s="55">
        <f t="shared" ref="J181:J188" si="47">SUMIF($D$157:$D$179,D181,$J$157:$J$179)*0.3675</f>
        <v>116320.18818396227</v>
      </c>
      <c r="K181" s="55">
        <f t="shared" ref="K181:K188" si="48">SUMIF($D$157:$D$179,D181,$K$157:$K$179)*0.3675</f>
        <v>9371.25</v>
      </c>
      <c r="L181" s="55">
        <f t="shared" ref="L181:L188" si="49">SUMIF($D$157:$D$179,D181,$L$157:$L$179)*0.3675</f>
        <v>0</v>
      </c>
      <c r="M181" s="55">
        <f t="shared" ref="M181:M187" si="50">SUMIF($D$157:$D$179,D181,$M$157:$M$179)*0.3675</f>
        <v>0</v>
      </c>
      <c r="N181" s="55">
        <f t="shared" ref="N181:N188" si="51">SUMIF($D$157:$D$179,D181,$N$157:$N$179)*0.3675</f>
        <v>0</v>
      </c>
      <c r="O181" s="50">
        <f t="shared" si="42"/>
        <v>125691.43818396227</v>
      </c>
      <c r="P181" s="95"/>
    </row>
    <row r="182" spans="1:16" x14ac:dyDescent="0.25">
      <c r="A182" s="46">
        <v>60505</v>
      </c>
      <c r="B182" s="49" t="s">
        <v>216</v>
      </c>
      <c r="C182" s="85">
        <f t="shared" si="46"/>
        <v>0</v>
      </c>
      <c r="D182" s="52" t="s">
        <v>12</v>
      </c>
      <c r="E182" s="52" t="s">
        <v>186</v>
      </c>
      <c r="F182" s="95"/>
      <c r="I182" s="49" t="s">
        <v>217</v>
      </c>
      <c r="J182" s="55">
        <f t="shared" si="47"/>
        <v>27449.854316037734</v>
      </c>
      <c r="K182" s="55">
        <f t="shared" si="48"/>
        <v>0</v>
      </c>
      <c r="L182" s="55">
        <f t="shared" si="49"/>
        <v>0</v>
      </c>
      <c r="M182" s="55">
        <f t="shared" si="50"/>
        <v>0</v>
      </c>
      <c r="N182" s="55">
        <f t="shared" si="51"/>
        <v>0</v>
      </c>
      <c r="O182" s="50">
        <f t="shared" si="42"/>
        <v>27449.854316037734</v>
      </c>
      <c r="P182" s="95"/>
    </row>
    <row r="183" spans="1:16" x14ac:dyDescent="0.25">
      <c r="A183" s="46">
        <v>60505</v>
      </c>
      <c r="B183" s="49" t="s">
        <v>216</v>
      </c>
      <c r="C183" s="85">
        <f t="shared" si="46"/>
        <v>0</v>
      </c>
      <c r="D183" s="52" t="s">
        <v>15</v>
      </c>
      <c r="E183" s="52" t="s">
        <v>186</v>
      </c>
      <c r="F183" s="95"/>
      <c r="I183" s="49" t="s">
        <v>218</v>
      </c>
      <c r="J183" s="55">
        <f t="shared" si="47"/>
        <v>0</v>
      </c>
      <c r="K183" s="55">
        <f t="shared" si="48"/>
        <v>0</v>
      </c>
      <c r="L183" s="55">
        <f t="shared" si="49"/>
        <v>0</v>
      </c>
      <c r="M183" s="55">
        <f t="shared" si="50"/>
        <v>0</v>
      </c>
      <c r="N183" s="55">
        <f t="shared" si="51"/>
        <v>0</v>
      </c>
      <c r="O183" s="50">
        <f t="shared" si="42"/>
        <v>0</v>
      </c>
      <c r="P183" s="95"/>
    </row>
    <row r="184" spans="1:16" x14ac:dyDescent="0.25">
      <c r="A184" s="46">
        <v>60505</v>
      </c>
      <c r="B184" s="49" t="s">
        <v>216</v>
      </c>
      <c r="C184" s="85">
        <f t="shared" si="46"/>
        <v>0</v>
      </c>
      <c r="D184" s="52" t="s">
        <v>18</v>
      </c>
      <c r="E184" s="52" t="s">
        <v>186</v>
      </c>
      <c r="F184" s="95"/>
      <c r="I184" s="49" t="s">
        <v>167</v>
      </c>
      <c r="J184" s="55">
        <f t="shared" si="47"/>
        <v>0</v>
      </c>
      <c r="K184" s="55">
        <f t="shared" si="48"/>
        <v>0</v>
      </c>
      <c r="L184" s="55">
        <f t="shared" si="49"/>
        <v>0</v>
      </c>
      <c r="M184" s="55">
        <f t="shared" si="50"/>
        <v>1837.5</v>
      </c>
      <c r="N184" s="55">
        <f t="shared" si="51"/>
        <v>0</v>
      </c>
      <c r="O184" s="50">
        <f t="shared" si="42"/>
        <v>1837.5</v>
      </c>
      <c r="P184" s="95"/>
    </row>
    <row r="185" spans="1:16" x14ac:dyDescent="0.25">
      <c r="A185" s="46">
        <v>60505</v>
      </c>
      <c r="B185" s="49" t="s">
        <v>216</v>
      </c>
      <c r="C185" s="85">
        <f t="shared" si="46"/>
        <v>0</v>
      </c>
      <c r="D185" s="52" t="s">
        <v>21</v>
      </c>
      <c r="E185" s="52" t="s">
        <v>186</v>
      </c>
      <c r="F185" s="95"/>
      <c r="I185" s="49" t="s">
        <v>168</v>
      </c>
      <c r="J185" s="55">
        <f t="shared" si="47"/>
        <v>9146.7075000000004</v>
      </c>
      <c r="K185" s="55">
        <f t="shared" si="48"/>
        <v>0</v>
      </c>
      <c r="L185" s="55">
        <f t="shared" si="49"/>
        <v>0</v>
      </c>
      <c r="M185" s="55">
        <f t="shared" si="50"/>
        <v>128.99250000000001</v>
      </c>
      <c r="N185" s="55">
        <f t="shared" si="51"/>
        <v>0</v>
      </c>
      <c r="O185" s="50">
        <f t="shared" si="42"/>
        <v>9275.7000000000007</v>
      </c>
      <c r="P185" s="95"/>
    </row>
    <row r="186" spans="1:16" x14ac:dyDescent="0.25">
      <c r="A186" s="46">
        <v>60505</v>
      </c>
      <c r="B186" s="49" t="s">
        <v>216</v>
      </c>
      <c r="C186" s="85">
        <f t="shared" si="46"/>
        <v>0</v>
      </c>
      <c r="D186" s="52" t="s">
        <v>24</v>
      </c>
      <c r="E186" s="52" t="s">
        <v>186</v>
      </c>
      <c r="F186" s="95"/>
      <c r="I186" s="49" t="s">
        <v>169</v>
      </c>
      <c r="J186" s="55">
        <f t="shared" si="47"/>
        <v>0</v>
      </c>
      <c r="K186" s="55">
        <f t="shared" si="48"/>
        <v>0</v>
      </c>
      <c r="L186" s="55">
        <f t="shared" si="49"/>
        <v>0</v>
      </c>
      <c r="M186" s="55">
        <f t="shared" si="50"/>
        <v>0</v>
      </c>
      <c r="N186" s="55">
        <f t="shared" si="51"/>
        <v>0</v>
      </c>
      <c r="O186" s="50">
        <f t="shared" si="42"/>
        <v>0</v>
      </c>
      <c r="P186" s="95"/>
    </row>
    <row r="187" spans="1:16" x14ac:dyDescent="0.25">
      <c r="A187" s="46">
        <v>60505</v>
      </c>
      <c r="B187" s="49" t="s">
        <v>216</v>
      </c>
      <c r="C187" s="85">
        <f t="shared" si="46"/>
        <v>0</v>
      </c>
      <c r="D187" s="52" t="s">
        <v>27</v>
      </c>
      <c r="E187" s="52" t="s">
        <v>186</v>
      </c>
      <c r="F187" s="95"/>
      <c r="I187" s="49" t="s">
        <v>170</v>
      </c>
      <c r="J187" s="55">
        <f t="shared" si="47"/>
        <v>0</v>
      </c>
      <c r="K187" s="55">
        <f t="shared" si="48"/>
        <v>18759.037499999999</v>
      </c>
      <c r="L187" s="55">
        <f t="shared" si="49"/>
        <v>0</v>
      </c>
      <c r="M187" s="55">
        <f t="shared" si="50"/>
        <v>0</v>
      </c>
      <c r="N187" s="55">
        <f t="shared" si="51"/>
        <v>0</v>
      </c>
      <c r="O187" s="50">
        <f t="shared" si="42"/>
        <v>18759.037499999999</v>
      </c>
      <c r="P187" s="95"/>
    </row>
    <row r="188" spans="1:16" x14ac:dyDescent="0.25">
      <c r="A188" s="46">
        <v>60505</v>
      </c>
      <c r="B188" s="49" t="s">
        <v>216</v>
      </c>
      <c r="C188" s="85">
        <f t="shared" si="46"/>
        <v>0</v>
      </c>
      <c r="D188" s="52" t="s">
        <v>36</v>
      </c>
      <c r="E188" s="52" t="s">
        <v>186</v>
      </c>
      <c r="F188" s="95"/>
      <c r="I188" s="49" t="s">
        <v>171</v>
      </c>
      <c r="J188" s="55">
        <f t="shared" si="47"/>
        <v>0</v>
      </c>
      <c r="K188" s="55">
        <f t="shared" si="48"/>
        <v>0</v>
      </c>
      <c r="L188" s="55">
        <f t="shared" si="49"/>
        <v>0</v>
      </c>
      <c r="M188" s="55">
        <f>(SUMIF($D$157:$D$179,D188,$M$157:$M$179)-M159)*0.3675+SUMIF($D$157:$D$179,D193,$M$157:$M$179)*0.13</f>
        <v>6017.1374999999998</v>
      </c>
      <c r="N188" s="55">
        <f t="shared" si="51"/>
        <v>0</v>
      </c>
      <c r="O188" s="50">
        <f t="shared" si="42"/>
        <v>6017.1374999999998</v>
      </c>
      <c r="P188" s="95"/>
    </row>
    <row r="189" spans="1:16" x14ac:dyDescent="0.25">
      <c r="A189" s="51">
        <v>60905</v>
      </c>
      <c r="B189" s="52" t="s">
        <v>219</v>
      </c>
      <c r="C189" s="85">
        <f t="shared" si="46"/>
        <v>0</v>
      </c>
      <c r="D189" s="49" t="s">
        <v>9</v>
      </c>
      <c r="E189" s="52" t="s">
        <v>186</v>
      </c>
      <c r="F189" s="95"/>
      <c r="I189" s="52" t="s">
        <v>174</v>
      </c>
      <c r="J189" s="55">
        <f>SUMIF($D$157:$D$179,D189,$J$157:$J$179)*0.13+SUMIF($D$157:$D$179,D193,$J$157:$J$179)*0.13</f>
        <v>44382.847452830189</v>
      </c>
      <c r="K189" s="55">
        <f t="shared" ref="K189:K196" si="52">SUMIF($D$157:$D$179,D189,$K$157:$K$179)*0.13</f>
        <v>3315</v>
      </c>
      <c r="L189" s="55">
        <f t="shared" ref="L189:L196" si="53">SUMIF($D$157:$D$179,D189,$L$157:$L$179)*0.13</f>
        <v>0</v>
      </c>
      <c r="M189" s="55">
        <f>SUMIF($D$157:$D$179,D189,$M$157:$M$179)*0.13</f>
        <v>0</v>
      </c>
      <c r="N189" s="55">
        <f t="shared" ref="N189:N196" si="54">SUMIF($D$157:$D$179,D189,$N$157:$N$179)*0.13</f>
        <v>0</v>
      </c>
      <c r="O189" s="50">
        <f t="shared" si="42"/>
        <v>47697.847452830189</v>
      </c>
      <c r="P189" s="95"/>
    </row>
    <row r="190" spans="1:16" x14ac:dyDescent="0.25">
      <c r="A190" s="51">
        <v>60905</v>
      </c>
      <c r="B190" s="52" t="s">
        <v>219</v>
      </c>
      <c r="C190" s="85">
        <f t="shared" si="46"/>
        <v>0</v>
      </c>
      <c r="D190" s="52" t="s">
        <v>12</v>
      </c>
      <c r="E190" s="52" t="s">
        <v>186</v>
      </c>
      <c r="F190" s="95"/>
      <c r="I190" s="52" t="s">
        <v>220</v>
      </c>
      <c r="J190" s="55">
        <f>SUMIF($D$157:$D$179,D190,$J$157:$J$179)*0.13</f>
        <v>9710.1525471698114</v>
      </c>
      <c r="K190" s="55">
        <f t="shared" si="52"/>
        <v>0</v>
      </c>
      <c r="L190" s="55">
        <f t="shared" si="53"/>
        <v>0</v>
      </c>
      <c r="M190" s="55">
        <f>SUMIF($D$157:$D$179,D190,$M$157:$M$179)*0.13</f>
        <v>0</v>
      </c>
      <c r="N190" s="55">
        <f t="shared" si="54"/>
        <v>0</v>
      </c>
      <c r="O190" s="50">
        <f t="shared" si="42"/>
        <v>9710.1525471698114</v>
      </c>
      <c r="P190" s="95"/>
    </row>
    <row r="191" spans="1:16" x14ac:dyDescent="0.25">
      <c r="A191" s="51">
        <v>60905</v>
      </c>
      <c r="B191" s="52" t="s">
        <v>219</v>
      </c>
      <c r="C191" s="85">
        <f t="shared" si="46"/>
        <v>0</v>
      </c>
      <c r="D191" s="52" t="s">
        <v>15</v>
      </c>
      <c r="E191" s="52" t="s">
        <v>186</v>
      </c>
      <c r="F191" s="95"/>
      <c r="I191" s="52" t="s">
        <v>221</v>
      </c>
      <c r="J191" s="55">
        <f>SUMIF($D$157:$D$179,D191,$J$157:$J$179)*0.13</f>
        <v>0</v>
      </c>
      <c r="K191" s="55">
        <f t="shared" si="52"/>
        <v>0</v>
      </c>
      <c r="L191" s="55">
        <f t="shared" si="53"/>
        <v>0</v>
      </c>
      <c r="M191" s="55">
        <f>SUMIF($D$157:$D$179,D191,$M$157:$M$179)*0.13</f>
        <v>0</v>
      </c>
      <c r="N191" s="55">
        <f t="shared" si="54"/>
        <v>0</v>
      </c>
      <c r="O191" s="50">
        <f t="shared" si="42"/>
        <v>0</v>
      </c>
      <c r="P191" s="95"/>
    </row>
    <row r="192" spans="1:16" x14ac:dyDescent="0.25">
      <c r="A192" s="51">
        <v>60905</v>
      </c>
      <c r="B192" s="52" t="s">
        <v>219</v>
      </c>
      <c r="C192" s="85">
        <f t="shared" si="46"/>
        <v>0</v>
      </c>
      <c r="D192" s="52" t="s">
        <v>18</v>
      </c>
      <c r="E192" s="52" t="s">
        <v>186</v>
      </c>
      <c r="F192" s="95"/>
      <c r="I192" s="52" t="s">
        <v>175</v>
      </c>
      <c r="J192" s="55">
        <f>SUMIF($D$157:$D$179,D192,$J$157:$J$179)*0.13</f>
        <v>0</v>
      </c>
      <c r="K192" s="55">
        <f t="shared" si="52"/>
        <v>0</v>
      </c>
      <c r="L192" s="55">
        <f t="shared" si="53"/>
        <v>0</v>
      </c>
      <c r="M192" s="55">
        <f>SUMIF($D$157:$D$179,D192,$M$157:$M$179)*0.13</f>
        <v>650</v>
      </c>
      <c r="N192" s="55">
        <f t="shared" si="54"/>
        <v>0</v>
      </c>
      <c r="O192" s="50">
        <f t="shared" si="42"/>
        <v>650</v>
      </c>
      <c r="P192" s="95"/>
    </row>
    <row r="193" spans="1:16" x14ac:dyDescent="0.25">
      <c r="A193" s="51">
        <v>60905</v>
      </c>
      <c r="B193" s="52" t="s">
        <v>219</v>
      </c>
      <c r="C193" s="85">
        <f t="shared" si="46"/>
        <v>0</v>
      </c>
      <c r="D193" s="52" t="s">
        <v>21</v>
      </c>
      <c r="E193" s="52" t="s">
        <v>186</v>
      </c>
      <c r="F193" s="95"/>
      <c r="I193" s="52" t="s">
        <v>176</v>
      </c>
      <c r="J193" s="55">
        <f>SUMIF($D$157:$D$179,D193,$J$157:$J$179)*0.13*0</f>
        <v>0</v>
      </c>
      <c r="K193" s="55">
        <f t="shared" si="52"/>
        <v>0</v>
      </c>
      <c r="L193" s="55">
        <f t="shared" si="53"/>
        <v>0</v>
      </c>
      <c r="M193" s="55">
        <f>SUMIF($D$157:$D$179,D193,$M$157:$M$179)*0.13*0</f>
        <v>0</v>
      </c>
      <c r="N193" s="55">
        <f t="shared" si="54"/>
        <v>0</v>
      </c>
      <c r="O193" s="50">
        <f t="shared" si="42"/>
        <v>0</v>
      </c>
      <c r="P193" s="95"/>
    </row>
    <row r="194" spans="1:16" x14ac:dyDescent="0.25">
      <c r="A194" s="51">
        <v>60905</v>
      </c>
      <c r="B194" s="52" t="s">
        <v>219</v>
      </c>
      <c r="C194" s="85">
        <f t="shared" si="46"/>
        <v>0</v>
      </c>
      <c r="D194" s="52" t="s">
        <v>24</v>
      </c>
      <c r="E194" s="52" t="s">
        <v>186</v>
      </c>
      <c r="F194" s="95"/>
      <c r="I194" s="52" t="s">
        <v>177</v>
      </c>
      <c r="J194" s="55">
        <f>SUMIF($D$157:$D$179,D194,$J$157:$J$179)*0.13</f>
        <v>0</v>
      </c>
      <c r="K194" s="55">
        <f t="shared" si="52"/>
        <v>0</v>
      </c>
      <c r="L194" s="55">
        <f t="shared" si="53"/>
        <v>0</v>
      </c>
      <c r="M194" s="55">
        <f>SUMIF($D$157:$D$179,D194,$M$157:$M$179)*0.13</f>
        <v>0</v>
      </c>
      <c r="N194" s="55">
        <f t="shared" si="54"/>
        <v>0</v>
      </c>
      <c r="O194" s="50">
        <f t="shared" si="42"/>
        <v>0</v>
      </c>
      <c r="P194" s="95"/>
    </row>
    <row r="195" spans="1:16" x14ac:dyDescent="0.25">
      <c r="A195" s="51">
        <v>60905</v>
      </c>
      <c r="B195" s="52" t="s">
        <v>219</v>
      </c>
      <c r="C195" s="85">
        <f t="shared" si="46"/>
        <v>0</v>
      </c>
      <c r="D195" s="52" t="s">
        <v>27</v>
      </c>
      <c r="E195" s="52" t="s">
        <v>186</v>
      </c>
      <c r="F195" s="95"/>
      <c r="I195" s="52" t="s">
        <v>178</v>
      </c>
      <c r="J195" s="55">
        <f>SUMIF($D$157:$D$179,D195,$J$157:$J$179)*0.13</f>
        <v>0</v>
      </c>
      <c r="K195" s="55">
        <f t="shared" si="52"/>
        <v>6635.85</v>
      </c>
      <c r="L195" s="55">
        <f t="shared" si="53"/>
        <v>0</v>
      </c>
      <c r="M195" s="55">
        <f>SUMIF($D$157:$D$179,D195,$M$157:$M$179)*0.13</f>
        <v>0</v>
      </c>
      <c r="N195" s="55">
        <f t="shared" si="54"/>
        <v>0</v>
      </c>
      <c r="O195" s="50">
        <f t="shared" si="42"/>
        <v>6635.85</v>
      </c>
      <c r="P195" s="95"/>
    </row>
    <row r="196" spans="1:16" x14ac:dyDescent="0.25">
      <c r="A196" s="51">
        <v>60905</v>
      </c>
      <c r="B196" s="52" t="s">
        <v>219</v>
      </c>
      <c r="C196" s="85">
        <f t="shared" si="46"/>
        <v>0</v>
      </c>
      <c r="D196" s="52" t="s">
        <v>36</v>
      </c>
      <c r="E196" s="52" t="s">
        <v>186</v>
      </c>
      <c r="F196" s="95"/>
      <c r="I196" s="52" t="s">
        <v>179</v>
      </c>
      <c r="J196" s="55">
        <f>SUMIF($D$157:$D$179,D196,$J$157:$J$179)*0.13</f>
        <v>0</v>
      </c>
      <c r="K196" s="55">
        <f t="shared" si="52"/>
        <v>0</v>
      </c>
      <c r="L196" s="55">
        <f t="shared" si="53"/>
        <v>0</v>
      </c>
      <c r="M196" s="55">
        <f>SUMIF($D$157:$D$179,D196,$M$157:$M$179)*0.13</f>
        <v>2112.37</v>
      </c>
      <c r="N196" s="55">
        <f t="shared" si="54"/>
        <v>0</v>
      </c>
      <c r="O196" s="50">
        <f t="shared" si="42"/>
        <v>2112.37</v>
      </c>
      <c r="P196" s="95"/>
    </row>
    <row r="197" spans="1:16" x14ac:dyDescent="0.25">
      <c r="A197" s="51">
        <v>60011</v>
      </c>
      <c r="B197" s="52" t="s">
        <v>222</v>
      </c>
      <c r="C197" s="85">
        <f t="shared" si="46"/>
        <v>0</v>
      </c>
      <c r="D197" s="49" t="s">
        <v>9</v>
      </c>
      <c r="E197" s="52" t="s">
        <v>186</v>
      </c>
      <c r="I197" s="52" t="s">
        <v>182</v>
      </c>
      <c r="J197" s="55">
        <f>(J36*1250)+(J41*1750)+(J43*1750)+(J50*500)+(SUM(J54:J56)*500)-2250</f>
        <v>7750</v>
      </c>
      <c r="K197" s="55">
        <f>(K36*1250)+(K41*1750)+(K43*1750)+(K50*500)+(SUM(K54:K56)*500)</f>
        <v>1250</v>
      </c>
      <c r="L197" s="55">
        <f t="shared" ref="L197:N197" si="55">(L36*1250)+(L41*1750)+(L43*1750)+(L50*500)+(SUM(L54:L56)*500)</f>
        <v>0</v>
      </c>
      <c r="M197" s="55">
        <f t="shared" si="55"/>
        <v>500</v>
      </c>
      <c r="N197" s="55">
        <f t="shared" si="55"/>
        <v>0</v>
      </c>
      <c r="O197" s="50">
        <f t="shared" si="42"/>
        <v>9500</v>
      </c>
    </row>
    <row r="198" spans="1:16" x14ac:dyDescent="0.25">
      <c r="A198" s="51">
        <v>60011</v>
      </c>
      <c r="B198" s="52" t="s">
        <v>222</v>
      </c>
      <c r="C198" s="85">
        <f t="shared" si="46"/>
        <v>0</v>
      </c>
      <c r="D198" s="49" t="s">
        <v>9</v>
      </c>
      <c r="E198" s="52" t="s">
        <v>186</v>
      </c>
      <c r="I198" s="52" t="s">
        <v>183</v>
      </c>
      <c r="J198" s="55">
        <f>(J36+J41+J43+J50+J54+J55+J56)*125+125*3</f>
        <v>1375</v>
      </c>
      <c r="K198" s="55">
        <f>(K36+K41+K43+K50+K54+K55+K56)*125</f>
        <v>125</v>
      </c>
      <c r="L198" s="55">
        <f t="shared" ref="L198:N198" si="56">(L36+L41+L43+L50+L54+L55+L56)*125</f>
        <v>0</v>
      </c>
      <c r="M198" s="55">
        <f>(M36+M41+M43+M50+M54+M55+M56)*125*0</f>
        <v>0</v>
      </c>
      <c r="N198" s="55">
        <f t="shared" si="56"/>
        <v>0</v>
      </c>
      <c r="O198" s="50">
        <f t="shared" si="42"/>
        <v>1500</v>
      </c>
    </row>
    <row r="199" spans="1:16" x14ac:dyDescent="0.25">
      <c r="A199" s="51">
        <v>60011</v>
      </c>
      <c r="B199" s="52" t="s">
        <v>222</v>
      </c>
      <c r="C199" s="85">
        <f t="shared" si="46"/>
        <v>0</v>
      </c>
      <c r="D199" s="49" t="s">
        <v>9</v>
      </c>
      <c r="E199" s="52" t="s">
        <v>186</v>
      </c>
      <c r="I199" s="52" t="s">
        <v>184</v>
      </c>
      <c r="J199" s="55">
        <f>(30*3*3)*30</f>
        <v>8100</v>
      </c>
      <c r="K199" s="55"/>
      <c r="L199" s="55"/>
      <c r="M199" s="55"/>
      <c r="N199" s="55"/>
      <c r="O199" s="50">
        <f t="shared" si="42"/>
        <v>8100</v>
      </c>
    </row>
    <row r="200" spans="1:16" x14ac:dyDescent="0.25">
      <c r="A200" s="56">
        <v>61251</v>
      </c>
      <c r="B200" s="57" t="s">
        <v>185</v>
      </c>
      <c r="C200" s="85">
        <f t="shared" si="46"/>
        <v>0</v>
      </c>
      <c r="D200" s="49" t="s">
        <v>9</v>
      </c>
      <c r="E200" s="52" t="s">
        <v>186</v>
      </c>
      <c r="I200" s="57" t="s">
        <v>187</v>
      </c>
      <c r="J200" s="58">
        <v>5000</v>
      </c>
      <c r="K200" s="58"/>
      <c r="L200" s="58"/>
      <c r="M200" s="58"/>
      <c r="N200" s="58"/>
      <c r="O200" s="50">
        <f t="shared" si="42"/>
        <v>5000</v>
      </c>
    </row>
    <row r="201" spans="1:16" x14ac:dyDescent="0.25">
      <c r="A201" s="98"/>
      <c r="B201" s="98"/>
      <c r="C201" s="98"/>
      <c r="D201" s="98"/>
      <c r="E201" s="98"/>
      <c r="H201" s="93" t="s">
        <v>223</v>
      </c>
      <c r="I201" s="94"/>
      <c r="J201" s="92">
        <f t="shared" ref="J201:K201" si="57">SUM(J181:J200)</f>
        <v>229234.75</v>
      </c>
      <c r="K201" s="92">
        <f t="shared" si="57"/>
        <v>39456.137499999997</v>
      </c>
      <c r="L201" s="92">
        <f t="shared" ref="L201:O201" si="58">SUM(L181:L200)</f>
        <v>0</v>
      </c>
      <c r="M201" s="92">
        <f t="shared" si="58"/>
        <v>11246</v>
      </c>
      <c r="N201" s="92">
        <f t="shared" si="58"/>
        <v>0</v>
      </c>
      <c r="O201" s="92">
        <f t="shared" si="58"/>
        <v>279936.88750000007</v>
      </c>
    </row>
    <row r="202" spans="1:16" ht="16.5" thickBot="1" x14ac:dyDescent="0.3">
      <c r="H202" s="2"/>
      <c r="J202" s="104"/>
      <c r="K202" s="104"/>
      <c r="L202" s="104"/>
      <c r="M202" s="104"/>
      <c r="N202" s="104"/>
      <c r="O202" s="104"/>
    </row>
    <row r="203" spans="1:16" ht="16.5" thickBot="1" x14ac:dyDescent="0.3">
      <c r="A203" s="68" t="s">
        <v>5</v>
      </c>
      <c r="B203" s="68" t="s">
        <v>91</v>
      </c>
      <c r="C203" s="68" t="s">
        <v>92</v>
      </c>
      <c r="D203" s="68" t="s">
        <v>4</v>
      </c>
      <c r="E203" s="68" t="s">
        <v>93</v>
      </c>
      <c r="G203" s="100" t="s">
        <v>224</v>
      </c>
      <c r="H203" s="105"/>
      <c r="I203" s="82"/>
      <c r="J203" s="101" t="str">
        <f>J20</f>
        <v>Operating</v>
      </c>
      <c r="K203" s="101" t="str">
        <f t="shared" ref="K203:O203" si="59">K20</f>
        <v>SPED</v>
      </c>
      <c r="L203" s="101" t="str">
        <f t="shared" si="59"/>
        <v>NSLP</v>
      </c>
      <c r="M203" s="101" t="str">
        <f t="shared" si="59"/>
        <v>Title(s)</v>
      </c>
      <c r="N203" s="101" t="str">
        <f t="shared" si="59"/>
        <v>Other</v>
      </c>
      <c r="O203" s="101" t="str">
        <f t="shared" si="59"/>
        <v>Total</v>
      </c>
    </row>
    <row r="204" spans="1:16" x14ac:dyDescent="0.25">
      <c r="A204" s="106">
        <v>62643</v>
      </c>
      <c r="B204" s="107" t="s">
        <v>225</v>
      </c>
      <c r="C204" s="85">
        <f t="shared" ref="C204:C211" si="60">$C$1</f>
        <v>0</v>
      </c>
      <c r="D204" s="49" t="s">
        <v>9</v>
      </c>
      <c r="E204" s="52" t="s">
        <v>186</v>
      </c>
      <c r="I204" s="107" t="s">
        <v>226</v>
      </c>
      <c r="J204" s="102">
        <f>150*225</f>
        <v>33750</v>
      </c>
      <c r="K204" s="102"/>
      <c r="L204" s="102"/>
      <c r="M204" s="102"/>
      <c r="N204" s="102"/>
      <c r="O204" s="50">
        <f t="shared" ref="O204:O211" si="61">SUM(J204:N204)</f>
        <v>33750</v>
      </c>
    </row>
    <row r="205" spans="1:16" x14ac:dyDescent="0.25">
      <c r="A205" s="106">
        <v>62643</v>
      </c>
      <c r="B205" s="107" t="s">
        <v>225</v>
      </c>
      <c r="C205" s="85">
        <f t="shared" si="60"/>
        <v>0</v>
      </c>
      <c r="D205" s="52" t="s">
        <v>36</v>
      </c>
      <c r="E205" s="52" t="s">
        <v>186</v>
      </c>
      <c r="I205" s="107" t="s">
        <v>227</v>
      </c>
      <c r="J205" s="102"/>
      <c r="K205" s="102"/>
      <c r="L205" s="102"/>
      <c r="M205" s="102"/>
      <c r="N205" s="102"/>
      <c r="O205" s="50">
        <f t="shared" si="61"/>
        <v>0</v>
      </c>
    </row>
    <row r="206" spans="1:16" x14ac:dyDescent="0.25">
      <c r="A206" s="108">
        <v>62644</v>
      </c>
      <c r="B206" s="109" t="s">
        <v>228</v>
      </c>
      <c r="C206" s="85">
        <f t="shared" si="60"/>
        <v>0</v>
      </c>
      <c r="D206" s="49" t="s">
        <v>9</v>
      </c>
      <c r="E206" s="52" t="s">
        <v>186</v>
      </c>
      <c r="I206" s="109" t="s">
        <v>229</v>
      </c>
      <c r="J206" s="55"/>
      <c r="K206" s="55"/>
      <c r="L206" s="55"/>
      <c r="M206" s="55"/>
      <c r="N206" s="55"/>
      <c r="O206" s="50">
        <f t="shared" si="61"/>
        <v>0</v>
      </c>
    </row>
    <row r="207" spans="1:16" x14ac:dyDescent="0.25">
      <c r="A207" s="108">
        <v>62481</v>
      </c>
      <c r="B207" s="107" t="s">
        <v>225</v>
      </c>
      <c r="C207" s="85">
        <f t="shared" si="60"/>
        <v>0</v>
      </c>
      <c r="D207" s="49" t="s">
        <v>9</v>
      </c>
      <c r="E207" s="52" t="s">
        <v>186</v>
      </c>
      <c r="I207" s="110" t="s">
        <v>230</v>
      </c>
      <c r="J207" s="55">
        <v>0</v>
      </c>
      <c r="K207" s="55"/>
      <c r="L207" s="55"/>
      <c r="M207" s="55"/>
      <c r="N207" s="55"/>
      <c r="O207" s="50">
        <f t="shared" si="61"/>
        <v>0</v>
      </c>
    </row>
    <row r="208" spans="1:16" x14ac:dyDescent="0.25">
      <c r="A208" s="108">
        <v>62619</v>
      </c>
      <c r="B208" s="107" t="s">
        <v>225</v>
      </c>
      <c r="C208" s="85">
        <f t="shared" si="60"/>
        <v>0</v>
      </c>
      <c r="D208" s="49" t="s">
        <v>9</v>
      </c>
      <c r="E208" s="52" t="s">
        <v>186</v>
      </c>
      <c r="I208" s="110" t="s">
        <v>231</v>
      </c>
      <c r="J208" s="55">
        <f>65*J17</f>
        <v>6890</v>
      </c>
      <c r="K208" s="55"/>
      <c r="L208" s="55"/>
      <c r="M208" s="55"/>
      <c r="N208" s="55"/>
      <c r="O208" s="50">
        <f t="shared" si="61"/>
        <v>6890</v>
      </c>
    </row>
    <row r="209" spans="1:15" x14ac:dyDescent="0.25">
      <c r="A209" s="108">
        <v>62619</v>
      </c>
      <c r="B209" s="107" t="s">
        <v>225</v>
      </c>
      <c r="C209" s="85">
        <f t="shared" si="60"/>
        <v>0</v>
      </c>
      <c r="D209" s="52" t="s">
        <v>36</v>
      </c>
      <c r="E209" s="52" t="s">
        <v>186</v>
      </c>
      <c r="I209" s="110" t="s">
        <v>232</v>
      </c>
      <c r="J209" s="55">
        <f>40*J18</f>
        <v>0</v>
      </c>
      <c r="K209" s="55"/>
      <c r="L209" s="55"/>
      <c r="M209" s="55"/>
      <c r="N209" s="55"/>
      <c r="O209" s="50">
        <f t="shared" si="61"/>
        <v>0</v>
      </c>
    </row>
    <row r="210" spans="1:15" x14ac:dyDescent="0.25">
      <c r="A210" s="108">
        <v>62611</v>
      </c>
      <c r="B210" s="107" t="s">
        <v>225</v>
      </c>
      <c r="C210" s="85">
        <f t="shared" si="60"/>
        <v>0</v>
      </c>
      <c r="D210" s="49" t="s">
        <v>9</v>
      </c>
      <c r="E210" s="52" t="s">
        <v>186</v>
      </c>
      <c r="I210" s="110" t="s">
        <v>233</v>
      </c>
      <c r="J210" s="55">
        <f>7*J17</f>
        <v>742</v>
      </c>
      <c r="K210" s="55"/>
      <c r="L210" s="55"/>
      <c r="M210" s="55"/>
      <c r="N210" s="55"/>
      <c r="O210" s="50">
        <f t="shared" si="61"/>
        <v>742</v>
      </c>
    </row>
    <row r="211" spans="1:15" x14ac:dyDescent="0.25">
      <c r="A211" s="111">
        <v>62616</v>
      </c>
      <c r="B211" s="107" t="s">
        <v>225</v>
      </c>
      <c r="C211" s="85">
        <f t="shared" si="60"/>
        <v>0</v>
      </c>
      <c r="D211" s="52" t="s">
        <v>27</v>
      </c>
      <c r="E211" s="52" t="s">
        <v>186</v>
      </c>
      <c r="I211" s="112" t="s">
        <v>234</v>
      </c>
      <c r="J211" s="58">
        <f>175*J21</f>
        <v>0</v>
      </c>
      <c r="K211" s="58">
        <f>175*K21</f>
        <v>1575</v>
      </c>
      <c r="L211" s="58"/>
      <c r="M211" s="58"/>
      <c r="N211" s="58"/>
      <c r="O211" s="50">
        <f t="shared" si="61"/>
        <v>1575</v>
      </c>
    </row>
    <row r="212" spans="1:15" x14ac:dyDescent="0.25">
      <c r="A212" s="98"/>
      <c r="B212" s="98"/>
      <c r="C212" s="98"/>
      <c r="D212" s="98"/>
      <c r="E212" s="98"/>
      <c r="H212" s="93" t="s">
        <v>47</v>
      </c>
      <c r="I212" s="113"/>
      <c r="J212" s="92">
        <f t="shared" ref="J212:O212" si="62">SUM(J204:J211)</f>
        <v>41382</v>
      </c>
      <c r="K212" s="92">
        <f t="shared" si="62"/>
        <v>1575</v>
      </c>
      <c r="L212" s="92">
        <f t="shared" si="62"/>
        <v>0</v>
      </c>
      <c r="M212" s="92">
        <f t="shared" si="62"/>
        <v>0</v>
      </c>
      <c r="N212" s="92">
        <f t="shared" si="62"/>
        <v>0</v>
      </c>
      <c r="O212" s="92">
        <f t="shared" si="62"/>
        <v>42957</v>
      </c>
    </row>
    <row r="213" spans="1:15" x14ac:dyDescent="0.25">
      <c r="J213" s="99"/>
      <c r="K213" s="99"/>
      <c r="L213" s="99"/>
      <c r="M213" s="99"/>
      <c r="N213" s="99"/>
      <c r="O213" s="99"/>
    </row>
    <row r="214" spans="1:15" x14ac:dyDescent="0.25">
      <c r="A214" s="81"/>
      <c r="B214" s="82"/>
      <c r="C214" s="82"/>
      <c r="D214" s="82"/>
      <c r="E214" s="82"/>
      <c r="G214" s="100" t="s">
        <v>235</v>
      </c>
      <c r="H214" s="105"/>
      <c r="I214" s="82"/>
      <c r="J214" s="101" t="str">
        <f>J20</f>
        <v>Operating</v>
      </c>
      <c r="K214" s="101" t="str">
        <f t="shared" ref="K214:O214" si="63">K20</f>
        <v>SPED</v>
      </c>
      <c r="L214" s="101" t="str">
        <f t="shared" si="63"/>
        <v>NSLP</v>
      </c>
      <c r="M214" s="101" t="str">
        <f t="shared" si="63"/>
        <v>Title(s)</v>
      </c>
      <c r="N214" s="101" t="str">
        <f t="shared" si="63"/>
        <v>Other</v>
      </c>
      <c r="O214" s="101" t="str">
        <f t="shared" si="63"/>
        <v>Total</v>
      </c>
    </row>
    <row r="215" spans="1:15" x14ac:dyDescent="0.25">
      <c r="A215" s="106">
        <v>62617</v>
      </c>
      <c r="B215" s="114" t="s">
        <v>236</v>
      </c>
      <c r="C215" s="85">
        <f t="shared" ref="C215:C220" si="64">$C$1</f>
        <v>0</v>
      </c>
      <c r="D215" s="49" t="s">
        <v>9</v>
      </c>
      <c r="E215" s="52" t="s">
        <v>114</v>
      </c>
      <c r="I215" s="114" t="s">
        <v>237</v>
      </c>
      <c r="J215" s="102">
        <f>30*J17</f>
        <v>3180</v>
      </c>
      <c r="K215" s="102"/>
      <c r="L215" s="102"/>
      <c r="M215" s="102"/>
      <c r="N215" s="102"/>
      <c r="O215" s="50">
        <f t="shared" ref="O215:O220" si="65">SUM(J215:N215)</f>
        <v>3180</v>
      </c>
    </row>
    <row r="216" spans="1:15" x14ac:dyDescent="0.25">
      <c r="A216" s="106">
        <v>62617</v>
      </c>
      <c r="B216" s="114" t="s">
        <v>236</v>
      </c>
      <c r="C216" s="85">
        <f t="shared" si="64"/>
        <v>0</v>
      </c>
      <c r="D216" s="52" t="s">
        <v>36</v>
      </c>
      <c r="E216" s="52" t="s">
        <v>114</v>
      </c>
      <c r="I216" s="114" t="s">
        <v>238</v>
      </c>
      <c r="J216" s="102">
        <f>30*J18</f>
        <v>0</v>
      </c>
      <c r="K216" s="102"/>
      <c r="L216" s="102"/>
      <c r="M216" s="102"/>
      <c r="N216" s="102"/>
      <c r="O216" s="50">
        <f t="shared" si="65"/>
        <v>0</v>
      </c>
    </row>
    <row r="217" spans="1:15" x14ac:dyDescent="0.25">
      <c r="A217" s="108">
        <v>62611</v>
      </c>
      <c r="B217" s="114" t="s">
        <v>236</v>
      </c>
      <c r="C217" s="85">
        <f t="shared" si="64"/>
        <v>0</v>
      </c>
      <c r="D217" s="49" t="s">
        <v>9</v>
      </c>
      <c r="E217" s="52" t="s">
        <v>114</v>
      </c>
      <c r="I217" s="110" t="s">
        <v>233</v>
      </c>
      <c r="J217" s="55">
        <f>(3*J17)</f>
        <v>318</v>
      </c>
      <c r="K217" s="55"/>
      <c r="L217" s="55"/>
      <c r="M217" s="55"/>
      <c r="N217" s="55"/>
      <c r="O217" s="50">
        <f t="shared" si="65"/>
        <v>318</v>
      </c>
    </row>
    <row r="218" spans="1:15" x14ac:dyDescent="0.25">
      <c r="A218" s="108">
        <v>62618</v>
      </c>
      <c r="B218" s="114" t="s">
        <v>236</v>
      </c>
      <c r="C218" s="85">
        <f t="shared" si="64"/>
        <v>0</v>
      </c>
      <c r="D218" s="49" t="s">
        <v>9</v>
      </c>
      <c r="E218" s="52" t="s">
        <v>114</v>
      </c>
      <c r="I218" s="110" t="s">
        <v>239</v>
      </c>
      <c r="J218" s="55">
        <f>8*J17</f>
        <v>848</v>
      </c>
      <c r="K218" s="55"/>
      <c r="L218" s="55"/>
      <c r="M218" s="55"/>
      <c r="N218" s="55"/>
      <c r="O218" s="50">
        <f t="shared" si="65"/>
        <v>848</v>
      </c>
    </row>
    <row r="219" spans="1:15" x14ac:dyDescent="0.25">
      <c r="A219" s="108">
        <v>63113</v>
      </c>
      <c r="B219" s="114" t="s">
        <v>240</v>
      </c>
      <c r="C219" s="85">
        <f t="shared" si="64"/>
        <v>0</v>
      </c>
      <c r="D219" s="49" t="s">
        <v>9</v>
      </c>
      <c r="E219" s="114" t="s">
        <v>135</v>
      </c>
      <c r="I219" s="110" t="s">
        <v>241</v>
      </c>
      <c r="J219" s="55">
        <v>0</v>
      </c>
      <c r="K219" s="55"/>
      <c r="L219" s="55"/>
      <c r="M219" s="55"/>
      <c r="N219" s="55"/>
      <c r="O219" s="50">
        <f t="shared" si="65"/>
        <v>0</v>
      </c>
    </row>
    <row r="220" spans="1:15" x14ac:dyDescent="0.25">
      <c r="A220" s="111">
        <v>62612</v>
      </c>
      <c r="B220" s="114" t="s">
        <v>236</v>
      </c>
      <c r="C220" s="85">
        <f t="shared" si="64"/>
        <v>0</v>
      </c>
      <c r="D220" s="49" t="s">
        <v>9</v>
      </c>
      <c r="E220" s="114" t="s">
        <v>242</v>
      </c>
      <c r="I220" s="112" t="s">
        <v>243</v>
      </c>
      <c r="J220" s="58">
        <f>45*J17</f>
        <v>4770</v>
      </c>
      <c r="K220" s="58"/>
      <c r="L220" s="58"/>
      <c r="M220" s="58"/>
      <c r="N220" s="58"/>
      <c r="O220" s="50">
        <f t="shared" si="65"/>
        <v>4770</v>
      </c>
    </row>
    <row r="221" spans="1:15" x14ac:dyDescent="0.25">
      <c r="A221" s="98"/>
      <c r="B221" s="98"/>
      <c r="C221" s="98"/>
      <c r="D221" s="98"/>
      <c r="E221" s="98"/>
      <c r="H221" s="93" t="s">
        <v>47</v>
      </c>
      <c r="I221" s="113"/>
      <c r="J221" s="92">
        <f t="shared" ref="J221:O221" si="66">SUM(J215:J220)</f>
        <v>9116</v>
      </c>
      <c r="K221" s="92">
        <f t="shared" si="66"/>
        <v>0</v>
      </c>
      <c r="L221" s="92">
        <f t="shared" si="66"/>
        <v>0</v>
      </c>
      <c r="M221" s="92">
        <f t="shared" si="66"/>
        <v>0</v>
      </c>
      <c r="N221" s="92">
        <f t="shared" si="66"/>
        <v>0</v>
      </c>
      <c r="O221" s="92">
        <f t="shared" si="66"/>
        <v>9116</v>
      </c>
    </row>
    <row r="222" spans="1:15" x14ac:dyDescent="0.25">
      <c r="J222" s="99"/>
      <c r="K222" s="99"/>
      <c r="L222" s="99"/>
      <c r="M222" s="99"/>
      <c r="N222" s="99"/>
      <c r="O222" s="99"/>
    </row>
    <row r="223" spans="1:15" x14ac:dyDescent="0.25">
      <c r="A223" s="81"/>
      <c r="B223" s="82"/>
      <c r="C223" s="82"/>
      <c r="D223" s="82"/>
      <c r="E223" s="82"/>
      <c r="G223" s="100" t="s">
        <v>244</v>
      </c>
      <c r="H223" s="105"/>
      <c r="I223" s="82"/>
      <c r="J223" s="101" t="str">
        <f>J20</f>
        <v>Operating</v>
      </c>
      <c r="K223" s="101" t="str">
        <f t="shared" ref="K223:O223" si="67">K20</f>
        <v>SPED</v>
      </c>
      <c r="L223" s="101" t="str">
        <f t="shared" si="67"/>
        <v>NSLP</v>
      </c>
      <c r="M223" s="101" t="str">
        <f t="shared" si="67"/>
        <v>Title(s)</v>
      </c>
      <c r="N223" s="101" t="str">
        <f t="shared" si="67"/>
        <v>Other</v>
      </c>
      <c r="O223" s="101" t="str">
        <f t="shared" si="67"/>
        <v>Total</v>
      </c>
    </row>
    <row r="224" spans="1:15" x14ac:dyDescent="0.25">
      <c r="A224" s="106">
        <v>63114</v>
      </c>
      <c r="B224" s="114" t="s">
        <v>245</v>
      </c>
      <c r="C224" s="85">
        <f t="shared" ref="C224:C232" si="68">$C$1</f>
        <v>0</v>
      </c>
      <c r="D224" s="49" t="s">
        <v>9</v>
      </c>
      <c r="E224" s="114" t="s">
        <v>246</v>
      </c>
      <c r="I224" s="114" t="s">
        <v>247</v>
      </c>
      <c r="J224" s="102">
        <v>10000</v>
      </c>
      <c r="K224" s="102"/>
      <c r="L224" s="102"/>
      <c r="M224" s="102"/>
      <c r="N224" s="102"/>
      <c r="O224" s="102">
        <f>SUM(J224:N224)</f>
        <v>10000</v>
      </c>
    </row>
    <row r="225" spans="1:15" x14ac:dyDescent="0.25">
      <c r="A225" s="106">
        <v>63114</v>
      </c>
      <c r="B225" s="114" t="s">
        <v>245</v>
      </c>
      <c r="C225" s="85">
        <f t="shared" si="68"/>
        <v>0</v>
      </c>
      <c r="D225" s="52" t="s">
        <v>36</v>
      </c>
      <c r="E225" s="114" t="s">
        <v>246</v>
      </c>
      <c r="I225" s="114" t="s">
        <v>248</v>
      </c>
      <c r="J225" s="102"/>
      <c r="K225" s="102"/>
      <c r="L225" s="102"/>
      <c r="M225" s="102"/>
      <c r="N225" s="102"/>
      <c r="O225" s="102">
        <f t="shared" ref="O225:O232" si="69">SUM(J225:N225)</f>
        <v>0</v>
      </c>
    </row>
    <row r="226" spans="1:15" x14ac:dyDescent="0.25">
      <c r="A226" s="108">
        <v>63128</v>
      </c>
      <c r="B226" s="110" t="s">
        <v>245</v>
      </c>
      <c r="C226" s="85">
        <f t="shared" si="68"/>
        <v>0</v>
      </c>
      <c r="D226" s="52" t="s">
        <v>27</v>
      </c>
      <c r="E226" s="110" t="s">
        <v>135</v>
      </c>
      <c r="I226" s="110" t="s">
        <v>249</v>
      </c>
      <c r="J226" s="55">
        <v>0</v>
      </c>
      <c r="K226" s="55">
        <f>(425*J17)</f>
        <v>45050</v>
      </c>
      <c r="L226" s="55"/>
      <c r="M226" s="55"/>
      <c r="N226" s="55"/>
      <c r="O226" s="102">
        <f t="shared" si="69"/>
        <v>45050</v>
      </c>
    </row>
    <row r="227" spans="1:15" x14ac:dyDescent="0.25">
      <c r="A227" s="108">
        <v>63111</v>
      </c>
      <c r="B227" s="110" t="s">
        <v>245</v>
      </c>
      <c r="C227" s="85">
        <f t="shared" si="68"/>
        <v>0</v>
      </c>
      <c r="D227" s="49" t="s">
        <v>9</v>
      </c>
      <c r="E227" s="52" t="s">
        <v>186</v>
      </c>
      <c r="I227" s="110" t="s">
        <v>250</v>
      </c>
      <c r="J227" s="55">
        <f t="shared" ref="J227:K227" si="70">(185*11*J36)-J179</f>
        <v>16280</v>
      </c>
      <c r="K227" s="55">
        <f t="shared" si="70"/>
        <v>2035</v>
      </c>
      <c r="L227" s="55"/>
      <c r="M227" s="55"/>
      <c r="N227" s="55"/>
      <c r="O227" s="102">
        <f t="shared" si="69"/>
        <v>18315</v>
      </c>
    </row>
    <row r="228" spans="1:15" x14ac:dyDescent="0.25">
      <c r="A228" s="106">
        <v>63114</v>
      </c>
      <c r="B228" s="114" t="s">
        <v>245</v>
      </c>
      <c r="C228" s="85">
        <f t="shared" si="68"/>
        <v>0</v>
      </c>
      <c r="D228" s="49" t="s">
        <v>9</v>
      </c>
      <c r="E228" s="114" t="s">
        <v>246</v>
      </c>
      <c r="I228" s="110" t="s">
        <v>251</v>
      </c>
      <c r="J228" s="55">
        <v>0</v>
      </c>
      <c r="K228" s="55"/>
      <c r="L228" s="55"/>
      <c r="M228" s="55"/>
      <c r="N228" s="55"/>
      <c r="O228" s="102">
        <f t="shared" si="69"/>
        <v>0</v>
      </c>
    </row>
    <row r="229" spans="1:15" x14ac:dyDescent="0.25">
      <c r="A229" s="106">
        <v>63114</v>
      </c>
      <c r="B229" s="114" t="s">
        <v>245</v>
      </c>
      <c r="C229" s="85">
        <f t="shared" si="68"/>
        <v>0</v>
      </c>
      <c r="D229" s="52" t="s">
        <v>24</v>
      </c>
      <c r="E229" s="114" t="s">
        <v>246</v>
      </c>
      <c r="I229" s="110" t="s">
        <v>252</v>
      </c>
      <c r="J229" s="55">
        <v>0</v>
      </c>
      <c r="K229" s="55"/>
      <c r="L229" s="55"/>
      <c r="M229" s="55">
        <f>8000*10</f>
        <v>80000</v>
      </c>
      <c r="N229" s="55"/>
      <c r="O229" s="102">
        <f t="shared" si="69"/>
        <v>80000</v>
      </c>
    </row>
    <row r="230" spans="1:15" x14ac:dyDescent="0.25">
      <c r="A230" s="108">
        <v>63123</v>
      </c>
      <c r="B230" s="110" t="s">
        <v>253</v>
      </c>
      <c r="C230" s="85">
        <f t="shared" si="68"/>
        <v>0</v>
      </c>
      <c r="D230" s="49" t="s">
        <v>9</v>
      </c>
      <c r="E230" s="114" t="s">
        <v>254</v>
      </c>
      <c r="I230" s="110" t="s">
        <v>255</v>
      </c>
      <c r="J230" s="55">
        <v>0</v>
      </c>
      <c r="K230" s="55"/>
      <c r="L230" s="55"/>
      <c r="M230" s="55"/>
      <c r="N230" s="55"/>
      <c r="O230" s="102">
        <f t="shared" si="69"/>
        <v>0</v>
      </c>
    </row>
    <row r="231" spans="1:15" x14ac:dyDescent="0.25">
      <c r="A231" s="108">
        <v>63121</v>
      </c>
      <c r="B231" s="110" t="s">
        <v>256</v>
      </c>
      <c r="C231" s="85">
        <f t="shared" si="68"/>
        <v>0</v>
      </c>
      <c r="D231" s="49" t="s">
        <v>9</v>
      </c>
      <c r="E231" s="110" t="s">
        <v>257</v>
      </c>
      <c r="I231" s="110" t="s">
        <v>258</v>
      </c>
      <c r="J231" s="55">
        <v>0</v>
      </c>
      <c r="K231" s="55"/>
      <c r="L231" s="55"/>
      <c r="M231" s="55"/>
      <c r="N231" s="55"/>
      <c r="O231" s="102">
        <f t="shared" si="69"/>
        <v>0</v>
      </c>
    </row>
    <row r="232" spans="1:15" x14ac:dyDescent="0.25">
      <c r="A232" s="111">
        <v>63114</v>
      </c>
      <c r="B232" s="112" t="s">
        <v>245</v>
      </c>
      <c r="C232" s="85">
        <f t="shared" si="68"/>
        <v>0</v>
      </c>
      <c r="D232" s="52" t="s">
        <v>36</v>
      </c>
      <c r="E232" s="114" t="s">
        <v>246</v>
      </c>
      <c r="I232" s="112" t="s">
        <v>259</v>
      </c>
      <c r="J232" s="58">
        <f>J68*0.005</f>
        <v>4990.4800000000005</v>
      </c>
      <c r="K232" s="58"/>
      <c r="L232" s="58"/>
      <c r="M232" s="58">
        <f>2596.59+1446+3353</f>
        <v>7395.59</v>
      </c>
      <c r="N232" s="58"/>
      <c r="O232" s="102">
        <f t="shared" si="69"/>
        <v>12386.07</v>
      </c>
    </row>
    <row r="233" spans="1:15" x14ac:dyDescent="0.25">
      <c r="A233" s="98"/>
      <c r="B233" s="98"/>
      <c r="C233" s="98"/>
      <c r="D233" s="98"/>
      <c r="E233" s="98"/>
      <c r="H233" s="115" t="s">
        <v>47</v>
      </c>
      <c r="I233" s="113"/>
      <c r="J233" s="92">
        <f t="shared" ref="J233:O233" si="71">SUM(J224:J232)</f>
        <v>31270.48</v>
      </c>
      <c r="K233" s="92">
        <f t="shared" si="71"/>
        <v>47085</v>
      </c>
      <c r="L233" s="92">
        <f t="shared" si="71"/>
        <v>0</v>
      </c>
      <c r="M233" s="92">
        <f t="shared" si="71"/>
        <v>87395.59</v>
      </c>
      <c r="N233" s="92">
        <f t="shared" si="71"/>
        <v>0</v>
      </c>
      <c r="O233" s="92">
        <f t="shared" si="71"/>
        <v>165751.07</v>
      </c>
    </row>
    <row r="234" spans="1:15" x14ac:dyDescent="0.25">
      <c r="H234" s="116"/>
      <c r="J234" s="99"/>
      <c r="K234" s="99"/>
      <c r="L234" s="99"/>
      <c r="M234" s="99"/>
      <c r="N234" s="99"/>
      <c r="O234" s="99"/>
    </row>
    <row r="235" spans="1:15" x14ac:dyDescent="0.25">
      <c r="A235" s="81"/>
      <c r="B235" s="82"/>
      <c r="C235" s="82"/>
      <c r="D235" s="82"/>
      <c r="E235" s="82"/>
      <c r="G235" s="100" t="s">
        <v>260</v>
      </c>
      <c r="H235" s="105"/>
      <c r="I235" s="82"/>
      <c r="J235" s="101" t="str">
        <f>J20</f>
        <v>Operating</v>
      </c>
      <c r="K235" s="101" t="str">
        <f t="shared" ref="K235:O235" si="72">K20</f>
        <v>SPED</v>
      </c>
      <c r="L235" s="101" t="str">
        <f t="shared" si="72"/>
        <v>NSLP</v>
      </c>
      <c r="M235" s="101" t="str">
        <f t="shared" si="72"/>
        <v>Title(s)</v>
      </c>
      <c r="N235" s="101" t="str">
        <f t="shared" si="72"/>
        <v>Other</v>
      </c>
      <c r="O235" s="101" t="str">
        <f t="shared" si="72"/>
        <v>Total</v>
      </c>
    </row>
    <row r="236" spans="1:15" x14ac:dyDescent="0.25">
      <c r="A236" s="106">
        <v>63120</v>
      </c>
      <c r="B236" s="114" t="s">
        <v>261</v>
      </c>
      <c r="C236" s="85">
        <f t="shared" ref="C236:C244" si="73">$C$1</f>
        <v>0</v>
      </c>
      <c r="D236" s="49" t="s">
        <v>9</v>
      </c>
      <c r="E236" s="114" t="s">
        <v>242</v>
      </c>
      <c r="I236" s="114" t="s">
        <v>247</v>
      </c>
      <c r="J236" s="102">
        <v>50000</v>
      </c>
      <c r="K236" s="102"/>
      <c r="L236" s="102"/>
      <c r="M236" s="102"/>
      <c r="N236" s="102"/>
      <c r="O236" s="102">
        <f>SUM(J236:N236)</f>
        <v>50000</v>
      </c>
    </row>
    <row r="237" spans="1:15" x14ac:dyDescent="0.25">
      <c r="A237" s="108">
        <v>63120</v>
      </c>
      <c r="B237" s="110" t="s">
        <v>261</v>
      </c>
      <c r="C237" s="85">
        <f t="shared" si="73"/>
        <v>0</v>
      </c>
      <c r="D237" s="49" t="s">
        <v>9</v>
      </c>
      <c r="E237" s="114" t="s">
        <v>242</v>
      </c>
      <c r="I237" s="110" t="s">
        <v>262</v>
      </c>
      <c r="J237" s="55">
        <v>0</v>
      </c>
      <c r="K237" s="55"/>
      <c r="L237" s="55"/>
      <c r="M237" s="55"/>
      <c r="N237" s="55"/>
      <c r="O237" s="102">
        <f t="shared" ref="O237:O244" si="74">SUM(J237:N237)</f>
        <v>0</v>
      </c>
    </row>
    <row r="238" spans="1:15" x14ac:dyDescent="0.25">
      <c r="A238" s="108">
        <v>63126</v>
      </c>
      <c r="B238" s="110" t="s">
        <v>253</v>
      </c>
      <c r="C238" s="85">
        <f t="shared" si="73"/>
        <v>0</v>
      </c>
      <c r="D238" s="49" t="s">
        <v>9</v>
      </c>
      <c r="E238" s="114" t="s">
        <v>254</v>
      </c>
      <c r="I238" s="110" t="s">
        <v>263</v>
      </c>
      <c r="J238" s="55">
        <f>495*J17</f>
        <v>52470</v>
      </c>
      <c r="K238" s="55"/>
      <c r="L238" s="55"/>
      <c r="M238" s="55"/>
      <c r="N238" s="55"/>
      <c r="O238" s="102">
        <f t="shared" si="74"/>
        <v>52470</v>
      </c>
    </row>
    <row r="239" spans="1:15" x14ac:dyDescent="0.25">
      <c r="A239" s="108">
        <v>63311</v>
      </c>
      <c r="B239" s="110" t="s">
        <v>253</v>
      </c>
      <c r="C239" s="85">
        <f t="shared" si="73"/>
        <v>0</v>
      </c>
      <c r="D239" s="49" t="s">
        <v>9</v>
      </c>
      <c r="E239" s="114" t="s">
        <v>254</v>
      </c>
      <c r="I239" s="110" t="s">
        <v>264</v>
      </c>
      <c r="J239" s="55">
        <v>6813</v>
      </c>
      <c r="K239" s="55"/>
      <c r="L239" s="55"/>
      <c r="M239" s="55"/>
      <c r="N239" s="55"/>
      <c r="O239" s="102">
        <f t="shared" si="74"/>
        <v>6813</v>
      </c>
    </row>
    <row r="240" spans="1:15" x14ac:dyDescent="0.25">
      <c r="A240" s="108">
        <v>63125</v>
      </c>
      <c r="B240" s="110" t="s">
        <v>261</v>
      </c>
      <c r="C240" s="85">
        <f t="shared" si="73"/>
        <v>0</v>
      </c>
      <c r="D240" s="49" t="s">
        <v>9</v>
      </c>
      <c r="E240" s="114" t="s">
        <v>254</v>
      </c>
      <c r="I240" s="110" t="s">
        <v>265</v>
      </c>
      <c r="J240" s="55">
        <v>33000</v>
      </c>
      <c r="K240" s="55"/>
      <c r="L240" s="55"/>
      <c r="M240" s="55"/>
      <c r="N240" s="55"/>
      <c r="O240" s="102">
        <f t="shared" si="74"/>
        <v>33000</v>
      </c>
    </row>
    <row r="241" spans="1:15" x14ac:dyDescent="0.25">
      <c r="A241" s="108">
        <v>63124</v>
      </c>
      <c r="B241" s="110" t="s">
        <v>261</v>
      </c>
      <c r="C241" s="85">
        <f t="shared" si="73"/>
        <v>0</v>
      </c>
      <c r="D241" s="49" t="s">
        <v>9</v>
      </c>
      <c r="E241" s="110" t="s">
        <v>266</v>
      </c>
      <c r="I241" s="110" t="s">
        <v>267</v>
      </c>
      <c r="J241" s="55">
        <v>12500</v>
      </c>
      <c r="K241" s="55"/>
      <c r="L241" s="55"/>
      <c r="M241" s="55"/>
      <c r="N241" s="55"/>
      <c r="O241" s="102">
        <f t="shared" si="74"/>
        <v>12500</v>
      </c>
    </row>
    <row r="242" spans="1:15" x14ac:dyDescent="0.25">
      <c r="A242" s="108">
        <v>63210</v>
      </c>
      <c r="B242" s="110" t="s">
        <v>268</v>
      </c>
      <c r="C242" s="85">
        <f t="shared" si="73"/>
        <v>0</v>
      </c>
      <c r="D242" s="49" t="s">
        <v>9</v>
      </c>
      <c r="E242" s="114" t="s">
        <v>254</v>
      </c>
      <c r="I242" s="110" t="s">
        <v>269</v>
      </c>
      <c r="J242" s="55">
        <f>(48*J17)+(60*12)</f>
        <v>5808</v>
      </c>
      <c r="K242" s="55"/>
      <c r="L242" s="55"/>
      <c r="M242" s="55"/>
      <c r="N242" s="55"/>
      <c r="O242" s="102">
        <f t="shared" si="74"/>
        <v>5808</v>
      </c>
    </row>
    <row r="243" spans="1:15" x14ac:dyDescent="0.25">
      <c r="A243" s="108">
        <v>63210</v>
      </c>
      <c r="B243" s="110" t="s">
        <v>268</v>
      </c>
      <c r="C243" s="85">
        <f t="shared" si="73"/>
        <v>0</v>
      </c>
      <c r="D243" s="49" t="s">
        <v>9</v>
      </c>
      <c r="E243" s="114" t="s">
        <v>254</v>
      </c>
      <c r="I243" s="110" t="s">
        <v>270</v>
      </c>
      <c r="J243" s="55">
        <v>15000</v>
      </c>
      <c r="K243" s="55"/>
      <c r="L243" s="55"/>
      <c r="M243" s="55"/>
      <c r="N243" s="55"/>
      <c r="O243" s="102">
        <f t="shared" si="74"/>
        <v>15000</v>
      </c>
    </row>
    <row r="244" spans="1:15" x14ac:dyDescent="0.25">
      <c r="A244" s="111">
        <v>63151</v>
      </c>
      <c r="B244" s="112" t="s">
        <v>271</v>
      </c>
      <c r="C244" s="85">
        <f t="shared" si="73"/>
        <v>0</v>
      </c>
      <c r="D244" s="49" t="s">
        <v>9</v>
      </c>
      <c r="E244" s="112" t="s">
        <v>272</v>
      </c>
      <c r="I244" s="112" t="s">
        <v>273</v>
      </c>
      <c r="J244" s="58">
        <f>(J68)*0.0125-8685.33</f>
        <v>3790.8700000000008</v>
      </c>
      <c r="K244" s="58"/>
      <c r="L244" s="58"/>
      <c r="M244" s="58"/>
      <c r="N244" s="58"/>
      <c r="O244" s="102">
        <f t="shared" si="74"/>
        <v>3790.8700000000008</v>
      </c>
    </row>
    <row r="245" spans="1:15" x14ac:dyDescent="0.25">
      <c r="A245" s="98"/>
      <c r="B245" s="98"/>
      <c r="C245" s="98"/>
      <c r="D245" s="98"/>
      <c r="E245" s="98"/>
      <c r="H245" s="93" t="s">
        <v>47</v>
      </c>
      <c r="I245" s="113"/>
      <c r="J245" s="92">
        <f t="shared" ref="J245:O245" si="75">SUM(J236:J244)</f>
        <v>179381.87</v>
      </c>
      <c r="K245" s="92">
        <f t="shared" si="75"/>
        <v>0</v>
      </c>
      <c r="L245" s="92">
        <f t="shared" si="75"/>
        <v>0</v>
      </c>
      <c r="M245" s="92">
        <f t="shared" si="75"/>
        <v>0</v>
      </c>
      <c r="N245" s="92">
        <f t="shared" si="75"/>
        <v>0</v>
      </c>
      <c r="O245" s="92">
        <f t="shared" si="75"/>
        <v>179381.87</v>
      </c>
    </row>
    <row r="246" spans="1:15" x14ac:dyDescent="0.25">
      <c r="J246" s="99"/>
      <c r="K246" s="99"/>
      <c r="L246" s="99"/>
      <c r="M246" s="99"/>
      <c r="N246" s="99"/>
      <c r="O246" s="99"/>
    </row>
    <row r="247" spans="1:15" x14ac:dyDescent="0.25">
      <c r="A247" s="81"/>
      <c r="B247" s="82"/>
      <c r="C247" s="82"/>
      <c r="D247" s="82"/>
      <c r="E247" s="82"/>
      <c r="G247" s="100" t="s">
        <v>274</v>
      </c>
      <c r="H247" s="105"/>
      <c r="I247" s="82"/>
      <c r="J247" s="101" t="str">
        <f>J20</f>
        <v>Operating</v>
      </c>
      <c r="K247" s="101" t="str">
        <f t="shared" ref="K247:O247" si="76">K20</f>
        <v>SPED</v>
      </c>
      <c r="L247" s="101" t="str">
        <f t="shared" si="76"/>
        <v>NSLP</v>
      </c>
      <c r="M247" s="101" t="str">
        <f t="shared" si="76"/>
        <v>Title(s)</v>
      </c>
      <c r="N247" s="101" t="str">
        <f t="shared" si="76"/>
        <v>Other</v>
      </c>
      <c r="O247" s="101" t="str">
        <f t="shared" si="76"/>
        <v>Total</v>
      </c>
    </row>
    <row r="248" spans="1:15" x14ac:dyDescent="0.25">
      <c r="A248" s="106">
        <v>63220</v>
      </c>
      <c r="B248" s="114" t="s">
        <v>275</v>
      </c>
      <c r="C248" s="85">
        <f t="shared" ref="C248:C265" si="77">$C$1</f>
        <v>0</v>
      </c>
      <c r="D248" s="49" t="s">
        <v>9</v>
      </c>
      <c r="E248" s="114" t="s">
        <v>254</v>
      </c>
      <c r="I248" s="114" t="s">
        <v>276</v>
      </c>
      <c r="J248" s="102">
        <f>((750*12)-(675*12)+2000)*1.05</f>
        <v>3045</v>
      </c>
      <c r="K248" s="102"/>
      <c r="L248" s="102"/>
      <c r="M248" s="102"/>
      <c r="N248" s="102"/>
      <c r="O248" s="102">
        <f t="shared" ref="O248:O265" si="78">SUM(J248:N248)</f>
        <v>3045</v>
      </c>
    </row>
    <row r="249" spans="1:15" x14ac:dyDescent="0.25">
      <c r="A249" s="106">
        <v>63231</v>
      </c>
      <c r="B249" s="114" t="s">
        <v>277</v>
      </c>
      <c r="C249" s="85">
        <f t="shared" si="77"/>
        <v>0</v>
      </c>
      <c r="D249" s="49" t="s">
        <v>9</v>
      </c>
      <c r="E249" s="114" t="s">
        <v>278</v>
      </c>
      <c r="I249" s="114" t="s">
        <v>279</v>
      </c>
      <c r="J249" s="102">
        <f>(1000+30*12+1500+1000)*1.05</f>
        <v>4053</v>
      </c>
      <c r="K249" s="102"/>
      <c r="L249" s="102"/>
      <c r="M249" s="102"/>
      <c r="N249" s="102"/>
      <c r="O249" s="102">
        <f t="shared" si="78"/>
        <v>4053</v>
      </c>
    </row>
    <row r="250" spans="1:15" x14ac:dyDescent="0.25">
      <c r="A250" s="106">
        <v>63350</v>
      </c>
      <c r="B250" s="114" t="s">
        <v>280</v>
      </c>
      <c r="C250" s="85">
        <f t="shared" si="77"/>
        <v>0</v>
      </c>
      <c r="D250" s="49" t="s">
        <v>9</v>
      </c>
      <c r="E250" s="114" t="s">
        <v>114</v>
      </c>
      <c r="I250" s="110" t="s">
        <v>281</v>
      </c>
      <c r="J250" s="55">
        <v>2000</v>
      </c>
      <c r="K250" s="55"/>
      <c r="L250" s="55"/>
      <c r="M250" s="55"/>
      <c r="N250" s="55"/>
      <c r="O250" s="102">
        <f t="shared" si="78"/>
        <v>2000</v>
      </c>
    </row>
    <row r="251" spans="1:15" x14ac:dyDescent="0.25">
      <c r="A251" s="106">
        <v>63231</v>
      </c>
      <c r="B251" s="114" t="s">
        <v>277</v>
      </c>
      <c r="C251" s="85">
        <f t="shared" si="77"/>
        <v>0</v>
      </c>
      <c r="D251" s="49" t="s">
        <v>9</v>
      </c>
      <c r="E251" s="114" t="s">
        <v>278</v>
      </c>
      <c r="I251" s="110" t="s">
        <v>282</v>
      </c>
      <c r="J251" s="55">
        <v>5500</v>
      </c>
      <c r="K251" s="55"/>
      <c r="L251" s="55"/>
      <c r="M251" s="55"/>
      <c r="N251" s="55"/>
      <c r="O251" s="102">
        <f t="shared" si="78"/>
        <v>5500</v>
      </c>
    </row>
    <row r="252" spans="1:15" x14ac:dyDescent="0.25">
      <c r="A252" s="106">
        <v>64272</v>
      </c>
      <c r="B252" s="114" t="s">
        <v>283</v>
      </c>
      <c r="C252" s="85">
        <f t="shared" si="77"/>
        <v>0</v>
      </c>
      <c r="D252" s="49" t="s">
        <v>9</v>
      </c>
      <c r="E252" s="52" t="s">
        <v>186</v>
      </c>
      <c r="I252" s="110" t="s">
        <v>284</v>
      </c>
      <c r="J252" s="55">
        <f>1100*12</f>
        <v>13200</v>
      </c>
      <c r="K252" s="55"/>
      <c r="L252" s="55"/>
      <c r="M252" s="55"/>
      <c r="N252" s="55"/>
      <c r="O252" s="102">
        <f t="shared" si="78"/>
        <v>13200</v>
      </c>
    </row>
    <row r="253" spans="1:15" x14ac:dyDescent="0.25">
      <c r="A253" s="106">
        <v>62553</v>
      </c>
      <c r="B253" s="114" t="s">
        <v>285</v>
      </c>
      <c r="C253" s="85">
        <f t="shared" si="77"/>
        <v>0</v>
      </c>
      <c r="D253" s="49" t="s">
        <v>9</v>
      </c>
      <c r="E253" s="52" t="s">
        <v>186</v>
      </c>
      <c r="I253" s="110" t="s">
        <v>286</v>
      </c>
      <c r="J253" s="55">
        <f>((2+0.4+1.95)*J17)+7500</f>
        <v>7961.1</v>
      </c>
      <c r="K253" s="55"/>
      <c r="L253" s="55"/>
      <c r="M253" s="55"/>
      <c r="N253" s="55"/>
      <c r="O253" s="102">
        <f t="shared" si="78"/>
        <v>7961.1</v>
      </c>
    </row>
    <row r="254" spans="1:15" x14ac:dyDescent="0.25">
      <c r="A254" s="106">
        <v>65210</v>
      </c>
      <c r="B254" s="114" t="s">
        <v>287</v>
      </c>
      <c r="C254" s="85">
        <f t="shared" si="77"/>
        <v>0</v>
      </c>
      <c r="D254" s="49" t="s">
        <v>9</v>
      </c>
      <c r="E254" s="114" t="s">
        <v>242</v>
      </c>
      <c r="I254" s="110" t="s">
        <v>288</v>
      </c>
      <c r="J254" s="55">
        <f>33500*1.1</f>
        <v>36850</v>
      </c>
      <c r="K254" s="55"/>
      <c r="L254" s="55"/>
      <c r="M254" s="55"/>
      <c r="N254" s="55"/>
      <c r="O254" s="102">
        <f t="shared" si="78"/>
        <v>36850</v>
      </c>
    </row>
    <row r="255" spans="1:15" x14ac:dyDescent="0.25">
      <c r="A255" s="106">
        <v>64100</v>
      </c>
      <c r="B255" s="114" t="s">
        <v>289</v>
      </c>
      <c r="C255" s="85">
        <f t="shared" si="77"/>
        <v>0</v>
      </c>
      <c r="D255" s="52" t="s">
        <v>39</v>
      </c>
      <c r="E255" s="114" t="s">
        <v>160</v>
      </c>
      <c r="I255" s="110" t="s">
        <v>290</v>
      </c>
      <c r="J255" s="55"/>
      <c r="K255" s="55"/>
      <c r="L255" s="55">
        <f>(40*180*2.5)</f>
        <v>18000</v>
      </c>
      <c r="M255" s="55"/>
      <c r="N255" s="55"/>
      <c r="O255" s="102">
        <f t="shared" si="78"/>
        <v>18000</v>
      </c>
    </row>
    <row r="256" spans="1:15" x14ac:dyDescent="0.25">
      <c r="A256" s="106">
        <v>64100</v>
      </c>
      <c r="B256" s="114" t="s">
        <v>289</v>
      </c>
      <c r="C256" s="85">
        <f t="shared" si="77"/>
        <v>0</v>
      </c>
      <c r="D256" s="52" t="s">
        <v>39</v>
      </c>
      <c r="E256" s="114" t="s">
        <v>160</v>
      </c>
      <c r="I256" s="110" t="s">
        <v>291</v>
      </c>
      <c r="J256" s="55"/>
      <c r="K256" s="55"/>
      <c r="L256" s="55">
        <f>(60*3.86*180)</f>
        <v>41688</v>
      </c>
      <c r="M256" s="55"/>
      <c r="N256" s="55"/>
      <c r="O256" s="102">
        <f t="shared" si="78"/>
        <v>41688</v>
      </c>
    </row>
    <row r="257" spans="1:15" x14ac:dyDescent="0.25">
      <c r="A257" s="106">
        <v>63330</v>
      </c>
      <c r="B257" s="114" t="s">
        <v>292</v>
      </c>
      <c r="C257" s="85">
        <f t="shared" si="77"/>
        <v>0</v>
      </c>
      <c r="D257" s="49" t="s">
        <v>9</v>
      </c>
      <c r="E257" s="114" t="s">
        <v>293</v>
      </c>
      <c r="I257" s="110" t="s">
        <v>294</v>
      </c>
      <c r="J257" s="55">
        <v>30000</v>
      </c>
      <c r="K257" s="55"/>
      <c r="L257" s="55"/>
      <c r="M257" s="55"/>
      <c r="N257" s="55"/>
      <c r="O257" s="102">
        <f t="shared" si="78"/>
        <v>30000</v>
      </c>
    </row>
    <row r="258" spans="1:15" x14ac:dyDescent="0.25">
      <c r="A258" s="106">
        <v>61584</v>
      </c>
      <c r="B258" s="114" t="s">
        <v>295</v>
      </c>
      <c r="C258" s="85">
        <f t="shared" si="77"/>
        <v>0</v>
      </c>
      <c r="D258" s="49" t="s">
        <v>9</v>
      </c>
      <c r="E258" s="52" t="s">
        <v>114</v>
      </c>
      <c r="I258" s="110" t="s">
        <v>296</v>
      </c>
      <c r="J258" s="55">
        <v>5500</v>
      </c>
      <c r="K258" s="55"/>
      <c r="L258" s="55"/>
      <c r="M258" s="55">
        <v>2331</v>
      </c>
      <c r="N258" s="55"/>
      <c r="O258" s="102">
        <f t="shared" si="78"/>
        <v>7831</v>
      </c>
    </row>
    <row r="259" spans="1:15" x14ac:dyDescent="0.25">
      <c r="A259" s="106">
        <v>63127</v>
      </c>
      <c r="B259" s="114" t="s">
        <v>261</v>
      </c>
      <c r="C259" s="85">
        <f t="shared" si="77"/>
        <v>0</v>
      </c>
      <c r="D259" s="49" t="s">
        <v>9</v>
      </c>
      <c r="E259" s="114" t="s">
        <v>297</v>
      </c>
      <c r="I259" s="110" t="s">
        <v>298</v>
      </c>
      <c r="J259" s="55">
        <v>900</v>
      </c>
      <c r="K259" s="55"/>
      <c r="L259" s="55"/>
      <c r="M259" s="55"/>
      <c r="N259" s="55"/>
      <c r="O259" s="102">
        <f t="shared" si="78"/>
        <v>900</v>
      </c>
    </row>
    <row r="260" spans="1:15" x14ac:dyDescent="0.25">
      <c r="A260" s="108">
        <v>63610</v>
      </c>
      <c r="B260" s="110" t="s">
        <v>299</v>
      </c>
      <c r="C260" s="85">
        <f t="shared" si="77"/>
        <v>0</v>
      </c>
      <c r="D260" s="49" t="s">
        <v>9</v>
      </c>
      <c r="E260" s="110" t="s">
        <v>300</v>
      </c>
      <c r="I260" s="110" t="s">
        <v>301</v>
      </c>
      <c r="J260" s="55">
        <f>(6*J17)+1500+1000</f>
        <v>3136</v>
      </c>
      <c r="K260" s="55"/>
      <c r="L260" s="55"/>
      <c r="M260" s="55"/>
      <c r="N260" s="55"/>
      <c r="O260" s="102">
        <f t="shared" si="78"/>
        <v>3136</v>
      </c>
    </row>
    <row r="261" spans="1:15" x14ac:dyDescent="0.25">
      <c r="A261" s="108">
        <v>62670</v>
      </c>
      <c r="B261" s="110" t="s">
        <v>236</v>
      </c>
      <c r="C261" s="85">
        <f t="shared" si="77"/>
        <v>0</v>
      </c>
      <c r="D261" s="49" t="s">
        <v>9</v>
      </c>
      <c r="E261" s="110" t="s">
        <v>302</v>
      </c>
      <c r="I261" s="110" t="s">
        <v>303</v>
      </c>
      <c r="J261" s="55">
        <v>0</v>
      </c>
      <c r="K261" s="55"/>
      <c r="L261" s="55"/>
      <c r="M261" s="55"/>
      <c r="N261" s="55"/>
      <c r="O261" s="102">
        <f t="shared" si="78"/>
        <v>0</v>
      </c>
    </row>
    <row r="262" spans="1:15" x14ac:dyDescent="0.25">
      <c r="A262" s="108">
        <v>90002</v>
      </c>
      <c r="B262" s="110" t="s">
        <v>304</v>
      </c>
      <c r="C262" s="85">
        <f t="shared" si="77"/>
        <v>0</v>
      </c>
      <c r="D262" s="49" t="s">
        <v>9</v>
      </c>
      <c r="E262" s="110" t="s">
        <v>305</v>
      </c>
      <c r="I262" s="110" t="s">
        <v>306</v>
      </c>
      <c r="J262" s="55">
        <v>0</v>
      </c>
      <c r="K262" s="55"/>
      <c r="L262" s="55"/>
      <c r="M262" s="55"/>
      <c r="N262" s="55"/>
      <c r="O262" s="102">
        <f t="shared" si="78"/>
        <v>0</v>
      </c>
    </row>
    <row r="263" spans="1:15" x14ac:dyDescent="0.25">
      <c r="A263" s="108">
        <v>69990</v>
      </c>
      <c r="B263" s="110" t="s">
        <v>307</v>
      </c>
      <c r="C263" s="85">
        <f t="shared" si="77"/>
        <v>0</v>
      </c>
      <c r="D263" s="114" t="s">
        <v>33</v>
      </c>
      <c r="E263" s="110" t="s">
        <v>308</v>
      </c>
      <c r="I263" s="110" t="s">
        <v>309</v>
      </c>
      <c r="J263" s="55">
        <f>J80</f>
        <v>0</v>
      </c>
      <c r="K263" s="55"/>
      <c r="L263" s="55"/>
      <c r="M263" s="55"/>
      <c r="N263" s="55"/>
      <c r="O263" s="102">
        <f t="shared" si="78"/>
        <v>0</v>
      </c>
    </row>
    <row r="264" spans="1:15" x14ac:dyDescent="0.25">
      <c r="A264" s="108">
        <v>69900</v>
      </c>
      <c r="B264" s="110" t="s">
        <v>299</v>
      </c>
      <c r="C264" s="85">
        <f t="shared" si="77"/>
        <v>0</v>
      </c>
      <c r="D264" s="49" t="s">
        <v>9</v>
      </c>
      <c r="E264" s="110" t="s">
        <v>300</v>
      </c>
      <c r="I264" s="110" t="s">
        <v>310</v>
      </c>
      <c r="J264" s="55">
        <v>0</v>
      </c>
      <c r="K264" s="55"/>
      <c r="L264" s="55"/>
      <c r="M264" s="55"/>
      <c r="N264" s="55"/>
      <c r="O264" s="102">
        <f t="shared" si="78"/>
        <v>0</v>
      </c>
    </row>
    <row r="265" spans="1:15" x14ac:dyDescent="0.25">
      <c r="A265" s="111">
        <v>69900</v>
      </c>
      <c r="B265" s="112" t="s">
        <v>311</v>
      </c>
      <c r="C265" s="85">
        <f t="shared" si="77"/>
        <v>0</v>
      </c>
      <c r="D265" s="49" t="s">
        <v>9</v>
      </c>
      <c r="E265" s="112" t="s">
        <v>312</v>
      </c>
      <c r="I265" s="112" t="s">
        <v>313</v>
      </c>
      <c r="J265" s="58">
        <f>J68*0</f>
        <v>0</v>
      </c>
      <c r="K265" s="58"/>
      <c r="L265" s="58"/>
      <c r="M265" s="58"/>
      <c r="N265" s="58"/>
      <c r="O265" s="102">
        <f t="shared" si="78"/>
        <v>0</v>
      </c>
    </row>
    <row r="266" spans="1:15" x14ac:dyDescent="0.25">
      <c r="A266" s="98"/>
      <c r="B266" s="98"/>
      <c r="C266" s="98"/>
      <c r="D266" s="98"/>
      <c r="E266" s="98"/>
      <c r="H266" s="93" t="s">
        <v>47</v>
      </c>
      <c r="I266" s="113"/>
      <c r="J266" s="92">
        <f t="shared" ref="J266:K266" si="79">SUM(J248:J265)</f>
        <v>112145.1</v>
      </c>
      <c r="K266" s="92">
        <f t="shared" si="79"/>
        <v>0</v>
      </c>
      <c r="L266" s="92">
        <f t="shared" ref="L266:O266" si="80">SUM(L248:L265)</f>
        <v>59688</v>
      </c>
      <c r="M266" s="92">
        <f t="shared" si="80"/>
        <v>2331</v>
      </c>
      <c r="N266" s="92">
        <f t="shared" si="80"/>
        <v>0</v>
      </c>
      <c r="O266" s="92">
        <f t="shared" si="80"/>
        <v>174164.1</v>
      </c>
    </row>
    <row r="267" spans="1:15" ht="16.5" thickBot="1" x14ac:dyDescent="0.3">
      <c r="J267" s="99"/>
      <c r="K267" s="99"/>
      <c r="L267" s="99"/>
      <c r="M267" s="99"/>
      <c r="N267" s="99"/>
      <c r="O267" s="99"/>
    </row>
    <row r="268" spans="1:15" ht="16.5" thickBot="1" x14ac:dyDescent="0.3">
      <c r="A268" s="68" t="s">
        <v>5</v>
      </c>
      <c r="B268" s="68" t="s">
        <v>91</v>
      </c>
      <c r="C268" s="68" t="s">
        <v>92</v>
      </c>
      <c r="D268" s="68" t="s">
        <v>4</v>
      </c>
      <c r="E268" s="68" t="s">
        <v>93</v>
      </c>
      <c r="G268" s="100" t="s">
        <v>314</v>
      </c>
      <c r="H268" s="105"/>
      <c r="I268" s="82"/>
      <c r="J268" s="101" t="str">
        <f>J20</f>
        <v>Operating</v>
      </c>
      <c r="K268" s="101" t="str">
        <f t="shared" ref="K268:O268" si="81">K20</f>
        <v>SPED</v>
      </c>
      <c r="L268" s="101" t="str">
        <f t="shared" si="81"/>
        <v>NSLP</v>
      </c>
      <c r="M268" s="101" t="str">
        <f t="shared" si="81"/>
        <v>Title(s)</v>
      </c>
      <c r="N268" s="101" t="str">
        <f t="shared" si="81"/>
        <v>Other</v>
      </c>
      <c r="O268" s="101" t="str">
        <f t="shared" si="81"/>
        <v>Total</v>
      </c>
    </row>
    <row r="269" spans="1:15" x14ac:dyDescent="0.25">
      <c r="A269" s="106">
        <v>65510</v>
      </c>
      <c r="B269" s="114" t="s">
        <v>315</v>
      </c>
      <c r="C269" s="85">
        <f t="shared" ref="C269:C279" si="82">$C$1</f>
        <v>0</v>
      </c>
      <c r="D269" s="49" t="s">
        <v>9</v>
      </c>
      <c r="E269" s="114" t="s">
        <v>242</v>
      </c>
      <c r="I269" s="114" t="s">
        <v>316</v>
      </c>
      <c r="J269" s="102">
        <f>11150*4</f>
        <v>44600</v>
      </c>
      <c r="K269" s="102"/>
      <c r="L269" s="102"/>
      <c r="M269" s="102"/>
      <c r="N269" s="102"/>
      <c r="O269" s="102">
        <f>SUM(J269:N269)</f>
        <v>44600</v>
      </c>
    </row>
    <row r="270" spans="1:15" x14ac:dyDescent="0.25">
      <c r="A270" s="106">
        <v>65530</v>
      </c>
      <c r="B270" s="114" t="s">
        <v>317</v>
      </c>
      <c r="C270" s="85">
        <f t="shared" si="82"/>
        <v>0</v>
      </c>
      <c r="D270" s="49" t="s">
        <v>9</v>
      </c>
      <c r="E270" s="114" t="s">
        <v>242</v>
      </c>
      <c r="I270" s="110" t="s">
        <v>318</v>
      </c>
      <c r="J270" s="55">
        <f>200*3+1200</f>
        <v>1800</v>
      </c>
      <c r="K270" s="55"/>
      <c r="L270" s="55"/>
      <c r="M270" s="55"/>
      <c r="N270" s="55"/>
      <c r="O270" s="102">
        <f t="shared" ref="O270:O279" si="83">SUM(J270:N270)</f>
        <v>1800</v>
      </c>
    </row>
    <row r="271" spans="1:15" x14ac:dyDescent="0.25">
      <c r="A271" s="106">
        <v>65540</v>
      </c>
      <c r="B271" s="114" t="s">
        <v>319</v>
      </c>
      <c r="C271" s="85">
        <f t="shared" si="82"/>
        <v>0</v>
      </c>
      <c r="D271" s="49" t="s">
        <v>9</v>
      </c>
      <c r="E271" s="114" t="s">
        <v>242</v>
      </c>
      <c r="I271" s="110" t="s">
        <v>320</v>
      </c>
      <c r="J271" s="55">
        <f>2650*4</f>
        <v>10600</v>
      </c>
      <c r="K271" s="55"/>
      <c r="L271" s="55"/>
      <c r="M271" s="55"/>
      <c r="N271" s="55"/>
      <c r="O271" s="102">
        <f t="shared" si="83"/>
        <v>10600</v>
      </c>
    </row>
    <row r="272" spans="1:15" x14ac:dyDescent="0.25">
      <c r="A272" s="106">
        <v>65550</v>
      </c>
      <c r="B272" s="114" t="s">
        <v>321</v>
      </c>
      <c r="C272" s="85">
        <f t="shared" si="82"/>
        <v>0</v>
      </c>
      <c r="D272" s="49" t="s">
        <v>9</v>
      </c>
      <c r="E272" s="114" t="s">
        <v>242</v>
      </c>
      <c r="I272" s="110" t="s">
        <v>322</v>
      </c>
      <c r="J272" s="55">
        <f>1000*4</f>
        <v>4000</v>
      </c>
      <c r="K272" s="55"/>
      <c r="L272" s="55"/>
      <c r="M272" s="55"/>
      <c r="N272" s="55"/>
      <c r="O272" s="102">
        <f t="shared" si="83"/>
        <v>4000</v>
      </c>
    </row>
    <row r="273" spans="1:15" x14ac:dyDescent="0.25">
      <c r="A273" s="106">
        <v>63632</v>
      </c>
      <c r="B273" s="114" t="s">
        <v>323</v>
      </c>
      <c r="C273" s="85">
        <f t="shared" si="82"/>
        <v>0</v>
      </c>
      <c r="D273" s="49" t="s">
        <v>9</v>
      </c>
      <c r="E273" s="114" t="s">
        <v>324</v>
      </c>
      <c r="I273" s="110" t="s">
        <v>325</v>
      </c>
      <c r="J273" s="55">
        <v>1000</v>
      </c>
      <c r="K273" s="55"/>
      <c r="L273" s="55"/>
      <c r="M273" s="55"/>
      <c r="N273" s="55"/>
      <c r="O273" s="102">
        <f t="shared" si="83"/>
        <v>1000</v>
      </c>
    </row>
    <row r="274" spans="1:15" x14ac:dyDescent="0.25">
      <c r="A274" s="106">
        <v>65100</v>
      </c>
      <c r="B274" s="114" t="s">
        <v>326</v>
      </c>
      <c r="C274" s="85">
        <f t="shared" si="82"/>
        <v>0</v>
      </c>
      <c r="D274" s="49" t="s">
        <v>9</v>
      </c>
      <c r="E274" s="114" t="s">
        <v>242</v>
      </c>
      <c r="I274" s="110" t="s">
        <v>327</v>
      </c>
      <c r="J274" s="55">
        <f>(750*1.05)*12+4000</f>
        <v>13450</v>
      </c>
      <c r="K274" s="55"/>
      <c r="L274" s="55"/>
      <c r="M274" s="55"/>
      <c r="N274" s="55"/>
      <c r="O274" s="102">
        <f t="shared" si="83"/>
        <v>13450</v>
      </c>
    </row>
    <row r="275" spans="1:15" x14ac:dyDescent="0.25">
      <c r="A275" s="106">
        <v>65310</v>
      </c>
      <c r="B275" s="114" t="s">
        <v>328</v>
      </c>
      <c r="C275" s="85">
        <f t="shared" si="82"/>
        <v>0</v>
      </c>
      <c r="D275" s="49" t="s">
        <v>9</v>
      </c>
      <c r="E275" s="114" t="s">
        <v>242</v>
      </c>
      <c r="I275" s="110" t="s">
        <v>329</v>
      </c>
      <c r="J275" s="55">
        <v>30000</v>
      </c>
      <c r="K275" s="55"/>
      <c r="L275" s="55"/>
      <c r="M275" s="55"/>
      <c r="N275" s="55"/>
      <c r="O275" s="102">
        <f t="shared" si="83"/>
        <v>30000</v>
      </c>
    </row>
    <row r="276" spans="1:15" x14ac:dyDescent="0.25">
      <c r="A276" s="106">
        <v>65310</v>
      </c>
      <c r="B276" s="114" t="s">
        <v>330</v>
      </c>
      <c r="C276" s="85">
        <f t="shared" si="82"/>
        <v>0</v>
      </c>
      <c r="D276" s="49" t="s">
        <v>9</v>
      </c>
      <c r="E276" s="114" t="s">
        <v>242</v>
      </c>
      <c r="I276" s="110" t="s">
        <v>331</v>
      </c>
      <c r="J276" s="55"/>
      <c r="K276" s="55"/>
      <c r="L276" s="55"/>
      <c r="M276" s="55"/>
      <c r="N276" s="55"/>
      <c r="O276" s="102">
        <f t="shared" si="83"/>
        <v>0</v>
      </c>
    </row>
    <row r="277" spans="1:15" x14ac:dyDescent="0.25">
      <c r="A277" s="106">
        <v>65112</v>
      </c>
      <c r="B277" s="114" t="s">
        <v>332</v>
      </c>
      <c r="C277" s="85">
        <f t="shared" si="82"/>
        <v>0</v>
      </c>
      <c r="D277" s="49" t="s">
        <v>9</v>
      </c>
      <c r="E277" s="114" t="s">
        <v>242</v>
      </c>
      <c r="I277" s="110" t="s">
        <v>333</v>
      </c>
      <c r="J277" s="55">
        <v>0</v>
      </c>
      <c r="K277" s="55"/>
      <c r="L277" s="55"/>
      <c r="M277" s="55"/>
      <c r="N277" s="55"/>
      <c r="O277" s="102">
        <f t="shared" si="83"/>
        <v>0</v>
      </c>
    </row>
    <row r="278" spans="1:15" x14ac:dyDescent="0.25">
      <c r="A278" s="106">
        <v>65111</v>
      </c>
      <c r="B278" s="114" t="s">
        <v>332</v>
      </c>
      <c r="C278" s="85">
        <f t="shared" si="82"/>
        <v>0</v>
      </c>
      <c r="D278" s="49" t="s">
        <v>9</v>
      </c>
      <c r="E278" s="114" t="s">
        <v>242</v>
      </c>
      <c r="I278" s="110" t="s">
        <v>334</v>
      </c>
      <c r="J278" s="55">
        <v>0</v>
      </c>
      <c r="K278" s="55"/>
      <c r="L278" s="55"/>
      <c r="M278" s="55"/>
      <c r="N278" s="55"/>
      <c r="O278" s="102">
        <f t="shared" si="83"/>
        <v>0</v>
      </c>
    </row>
    <row r="279" spans="1:15" x14ac:dyDescent="0.25">
      <c r="A279" s="117">
        <v>65311</v>
      </c>
      <c r="B279" s="118" t="s">
        <v>328</v>
      </c>
      <c r="C279" s="85">
        <f t="shared" si="82"/>
        <v>0</v>
      </c>
      <c r="D279" s="49" t="s">
        <v>9</v>
      </c>
      <c r="E279" s="114" t="s">
        <v>242</v>
      </c>
      <c r="I279" s="112" t="s">
        <v>335</v>
      </c>
      <c r="J279" s="58">
        <v>11000</v>
      </c>
      <c r="K279" s="58"/>
      <c r="L279" s="58"/>
      <c r="M279" s="58"/>
      <c r="N279" s="58"/>
      <c r="O279" s="102">
        <f t="shared" si="83"/>
        <v>11000</v>
      </c>
    </row>
    <row r="280" spans="1:15" x14ac:dyDescent="0.25">
      <c r="A280" s="98"/>
      <c r="B280" s="98"/>
      <c r="C280" s="98"/>
      <c r="D280" s="98"/>
      <c r="E280" s="98"/>
      <c r="H280" s="93" t="s">
        <v>47</v>
      </c>
      <c r="I280" s="113"/>
      <c r="J280" s="92">
        <f t="shared" ref="J280:O280" si="84">SUM(J269:J279)</f>
        <v>116450</v>
      </c>
      <c r="K280" s="92">
        <f t="shared" si="84"/>
        <v>0</v>
      </c>
      <c r="L280" s="92">
        <f t="shared" si="84"/>
        <v>0</v>
      </c>
      <c r="M280" s="92">
        <f t="shared" si="84"/>
        <v>0</v>
      </c>
      <c r="N280" s="92">
        <f t="shared" si="84"/>
        <v>0</v>
      </c>
      <c r="O280" s="92">
        <f t="shared" si="84"/>
        <v>116450</v>
      </c>
    </row>
    <row r="281" spans="1:15" ht="16.5" thickBot="1" x14ac:dyDescent="0.3">
      <c r="J281" s="99"/>
      <c r="K281" s="99"/>
      <c r="L281" s="99"/>
      <c r="M281" s="99"/>
      <c r="N281" s="99"/>
      <c r="O281" s="99"/>
    </row>
    <row r="282" spans="1:15" ht="16.149999999999999" customHeight="1" thickBot="1" x14ac:dyDescent="0.3">
      <c r="A282" s="81"/>
      <c r="B282" s="82"/>
      <c r="C282" s="82"/>
      <c r="D282" s="82"/>
      <c r="E282" s="82"/>
      <c r="G282" s="180" t="s">
        <v>336</v>
      </c>
      <c r="H282" s="181"/>
      <c r="I282" s="181"/>
      <c r="J282" s="119">
        <f t="shared" ref="J282:O282" si="85">J280+J266+J245+J233+J221+J212+J201+J180+J153+J134</f>
        <v>1734711.45</v>
      </c>
      <c r="K282" s="119">
        <f t="shared" si="85"/>
        <v>164661.13750000001</v>
      </c>
      <c r="L282" s="119">
        <f t="shared" si="85"/>
        <v>132193</v>
      </c>
      <c r="M282" s="119">
        <f t="shared" si="85"/>
        <v>122572.59</v>
      </c>
      <c r="N282" s="119">
        <f t="shared" si="85"/>
        <v>0</v>
      </c>
      <c r="O282" s="119">
        <f t="shared" si="85"/>
        <v>2154138.1775000002</v>
      </c>
    </row>
    <row r="283" spans="1:15" ht="16.5" thickBot="1" x14ac:dyDescent="0.3">
      <c r="J283" s="99"/>
      <c r="K283" s="99"/>
      <c r="L283" s="99"/>
      <c r="M283" s="99"/>
      <c r="N283" s="99"/>
      <c r="O283" s="99"/>
    </row>
    <row r="284" spans="1:15" ht="16.5" thickBot="1" x14ac:dyDescent="0.3">
      <c r="A284" s="81"/>
      <c r="B284" s="82"/>
      <c r="C284" s="82"/>
      <c r="D284" s="82"/>
      <c r="E284" s="82"/>
      <c r="G284" s="69" t="s">
        <v>337</v>
      </c>
      <c r="H284" s="120"/>
      <c r="I284" s="121"/>
      <c r="J284" s="122"/>
      <c r="K284" s="122"/>
      <c r="L284" s="122"/>
      <c r="M284" s="122"/>
      <c r="N284" s="122"/>
      <c r="O284" s="122"/>
    </row>
    <row r="285" spans="1:15" x14ac:dyDescent="0.25">
      <c r="A285" s="123">
        <v>65400</v>
      </c>
      <c r="B285" s="124" t="s">
        <v>319</v>
      </c>
      <c r="C285" s="85">
        <f t="shared" ref="C285:C288" si="86">$C$1</f>
        <v>0</v>
      </c>
      <c r="D285" s="49" t="s">
        <v>9</v>
      </c>
      <c r="E285" s="114" t="s">
        <v>242</v>
      </c>
      <c r="I285" s="124" t="s">
        <v>338</v>
      </c>
      <c r="J285" s="125">
        <f>500*J17</f>
        <v>53000</v>
      </c>
      <c r="K285" s="125">
        <f>500*K17</f>
        <v>0</v>
      </c>
      <c r="L285" s="125">
        <f>500*L17</f>
        <v>0</v>
      </c>
      <c r="M285" s="125">
        <f>500*M17</f>
        <v>0</v>
      </c>
      <c r="N285" s="125">
        <f>500*N17</f>
        <v>0</v>
      </c>
      <c r="O285" s="102">
        <f>SUM(J285:N285)</f>
        <v>53000</v>
      </c>
    </row>
    <row r="286" spans="1:15" x14ac:dyDescent="0.25">
      <c r="A286" s="126">
        <v>90001</v>
      </c>
      <c r="B286" s="127" t="s">
        <v>304</v>
      </c>
      <c r="C286" s="85">
        <f t="shared" si="86"/>
        <v>0</v>
      </c>
      <c r="D286" s="49" t="s">
        <v>9</v>
      </c>
      <c r="E286" s="110" t="s">
        <v>305</v>
      </c>
      <c r="I286" s="127" t="s">
        <v>339</v>
      </c>
      <c r="J286" s="128">
        <v>0</v>
      </c>
      <c r="K286" s="128">
        <v>0</v>
      </c>
      <c r="L286" s="128">
        <v>0</v>
      </c>
      <c r="M286" s="128">
        <v>0</v>
      </c>
      <c r="N286" s="128">
        <v>0</v>
      </c>
      <c r="O286" s="102">
        <f t="shared" ref="O286:O288" si="87">SUM(J286:N286)</f>
        <v>0</v>
      </c>
    </row>
    <row r="287" spans="1:15" x14ac:dyDescent="0.25">
      <c r="A287" s="126">
        <v>68320</v>
      </c>
      <c r="B287" s="127" t="s">
        <v>340</v>
      </c>
      <c r="C287" s="85">
        <f t="shared" si="86"/>
        <v>0</v>
      </c>
      <c r="D287" s="49" t="s">
        <v>9</v>
      </c>
      <c r="E287" s="110" t="s">
        <v>305</v>
      </c>
      <c r="I287" s="127" t="s">
        <v>341</v>
      </c>
      <c r="J287" s="128">
        <v>0</v>
      </c>
      <c r="K287" s="128">
        <v>0</v>
      </c>
      <c r="L287" s="128">
        <v>0</v>
      </c>
      <c r="M287" s="128">
        <v>0</v>
      </c>
      <c r="N287" s="128">
        <v>0</v>
      </c>
      <c r="O287" s="102">
        <f t="shared" si="87"/>
        <v>0</v>
      </c>
    </row>
    <row r="288" spans="1:15" x14ac:dyDescent="0.25">
      <c r="A288" s="123">
        <v>65400</v>
      </c>
      <c r="B288" s="124" t="s">
        <v>319</v>
      </c>
      <c r="C288" s="85">
        <f t="shared" si="86"/>
        <v>0</v>
      </c>
      <c r="D288" s="49" t="s">
        <v>9</v>
      </c>
      <c r="E288" s="114" t="s">
        <v>242</v>
      </c>
      <c r="I288" s="129" t="s">
        <v>342</v>
      </c>
      <c r="J288" s="130">
        <v>0</v>
      </c>
      <c r="K288" s="130">
        <v>0</v>
      </c>
      <c r="L288" s="130">
        <v>0</v>
      </c>
      <c r="M288" s="130">
        <v>0</v>
      </c>
      <c r="N288" s="130">
        <v>0</v>
      </c>
      <c r="O288" s="102">
        <f t="shared" si="87"/>
        <v>0</v>
      </c>
    </row>
    <row r="289" spans="1:15" x14ac:dyDescent="0.25">
      <c r="A289" s="98"/>
      <c r="B289" s="98"/>
      <c r="C289" s="98"/>
      <c r="D289" s="98"/>
      <c r="E289" s="98"/>
      <c r="G289" s="2"/>
      <c r="H289" s="93" t="s">
        <v>343</v>
      </c>
      <c r="I289" s="94"/>
      <c r="J289" s="92">
        <f t="shared" ref="J289:O289" si="88">SUM(J285:J288)</f>
        <v>53000</v>
      </c>
      <c r="K289" s="92">
        <f t="shared" si="88"/>
        <v>0</v>
      </c>
      <c r="L289" s="92">
        <f t="shared" si="88"/>
        <v>0</v>
      </c>
      <c r="M289" s="92">
        <f t="shared" si="88"/>
        <v>0</v>
      </c>
      <c r="N289" s="92">
        <f t="shared" si="88"/>
        <v>0</v>
      </c>
      <c r="O289" s="92">
        <f t="shared" si="88"/>
        <v>53000</v>
      </c>
    </row>
    <row r="290" spans="1:15" ht="16.5" thickBot="1" x14ac:dyDescent="0.3">
      <c r="J290" s="99"/>
      <c r="K290" s="99"/>
      <c r="L290" s="99"/>
      <c r="M290" s="99"/>
      <c r="N290" s="99"/>
      <c r="O290" s="99"/>
    </row>
    <row r="291" spans="1:15" ht="16.5" thickBot="1" x14ac:dyDescent="0.3">
      <c r="A291" s="131"/>
      <c r="B291" s="132"/>
      <c r="C291" s="132"/>
      <c r="D291" s="132"/>
      <c r="E291" s="132"/>
      <c r="G291" s="133" t="s">
        <v>344</v>
      </c>
      <c r="H291" s="134"/>
      <c r="I291" s="135"/>
      <c r="J291" s="136">
        <f t="shared" ref="J291:O291" si="89">(J83+J89)-(J289+J282)</f>
        <v>93692.657400000142</v>
      </c>
      <c r="K291" s="136">
        <f t="shared" si="89"/>
        <v>-410.65742597403005</v>
      </c>
      <c r="L291" s="136">
        <f t="shared" si="89"/>
        <v>-62929</v>
      </c>
      <c r="M291" s="136">
        <f t="shared" si="89"/>
        <v>-30353</v>
      </c>
      <c r="N291" s="136">
        <f t="shared" si="89"/>
        <v>0</v>
      </c>
      <c r="O291" s="136">
        <f t="shared" si="89"/>
        <v>-2.5974120944738388E-5</v>
      </c>
    </row>
    <row r="292" spans="1:15" x14ac:dyDescent="0.25">
      <c r="J292" s="99"/>
      <c r="K292" s="99"/>
      <c r="L292" s="99"/>
      <c r="M292" s="99"/>
      <c r="N292" s="99"/>
      <c r="O292" s="99"/>
    </row>
    <row r="293" spans="1:15" x14ac:dyDescent="0.25">
      <c r="I293" s="17" t="str">
        <f>I1</f>
        <v>Young Women's Academy of Las Vegas</v>
      </c>
      <c r="J293" s="137" t="str">
        <f t="shared" ref="J293:O293" si="90">J20</f>
        <v>Operating</v>
      </c>
      <c r="K293" s="137" t="str">
        <f t="shared" si="90"/>
        <v>SPED</v>
      </c>
      <c r="L293" s="137" t="str">
        <f t="shared" si="90"/>
        <v>NSLP</v>
      </c>
      <c r="M293" s="137" t="str">
        <f t="shared" si="90"/>
        <v>Title(s)</v>
      </c>
      <c r="N293" s="137" t="str">
        <f t="shared" si="90"/>
        <v>Other</v>
      </c>
      <c r="O293" s="137" t="str">
        <f t="shared" si="90"/>
        <v>Total</v>
      </c>
    </row>
    <row r="294" spans="1:15" x14ac:dyDescent="0.25">
      <c r="J294" s="99"/>
      <c r="K294" s="99"/>
      <c r="L294" s="99"/>
      <c r="M294" s="99"/>
      <c r="N294" s="99"/>
      <c r="O294" s="99"/>
    </row>
    <row r="295" spans="1:15" ht="16.5" thickBot="1" x14ac:dyDescent="0.3">
      <c r="I295" s="138"/>
      <c r="J295" s="137" t="s">
        <v>44</v>
      </c>
      <c r="K295" s="137" t="s">
        <v>44</v>
      </c>
      <c r="L295" s="137" t="s">
        <v>44</v>
      </c>
      <c r="M295" s="137" t="s">
        <v>44</v>
      </c>
      <c r="N295" s="137" t="s">
        <v>44</v>
      </c>
      <c r="O295" s="137" t="s">
        <v>44</v>
      </c>
    </row>
    <row r="296" spans="1:15" ht="16.5" thickBot="1" x14ac:dyDescent="0.3">
      <c r="G296" s="139" t="s">
        <v>345</v>
      </c>
      <c r="H296" s="140"/>
      <c r="I296" s="141"/>
      <c r="J296" s="142"/>
      <c r="K296" s="142"/>
      <c r="L296" s="142"/>
      <c r="M296" s="142"/>
      <c r="N296" s="142"/>
      <c r="O296" s="142"/>
    </row>
    <row r="297" spans="1:15" x14ac:dyDescent="0.25">
      <c r="I297" s="2" t="s">
        <v>98</v>
      </c>
      <c r="J297" s="143">
        <f>J73</f>
        <v>0</v>
      </c>
      <c r="K297" s="143">
        <f>K73</f>
        <v>122895</v>
      </c>
      <c r="L297" s="143">
        <f>L73</f>
        <v>0</v>
      </c>
      <c r="M297" s="143">
        <f>M73</f>
        <v>0</v>
      </c>
      <c r="N297" s="143">
        <f>N73</f>
        <v>0</v>
      </c>
      <c r="O297" s="143">
        <f>SUM(J297:N297)</f>
        <v>122895</v>
      </c>
    </row>
    <row r="298" spans="1:15" x14ac:dyDescent="0.25">
      <c r="I298" s="2" t="s">
        <v>99</v>
      </c>
      <c r="J298" s="143">
        <f>J74</f>
        <v>0</v>
      </c>
      <c r="K298" s="143">
        <f>K74</f>
        <v>32698.992074025962</v>
      </c>
      <c r="L298" s="143">
        <f t="shared" ref="L298:N299" si="91">L74</f>
        <v>0</v>
      </c>
      <c r="M298" s="143">
        <f t="shared" si="91"/>
        <v>0</v>
      </c>
      <c r="N298" s="143">
        <f t="shared" si="91"/>
        <v>0</v>
      </c>
      <c r="O298" s="143">
        <f>SUM(J298:N298)</f>
        <v>32698.992074025962</v>
      </c>
    </row>
    <row r="299" spans="1:15" ht="16.5" thickBot="1" x14ac:dyDescent="0.3">
      <c r="I299" s="2" t="s">
        <v>100</v>
      </c>
      <c r="J299" s="143">
        <f>J75</f>
        <v>0</v>
      </c>
      <c r="K299" s="143">
        <f>K75</f>
        <v>8656.4879999999994</v>
      </c>
      <c r="L299" s="143">
        <f t="shared" si="91"/>
        <v>0</v>
      </c>
      <c r="M299" s="143">
        <f t="shared" si="91"/>
        <v>0</v>
      </c>
      <c r="N299" s="143">
        <f t="shared" si="91"/>
        <v>0</v>
      </c>
      <c r="O299" s="143">
        <f>SUM(J299:N299)</f>
        <v>8656.4879999999994</v>
      </c>
    </row>
    <row r="300" spans="1:15" ht="16.5" thickBot="1" x14ac:dyDescent="0.3">
      <c r="G300" s="139" t="s">
        <v>346</v>
      </c>
      <c r="H300" s="140"/>
      <c r="I300" s="141"/>
      <c r="J300" s="142"/>
      <c r="K300" s="142"/>
      <c r="L300" s="142"/>
      <c r="M300" s="142"/>
      <c r="N300" s="142"/>
      <c r="O300" s="142"/>
    </row>
    <row r="301" spans="1:15" x14ac:dyDescent="0.25">
      <c r="I301" s="2" t="s">
        <v>347</v>
      </c>
      <c r="J301" s="143">
        <f>J98+J99+J111+J112+J114+J116+J169+J176</f>
        <v>0</v>
      </c>
      <c r="K301" s="143">
        <f>K134+K180</f>
        <v>76545</v>
      </c>
      <c r="L301" s="143">
        <f>L98+L99+L111+L112+L114+L116+L169+L176</f>
        <v>0</v>
      </c>
      <c r="M301" s="143">
        <f>M98+M99+M111+M112+M114+M116+M169+M176</f>
        <v>0</v>
      </c>
      <c r="N301" s="143">
        <f>N98+N99+N111+N112+N114+N116+N169+N176</f>
        <v>0</v>
      </c>
      <c r="O301" s="143">
        <f t="shared" ref="O301:O306" si="92">SUM(J301:N301)</f>
        <v>76545</v>
      </c>
    </row>
    <row r="302" spans="1:15" x14ac:dyDescent="0.25">
      <c r="I302" s="2" t="s">
        <v>348</v>
      </c>
      <c r="J302" s="143">
        <f>J139+J146+J187+J195</f>
        <v>0</v>
      </c>
      <c r="K302" s="143">
        <f>K153+K201</f>
        <v>39456.137499999997</v>
      </c>
      <c r="L302" s="143">
        <f>L139+L146+L187+L195</f>
        <v>0</v>
      </c>
      <c r="M302" s="143">
        <f>M139+M146+M187+M195</f>
        <v>0</v>
      </c>
      <c r="N302" s="143">
        <f>N139+N146+N187+N195</f>
        <v>0</v>
      </c>
      <c r="O302" s="143">
        <f t="shared" si="92"/>
        <v>39456.137499999997</v>
      </c>
    </row>
    <row r="303" spans="1:15" x14ac:dyDescent="0.25">
      <c r="I303" s="2" t="s">
        <v>349</v>
      </c>
      <c r="J303" s="143">
        <f>J211</f>
        <v>0</v>
      </c>
      <c r="K303" s="143">
        <f>K212+K221</f>
        <v>1575</v>
      </c>
      <c r="L303" s="143">
        <f>L211</f>
        <v>0</v>
      </c>
      <c r="M303" s="143">
        <f>M211</f>
        <v>0</v>
      </c>
      <c r="N303" s="143">
        <f>N211</f>
        <v>0</v>
      </c>
      <c r="O303" s="143">
        <f t="shared" si="92"/>
        <v>1575</v>
      </c>
    </row>
    <row r="304" spans="1:15" x14ac:dyDescent="0.25">
      <c r="I304" s="2" t="s">
        <v>350</v>
      </c>
      <c r="J304" s="143">
        <f>J226</f>
        <v>0</v>
      </c>
      <c r="K304" s="143">
        <f>K233+K245</f>
        <v>47085</v>
      </c>
      <c r="L304" s="143">
        <f>L226</f>
        <v>0</v>
      </c>
      <c r="M304" s="143">
        <f>M226</f>
        <v>0</v>
      </c>
      <c r="N304" s="143">
        <f>N226</f>
        <v>0</v>
      </c>
      <c r="O304" s="143">
        <f t="shared" si="92"/>
        <v>47085</v>
      </c>
    </row>
    <row r="305" spans="7:15" x14ac:dyDescent="0.25">
      <c r="I305" s="2" t="s">
        <v>351</v>
      </c>
      <c r="J305" s="143">
        <f>0</f>
        <v>0</v>
      </c>
      <c r="K305" s="143">
        <f>0</f>
        <v>0</v>
      </c>
      <c r="L305" s="143">
        <f>0</f>
        <v>0</v>
      </c>
      <c r="M305" s="143">
        <f>0</f>
        <v>0</v>
      </c>
      <c r="N305" s="143">
        <f>0</f>
        <v>0</v>
      </c>
      <c r="O305" s="143">
        <f t="shared" si="92"/>
        <v>0</v>
      </c>
    </row>
    <row r="306" spans="7:15" ht="16.5" thickBot="1" x14ac:dyDescent="0.3">
      <c r="I306" s="2" t="s">
        <v>352</v>
      </c>
      <c r="J306" s="143">
        <v>0</v>
      </c>
      <c r="K306" s="143">
        <v>0</v>
      </c>
      <c r="L306" s="143">
        <v>0</v>
      </c>
      <c r="M306" s="143">
        <v>0</v>
      </c>
      <c r="N306" s="143">
        <v>0</v>
      </c>
      <c r="O306" s="143">
        <f t="shared" si="92"/>
        <v>0</v>
      </c>
    </row>
    <row r="307" spans="7:15" ht="16.5" thickBot="1" x14ac:dyDescent="0.3">
      <c r="G307" s="139" t="s">
        <v>353</v>
      </c>
      <c r="H307" s="140"/>
      <c r="I307" s="141"/>
      <c r="J307" s="142">
        <f t="shared" ref="J307:O307" si="93">SUM(J297:J299)-SUM(J301:J306)</f>
        <v>0</v>
      </c>
      <c r="K307" s="142">
        <f t="shared" si="93"/>
        <v>-410.65742597403005</v>
      </c>
      <c r="L307" s="142">
        <f t="shared" si="93"/>
        <v>0</v>
      </c>
      <c r="M307" s="142">
        <f t="shared" si="93"/>
        <v>0</v>
      </c>
      <c r="N307" s="142">
        <f t="shared" si="93"/>
        <v>0</v>
      </c>
      <c r="O307" s="142">
        <f t="shared" si="93"/>
        <v>-410.65742597403005</v>
      </c>
    </row>
    <row r="308" spans="7:15" x14ac:dyDescent="0.25">
      <c r="I308" s="1"/>
    </row>
    <row r="309" spans="7:15" ht="16.5" thickBot="1" x14ac:dyDescent="0.3">
      <c r="I309" s="138"/>
      <c r="J309" s="137" t="s">
        <v>40</v>
      </c>
      <c r="K309" s="137" t="s">
        <v>40</v>
      </c>
      <c r="L309" s="137" t="s">
        <v>40</v>
      </c>
      <c r="M309" s="137" t="s">
        <v>40</v>
      </c>
      <c r="N309" s="137" t="s">
        <v>40</v>
      </c>
      <c r="O309" s="137" t="s">
        <v>40</v>
      </c>
    </row>
    <row r="310" spans="7:15" ht="16.5" thickBot="1" x14ac:dyDescent="0.3">
      <c r="G310" s="133" t="s">
        <v>354</v>
      </c>
      <c r="H310" s="134"/>
      <c r="I310" s="135"/>
      <c r="J310" s="136"/>
      <c r="K310" s="136"/>
      <c r="L310" s="136"/>
      <c r="M310" s="136"/>
      <c r="N310" s="136"/>
      <c r="O310" s="136"/>
    </row>
    <row r="311" spans="7:15" x14ac:dyDescent="0.25">
      <c r="I311" s="2" t="s">
        <v>103</v>
      </c>
      <c r="J311" s="143">
        <f t="shared" ref="J311:N312" si="94">J81</f>
        <v>0</v>
      </c>
      <c r="K311" s="143">
        <f t="shared" si="94"/>
        <v>0</v>
      </c>
      <c r="L311" s="143">
        <f t="shared" si="94"/>
        <v>20448</v>
      </c>
      <c r="M311" s="143">
        <f t="shared" si="94"/>
        <v>0</v>
      </c>
      <c r="N311" s="143">
        <f t="shared" si="94"/>
        <v>0</v>
      </c>
      <c r="O311" s="143">
        <f>SUM(J311:N311)</f>
        <v>20448</v>
      </c>
    </row>
    <row r="312" spans="7:15" ht="16.5" thickBot="1" x14ac:dyDescent="0.3">
      <c r="I312" s="2" t="s">
        <v>104</v>
      </c>
      <c r="J312" s="143">
        <f t="shared" si="94"/>
        <v>0</v>
      </c>
      <c r="K312" s="143">
        <f t="shared" si="94"/>
        <v>0</v>
      </c>
      <c r="L312" s="143">
        <f t="shared" si="94"/>
        <v>48816</v>
      </c>
      <c r="M312" s="143">
        <f t="shared" si="94"/>
        <v>0</v>
      </c>
      <c r="N312" s="143">
        <f t="shared" si="94"/>
        <v>0</v>
      </c>
      <c r="O312" s="143">
        <f>SUM(J312:N312)</f>
        <v>48816</v>
      </c>
    </row>
    <row r="313" spans="7:15" ht="16.5" thickBot="1" x14ac:dyDescent="0.3">
      <c r="G313" s="133" t="s">
        <v>355</v>
      </c>
      <c r="H313" s="134"/>
      <c r="I313" s="135"/>
      <c r="J313" s="136"/>
      <c r="K313" s="136"/>
      <c r="L313" s="136"/>
      <c r="M313" s="136"/>
      <c r="N313" s="136"/>
      <c r="O313" s="136"/>
    </row>
    <row r="314" spans="7:15" x14ac:dyDescent="0.25">
      <c r="I314" s="2" t="s">
        <v>347</v>
      </c>
      <c r="J314" s="143">
        <f>J132</f>
        <v>0</v>
      </c>
      <c r="K314" s="143">
        <f>K132</f>
        <v>0</v>
      </c>
      <c r="L314" s="143">
        <f>L134+L180</f>
        <v>48000</v>
      </c>
      <c r="M314" s="143">
        <f>M132</f>
        <v>0</v>
      </c>
      <c r="N314" s="143">
        <f>N132</f>
        <v>0</v>
      </c>
      <c r="O314" s="143">
        <f t="shared" ref="O314:O319" si="95">SUM(J314:N314)</f>
        <v>48000</v>
      </c>
    </row>
    <row r="315" spans="7:15" x14ac:dyDescent="0.25">
      <c r="I315" s="2" t="s">
        <v>348</v>
      </c>
      <c r="J315" s="143">
        <f>J141+J148</f>
        <v>0</v>
      </c>
      <c r="K315" s="143">
        <f>K141+K148</f>
        <v>0</v>
      </c>
      <c r="L315" s="143">
        <f>L201+L153</f>
        <v>24505</v>
      </c>
      <c r="M315" s="143">
        <f>M141+M148</f>
        <v>0</v>
      </c>
      <c r="N315" s="143">
        <f>N141+N148</f>
        <v>0</v>
      </c>
      <c r="O315" s="143">
        <f t="shared" si="95"/>
        <v>24505</v>
      </c>
    </row>
    <row r="316" spans="7:15" x14ac:dyDescent="0.25">
      <c r="I316" s="2" t="s">
        <v>349</v>
      </c>
      <c r="J316" s="143">
        <f>0</f>
        <v>0</v>
      </c>
      <c r="K316" s="143">
        <f>0</f>
        <v>0</v>
      </c>
      <c r="L316" s="143">
        <f>0</f>
        <v>0</v>
      </c>
      <c r="M316" s="143">
        <f>0</f>
        <v>0</v>
      </c>
      <c r="N316" s="143">
        <f>0</f>
        <v>0</v>
      </c>
      <c r="O316" s="143">
        <f t="shared" si="95"/>
        <v>0</v>
      </c>
    </row>
    <row r="317" spans="7:15" x14ac:dyDescent="0.25">
      <c r="I317" s="2" t="s">
        <v>350</v>
      </c>
      <c r="J317" s="143">
        <f>0</f>
        <v>0</v>
      </c>
      <c r="K317" s="143">
        <f>0</f>
        <v>0</v>
      </c>
      <c r="L317" s="143">
        <f>0</f>
        <v>0</v>
      </c>
      <c r="M317" s="143">
        <f>0</f>
        <v>0</v>
      </c>
      <c r="N317" s="143">
        <f>0</f>
        <v>0</v>
      </c>
      <c r="O317" s="143">
        <f t="shared" si="95"/>
        <v>0</v>
      </c>
    </row>
    <row r="318" spans="7:15" x14ac:dyDescent="0.25">
      <c r="I318" s="2" t="s">
        <v>351</v>
      </c>
      <c r="J318" s="143">
        <f>J255+J256</f>
        <v>0</v>
      </c>
      <c r="K318" s="143">
        <f>K255+K256</f>
        <v>0</v>
      </c>
      <c r="L318" s="143">
        <f>L255+L256</f>
        <v>59688</v>
      </c>
      <c r="M318" s="143">
        <f>M255+M256</f>
        <v>0</v>
      </c>
      <c r="N318" s="143">
        <f>N255+N256</f>
        <v>0</v>
      </c>
      <c r="O318" s="143">
        <f t="shared" si="95"/>
        <v>59688</v>
      </c>
    </row>
    <row r="319" spans="7:15" ht="16.5" thickBot="1" x14ac:dyDescent="0.3">
      <c r="I319" s="2" t="s">
        <v>352</v>
      </c>
      <c r="J319" s="143">
        <v>0</v>
      </c>
      <c r="K319" s="143">
        <v>0</v>
      </c>
      <c r="L319" s="143">
        <v>0</v>
      </c>
      <c r="M319" s="143">
        <v>0</v>
      </c>
      <c r="N319" s="143">
        <v>0</v>
      </c>
      <c r="O319" s="143">
        <f t="shared" si="95"/>
        <v>0</v>
      </c>
    </row>
    <row r="320" spans="7:15" ht="16.5" thickBot="1" x14ac:dyDescent="0.3">
      <c r="G320" s="133" t="s">
        <v>356</v>
      </c>
      <c r="H320" s="134"/>
      <c r="I320" s="135"/>
      <c r="J320" s="136">
        <f t="shared" ref="J320:O320" si="96">SUM(J311:J312)-SUM(J314:J319)</f>
        <v>0</v>
      </c>
      <c r="K320" s="136">
        <f t="shared" si="96"/>
        <v>0</v>
      </c>
      <c r="L320" s="136">
        <f t="shared" si="96"/>
        <v>-62929</v>
      </c>
      <c r="M320" s="136">
        <f t="shared" si="96"/>
        <v>0</v>
      </c>
      <c r="N320" s="136">
        <f t="shared" si="96"/>
        <v>0</v>
      </c>
      <c r="O320" s="136">
        <f t="shared" si="96"/>
        <v>-62929</v>
      </c>
    </row>
  </sheetData>
  <mergeCells count="1">
    <mergeCell ref="G282:I282"/>
  </mergeCells>
  <pageMargins left="0.7" right="0.7" top="0.75" bottom="0.75" header="0.3" footer="0.3"/>
  <pageSetup scale="52" fitToHeight="0" orientation="portrait" r:id="rId1"/>
  <rowBreaks count="3" manualBreakCount="3">
    <brk id="65" min="6" max="15" man="1"/>
    <brk id="133" min="6" max="15" man="1"/>
    <brk id="201" min="6" max="1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12BB-8E5C-42E9-BC3B-F90D88B7AE98}">
  <sheetPr>
    <pageSetUpPr fitToPage="1"/>
  </sheetPr>
  <dimension ref="A1:P320"/>
  <sheetViews>
    <sheetView topLeftCell="F1" zoomScale="75" zoomScaleNormal="75" workbookViewId="0">
      <pane xSplit="4" ySplit="1" topLeftCell="J79" activePane="bottomRight" state="frozen"/>
      <selection activeCell="J39" sqref="J39"/>
      <selection pane="topRight" activeCell="J39" sqref="J39"/>
      <selection pane="bottomLeft" activeCell="J39" sqref="J39"/>
      <selection pane="bottomRight" activeCell="J80" sqref="J80"/>
    </sheetView>
  </sheetViews>
  <sheetFormatPr defaultColWidth="8.7109375" defaultRowHeight="15.75" x14ac:dyDescent="0.25"/>
  <cols>
    <col min="1" max="1" width="46.7109375" style="1" customWidth="1"/>
    <col min="2" max="2" width="24.5703125" style="1" customWidth="1"/>
    <col min="3" max="3" width="31.28515625" style="1" customWidth="1"/>
    <col min="4" max="4" width="41.7109375" style="1" customWidth="1"/>
    <col min="5" max="5" width="57.28515625" style="1" bestFit="1" customWidth="1"/>
    <col min="6" max="8" width="1.7109375" style="1" customWidth="1"/>
    <col min="9" max="9" width="53.85546875" style="11" bestFit="1" customWidth="1"/>
    <col min="10" max="15" width="18.5703125" style="1" customWidth="1"/>
    <col min="16" max="16" width="7.28515625" style="1" customWidth="1"/>
    <col min="17" max="16384" width="8.7109375" style="1"/>
  </cols>
  <sheetData>
    <row r="1" spans="1:16" x14ac:dyDescent="0.25">
      <c r="B1" s="2" t="s">
        <v>0</v>
      </c>
      <c r="C1" s="2"/>
      <c r="G1" s="3"/>
      <c r="I1" s="4" t="s">
        <v>400</v>
      </c>
      <c r="J1" s="4" t="s">
        <v>10</v>
      </c>
      <c r="K1" s="144" t="s">
        <v>44</v>
      </c>
      <c r="L1" s="144" t="s">
        <v>40</v>
      </c>
      <c r="M1" s="144" t="s">
        <v>45</v>
      </c>
      <c r="N1" s="144" t="s">
        <v>46</v>
      </c>
      <c r="O1" s="144" t="s">
        <v>379</v>
      </c>
    </row>
    <row r="2" spans="1:16" x14ac:dyDescent="0.25">
      <c r="B2" s="2" t="s">
        <v>1</v>
      </c>
      <c r="C2" s="2"/>
      <c r="I2" s="5" t="s">
        <v>2</v>
      </c>
      <c r="J2" s="6">
        <f>ROUND(9486*1,0)</f>
        <v>9486</v>
      </c>
      <c r="K2" s="6"/>
      <c r="L2" s="6"/>
      <c r="M2" s="6"/>
      <c r="N2" s="6"/>
      <c r="O2" s="6">
        <f>SUM(J2:N2)</f>
        <v>9486</v>
      </c>
    </row>
    <row r="3" spans="1:16" x14ac:dyDescent="0.25">
      <c r="I3" s="7" t="s">
        <v>3</v>
      </c>
      <c r="J3" s="8">
        <f>J4+J5+J6+J7+J8+J9+J10+J11+J12+J13+J14+J15+J16</f>
        <v>115</v>
      </c>
      <c r="K3" s="8"/>
      <c r="L3" s="8"/>
      <c r="M3" s="8"/>
      <c r="N3" s="8"/>
      <c r="O3" s="8">
        <f t="shared" ref="O3" si="0">O4+O5+O6+O7+O8+O9+O10+O11+O12+O13+O14+O15+O16</f>
        <v>115</v>
      </c>
    </row>
    <row r="4" spans="1:16" x14ac:dyDescent="0.25">
      <c r="A4" s="4" t="s">
        <v>4</v>
      </c>
      <c r="C4" s="4" t="s">
        <v>5</v>
      </c>
      <c r="D4" s="4" t="s">
        <v>6</v>
      </c>
      <c r="E4" s="4" t="s">
        <v>7</v>
      </c>
      <c r="I4" s="9" t="s">
        <v>8</v>
      </c>
      <c r="J4" s="10">
        <v>0</v>
      </c>
      <c r="K4" s="10"/>
      <c r="L4" s="10"/>
      <c r="M4" s="10"/>
      <c r="N4" s="10"/>
      <c r="O4" s="10">
        <f>SUM(J4:N4)</f>
        <v>0</v>
      </c>
    </row>
    <row r="5" spans="1:16" x14ac:dyDescent="0.25">
      <c r="A5" s="11" t="s">
        <v>9</v>
      </c>
      <c r="B5" s="11" t="s">
        <v>10</v>
      </c>
      <c r="C5" s="12" t="e">
        <f>SUMIF('26-27'!$D$68:$D$88,A5,'26-27'!#REF!)</f>
        <v>#REF!</v>
      </c>
      <c r="D5" s="12" t="e">
        <f>SUMIF('26-27'!$D$92:$D$289,A5,'26-27'!#REF!)</f>
        <v>#REF!</v>
      </c>
      <c r="E5" s="13" t="e">
        <f t="shared" ref="E5:E12" si="1">C5-D5</f>
        <v>#REF!</v>
      </c>
      <c r="I5" s="7" t="s">
        <v>11</v>
      </c>
      <c r="J5" s="10">
        <v>0</v>
      </c>
      <c r="K5" s="10"/>
      <c r="L5" s="10"/>
      <c r="M5" s="10"/>
      <c r="N5" s="10"/>
      <c r="O5" s="10">
        <f t="shared" ref="O5:O16" si="2">SUM(J5:N5)</f>
        <v>0</v>
      </c>
    </row>
    <row r="6" spans="1:16" x14ac:dyDescent="0.25">
      <c r="A6" s="11" t="s">
        <v>12</v>
      </c>
      <c r="B6" s="11" t="s">
        <v>13</v>
      </c>
      <c r="C6" s="12" t="e">
        <f>SUMIF('26-27'!$D$68:$D$88,A6,'26-27'!#REF!)</f>
        <v>#REF!</v>
      </c>
      <c r="D6" s="12" t="e">
        <f>SUMIF('26-27'!$D$92:$D$289,A6,'26-27'!#REF!)</f>
        <v>#REF!</v>
      </c>
      <c r="E6" s="13" t="e">
        <f t="shared" si="1"/>
        <v>#REF!</v>
      </c>
      <c r="I6" s="7" t="s">
        <v>14</v>
      </c>
      <c r="J6" s="10">
        <v>0</v>
      </c>
      <c r="K6" s="10"/>
      <c r="L6" s="10"/>
      <c r="M6" s="10"/>
      <c r="N6" s="10"/>
      <c r="O6" s="10">
        <f t="shared" si="2"/>
        <v>0</v>
      </c>
    </row>
    <row r="7" spans="1:16" x14ac:dyDescent="0.25">
      <c r="A7" s="11" t="s">
        <v>15</v>
      </c>
      <c r="B7" s="11" t="s">
        <v>16</v>
      </c>
      <c r="C7" s="12" t="e">
        <f>SUMIF('26-27'!$D$68:$D$88,A7,'26-27'!#REF!)</f>
        <v>#REF!</v>
      </c>
      <c r="D7" s="12" t="e">
        <f>SUMIF('26-27'!$D$92:$D$289,A7,'26-27'!#REF!)</f>
        <v>#REF!</v>
      </c>
      <c r="E7" s="13" t="e">
        <f t="shared" si="1"/>
        <v>#REF!</v>
      </c>
      <c r="I7" s="14" t="s">
        <v>17</v>
      </c>
      <c r="J7" s="10">
        <v>0</v>
      </c>
      <c r="K7" s="10"/>
      <c r="L7" s="10"/>
      <c r="M7" s="10"/>
      <c r="N7" s="10"/>
      <c r="O7" s="10">
        <f t="shared" si="2"/>
        <v>0</v>
      </c>
    </row>
    <row r="8" spans="1:16" x14ac:dyDescent="0.25">
      <c r="A8" s="11" t="s">
        <v>18</v>
      </c>
      <c r="B8" s="11" t="s">
        <v>19</v>
      </c>
      <c r="C8" s="12" t="e">
        <f>SUMIF('26-27'!$D$68:$D$88,A8,'26-27'!#REF!)</f>
        <v>#REF!</v>
      </c>
      <c r="D8" s="12" t="e">
        <f>SUMIF('26-27'!$D$92:$D$289,A8,'26-27'!#REF!)</f>
        <v>#REF!</v>
      </c>
      <c r="E8" s="13" t="e">
        <f t="shared" si="1"/>
        <v>#REF!</v>
      </c>
      <c r="I8" s="14" t="s">
        <v>20</v>
      </c>
      <c r="J8" s="10">
        <v>0</v>
      </c>
      <c r="K8" s="10"/>
      <c r="L8" s="10"/>
      <c r="M8" s="10"/>
      <c r="N8" s="10"/>
      <c r="O8" s="10">
        <f t="shared" si="2"/>
        <v>0</v>
      </c>
    </row>
    <row r="9" spans="1:16" x14ac:dyDescent="0.25">
      <c r="A9" s="11" t="s">
        <v>21</v>
      </c>
      <c r="B9" s="11" t="s">
        <v>22</v>
      </c>
      <c r="C9" s="12" t="e">
        <f>SUMIF('26-27'!$D$68:$D$88,A9,'26-27'!#REF!)</f>
        <v>#REF!</v>
      </c>
      <c r="D9" s="12" t="e">
        <f>SUMIF('26-27'!$D$92:$D$289,A9,'26-27'!#REF!)</f>
        <v>#REF!</v>
      </c>
      <c r="E9" s="13" t="e">
        <f t="shared" si="1"/>
        <v>#REF!</v>
      </c>
      <c r="I9" s="14" t="s">
        <v>23</v>
      </c>
      <c r="J9" s="10">
        <v>0</v>
      </c>
      <c r="K9" s="10"/>
      <c r="L9" s="10"/>
      <c r="M9" s="10"/>
      <c r="N9" s="10"/>
      <c r="O9" s="10">
        <f t="shared" si="2"/>
        <v>0</v>
      </c>
    </row>
    <row r="10" spans="1:16" x14ac:dyDescent="0.25">
      <c r="A10" s="11" t="s">
        <v>24</v>
      </c>
      <c r="B10" s="11" t="s">
        <v>25</v>
      </c>
      <c r="C10" s="12" t="e">
        <f>SUMIF('26-27'!$D$68:$D$88,A10,'26-27'!#REF!)</f>
        <v>#REF!</v>
      </c>
      <c r="D10" s="12" t="e">
        <f>SUMIF('26-27'!$D$92:$D$289,A10,'26-27'!#REF!)</f>
        <v>#REF!</v>
      </c>
      <c r="E10" s="13" t="e">
        <f t="shared" si="1"/>
        <v>#REF!</v>
      </c>
      <c r="I10" s="14" t="s">
        <v>26</v>
      </c>
      <c r="J10" s="15">
        <v>20</v>
      </c>
      <c r="K10" s="15"/>
      <c r="L10" s="15"/>
      <c r="M10" s="15"/>
      <c r="N10" s="15"/>
      <c r="O10" s="10">
        <f t="shared" si="2"/>
        <v>20</v>
      </c>
      <c r="P10" s="157">
        <v>1</v>
      </c>
    </row>
    <row r="11" spans="1:16" x14ac:dyDescent="0.25">
      <c r="A11" s="11" t="s">
        <v>27</v>
      </c>
      <c r="B11" s="11" t="s">
        <v>28</v>
      </c>
      <c r="C11" s="12" t="e">
        <f>SUMIF('26-27'!$D$68:$D$88,A11,'26-27'!#REF!)</f>
        <v>#REF!</v>
      </c>
      <c r="D11" s="12" t="e">
        <f>SUMIF('26-27'!$D$92:$D$289,A11,'26-27'!#REF!)</f>
        <v>#REF!</v>
      </c>
      <c r="E11" s="13" t="e">
        <f t="shared" si="1"/>
        <v>#REF!</v>
      </c>
      <c r="I11" s="14" t="s">
        <v>29</v>
      </c>
      <c r="J11" s="15">
        <v>30</v>
      </c>
      <c r="K11" s="15"/>
      <c r="L11" s="15"/>
      <c r="M11" s="15"/>
      <c r="N11" s="15"/>
      <c r="O11" s="10">
        <f t="shared" si="2"/>
        <v>30</v>
      </c>
      <c r="P11" s="157">
        <v>1</v>
      </c>
    </row>
    <row r="12" spans="1:16" x14ac:dyDescent="0.25">
      <c r="A12" s="11" t="s">
        <v>30</v>
      </c>
      <c r="B12" s="11" t="s">
        <v>31</v>
      </c>
      <c r="C12" s="12" t="e">
        <f>SUMIF('26-27'!$D$68:$D$88,A12,'26-27'!#REF!)</f>
        <v>#REF!</v>
      </c>
      <c r="D12" s="12" t="e">
        <f>SUMIF('26-27'!$D$92:$D$289,A12,'26-27'!#REF!)</f>
        <v>#REF!</v>
      </c>
      <c r="E12" s="13" t="e">
        <f t="shared" si="1"/>
        <v>#REF!</v>
      </c>
      <c r="I12" s="14" t="s">
        <v>32</v>
      </c>
      <c r="J12" s="15">
        <v>20</v>
      </c>
      <c r="K12" s="15"/>
      <c r="L12" s="15"/>
      <c r="M12" s="15"/>
      <c r="N12" s="15"/>
      <c r="O12" s="10">
        <f t="shared" si="2"/>
        <v>20</v>
      </c>
      <c r="P12" s="157">
        <v>1</v>
      </c>
    </row>
    <row r="13" spans="1:16" x14ac:dyDescent="0.25">
      <c r="A13" s="16" t="s">
        <v>33</v>
      </c>
      <c r="B13" s="11" t="s">
        <v>34</v>
      </c>
      <c r="C13" s="12" t="e">
        <f>SUMIF('26-27'!$D$68:$D$88,A13,'26-27'!#REF!)</f>
        <v>#REF!</v>
      </c>
      <c r="D13" s="12" t="e">
        <f>SUMIF('26-27'!$D$92:$D$289,A13,'26-27'!#REF!)</f>
        <v>#REF!</v>
      </c>
      <c r="E13" s="13" t="e">
        <f>C13-D13</f>
        <v>#REF!</v>
      </c>
      <c r="I13" s="14" t="s">
        <v>35</v>
      </c>
      <c r="J13" s="15">
        <v>15</v>
      </c>
      <c r="K13" s="15"/>
      <c r="L13" s="15"/>
      <c r="M13" s="15"/>
      <c r="N13" s="15"/>
      <c r="O13" s="10">
        <f t="shared" si="2"/>
        <v>15</v>
      </c>
      <c r="P13" s="157">
        <v>1</v>
      </c>
    </row>
    <row r="14" spans="1:16" x14ac:dyDescent="0.25">
      <c r="A14" s="11" t="s">
        <v>36</v>
      </c>
      <c r="B14" s="11" t="s">
        <v>37</v>
      </c>
      <c r="C14" s="12" t="e">
        <f>SUMIF('26-27'!$D$68:$D$88,A14,'26-27'!#REF!)</f>
        <v>#REF!</v>
      </c>
      <c r="D14" s="12" t="e">
        <f>SUMIF('26-27'!$D$92:$D$289,A14,'26-27'!#REF!)</f>
        <v>#REF!</v>
      </c>
      <c r="E14" s="13" t="e">
        <f>C14-D14</f>
        <v>#REF!</v>
      </c>
      <c r="I14" s="14" t="s">
        <v>38</v>
      </c>
      <c r="J14" s="15">
        <v>15</v>
      </c>
      <c r="K14" s="15"/>
      <c r="L14" s="15"/>
      <c r="M14" s="15"/>
      <c r="N14" s="15"/>
      <c r="O14" s="10">
        <f t="shared" si="2"/>
        <v>15</v>
      </c>
      <c r="P14" s="157">
        <v>1</v>
      </c>
    </row>
    <row r="15" spans="1:16" x14ac:dyDescent="0.25">
      <c r="A15" s="11" t="s">
        <v>39</v>
      </c>
      <c r="B15" s="11" t="s">
        <v>40</v>
      </c>
      <c r="C15" s="12" t="e">
        <f>SUMIF('26-27'!$D$68:$D$88,A15,'26-27'!#REF!)</f>
        <v>#REF!</v>
      </c>
      <c r="D15" s="12" t="e">
        <f>SUMIF('26-27'!$D$92:$D$289,A15,'26-27'!#REF!)</f>
        <v>#REF!</v>
      </c>
      <c r="E15" s="13" t="e">
        <f>C15-D15</f>
        <v>#REF!</v>
      </c>
      <c r="I15" s="14" t="s">
        <v>41</v>
      </c>
      <c r="J15" s="15">
        <v>15</v>
      </c>
      <c r="K15" s="15"/>
      <c r="L15" s="15"/>
      <c r="M15" s="15"/>
      <c r="N15" s="15"/>
      <c r="O15" s="10">
        <f t="shared" si="2"/>
        <v>15</v>
      </c>
      <c r="P15" s="157">
        <v>1</v>
      </c>
    </row>
    <row r="16" spans="1:16" x14ac:dyDescent="0.25">
      <c r="A16" s="17"/>
      <c r="C16" s="4"/>
      <c r="D16" s="4"/>
      <c r="E16" s="4"/>
      <c r="I16" s="14" t="s">
        <v>42</v>
      </c>
      <c r="J16" s="10">
        <v>0</v>
      </c>
      <c r="K16" s="10"/>
      <c r="L16" s="10"/>
      <c r="M16" s="10"/>
      <c r="N16" s="10"/>
      <c r="O16" s="10">
        <f t="shared" si="2"/>
        <v>0</v>
      </c>
    </row>
    <row r="17" spans="1:16" x14ac:dyDescent="0.25">
      <c r="A17" s="4"/>
      <c r="C17" s="18" t="e">
        <f>SUM(C5:C16)</f>
        <v>#REF!</v>
      </c>
      <c r="D17" s="18" t="e">
        <f>SUM(D5:D16)</f>
        <v>#REF!</v>
      </c>
      <c r="E17" s="18" t="e">
        <f>SUM(E5:E16)</f>
        <v>#REF!</v>
      </c>
      <c r="I17" s="19" t="s">
        <v>3</v>
      </c>
      <c r="J17" s="8">
        <f>SUM(J4:J16)</f>
        <v>115</v>
      </c>
      <c r="K17" s="8">
        <f t="shared" ref="K17:O17" si="3">SUM(K4:K16)</f>
        <v>0</v>
      </c>
      <c r="L17" s="8">
        <f t="shared" si="3"/>
        <v>0</v>
      </c>
      <c r="M17" s="8">
        <f t="shared" si="3"/>
        <v>0</v>
      </c>
      <c r="N17" s="8">
        <f t="shared" si="3"/>
        <v>0</v>
      </c>
      <c r="O17" s="8">
        <f t="shared" si="3"/>
        <v>115</v>
      </c>
      <c r="P17" s="157">
        <f>SUM(P4:P16)</f>
        <v>6</v>
      </c>
    </row>
    <row r="18" spans="1:16" x14ac:dyDescent="0.25">
      <c r="A18" s="11"/>
      <c r="C18" s="20" t="e">
        <f>C17=('26-27'!#REF!+'26-27'!#REF!)</f>
        <v>#REF!</v>
      </c>
      <c r="D18" s="1" t="e">
        <f>D17=('26-27'!#REF!+'26-27'!#REF!)</f>
        <v>#REF!</v>
      </c>
      <c r="E18" s="20" t="e">
        <f>ROUND(E17,2)=ROUND('26-27'!#REF!,2)</f>
        <v>#REF!</v>
      </c>
    </row>
    <row r="20" spans="1:16" x14ac:dyDescent="0.25">
      <c r="I20" s="21" t="s">
        <v>43</v>
      </c>
      <c r="J20" s="22" t="s">
        <v>10</v>
      </c>
      <c r="K20" s="22" t="s">
        <v>44</v>
      </c>
      <c r="L20" s="22" t="s">
        <v>40</v>
      </c>
      <c r="M20" s="22" t="s">
        <v>45</v>
      </c>
      <c r="N20" s="22" t="s">
        <v>46</v>
      </c>
      <c r="O20" s="22" t="s">
        <v>47</v>
      </c>
    </row>
    <row r="21" spans="1:16" x14ac:dyDescent="0.25">
      <c r="I21" s="14" t="s">
        <v>49</v>
      </c>
      <c r="J21" s="10">
        <v>0</v>
      </c>
      <c r="K21" s="10">
        <v>12</v>
      </c>
      <c r="L21" s="10"/>
      <c r="M21" s="10"/>
      <c r="N21" s="10"/>
      <c r="O21" s="10">
        <f>SUM(J21:N21)</f>
        <v>12</v>
      </c>
    </row>
    <row r="22" spans="1:16" x14ac:dyDescent="0.25">
      <c r="I22" s="14" t="s">
        <v>50</v>
      </c>
      <c r="J22" s="10">
        <v>16</v>
      </c>
      <c r="K22" s="10"/>
      <c r="L22" s="10"/>
      <c r="M22" s="10"/>
      <c r="N22" s="10"/>
      <c r="O22" s="10">
        <f t="shared" ref="O22:O25" si="4">SUM(J22:N22)</f>
        <v>16</v>
      </c>
    </row>
    <row r="23" spans="1:16" x14ac:dyDescent="0.25">
      <c r="I23" s="14" t="s">
        <v>51</v>
      </c>
      <c r="J23" s="15">
        <v>0</v>
      </c>
      <c r="K23" s="15"/>
      <c r="L23" s="15"/>
      <c r="M23" s="15"/>
      <c r="N23" s="15"/>
      <c r="O23" s="10">
        <f t="shared" si="4"/>
        <v>0</v>
      </c>
    </row>
    <row r="24" spans="1:16" x14ac:dyDescent="0.25">
      <c r="I24" s="14" t="s">
        <v>52</v>
      </c>
      <c r="J24" s="15">
        <v>3</v>
      </c>
      <c r="K24" s="15"/>
      <c r="L24" s="15"/>
      <c r="M24" s="15"/>
      <c r="N24" s="15"/>
      <c r="O24" s="10">
        <f t="shared" si="4"/>
        <v>3</v>
      </c>
    </row>
    <row r="25" spans="1:16" x14ac:dyDescent="0.25">
      <c r="I25" s="14" t="s">
        <v>53</v>
      </c>
      <c r="J25" s="23"/>
      <c r="K25" s="23"/>
      <c r="L25" s="23">
        <v>1</v>
      </c>
      <c r="M25" s="23"/>
      <c r="N25" s="23"/>
      <c r="O25" s="24">
        <f t="shared" si="4"/>
        <v>1</v>
      </c>
    </row>
    <row r="26" spans="1:16" x14ac:dyDescent="0.25">
      <c r="I26" s="25" t="s">
        <v>54</v>
      </c>
      <c r="J26" s="22" t="str">
        <f>J20</f>
        <v>Operating</v>
      </c>
      <c r="K26" s="22" t="str">
        <f t="shared" ref="K26:O26" si="5">K20</f>
        <v>SPED</v>
      </c>
      <c r="L26" s="22" t="str">
        <f t="shared" si="5"/>
        <v>NSLP</v>
      </c>
      <c r="M26" s="22" t="str">
        <f t="shared" si="5"/>
        <v>Title(s)</v>
      </c>
      <c r="N26" s="22" t="str">
        <f t="shared" si="5"/>
        <v>Other</v>
      </c>
      <c r="O26" s="22" t="str">
        <f t="shared" si="5"/>
        <v>Total</v>
      </c>
    </row>
    <row r="27" spans="1:16" x14ac:dyDescent="0.25">
      <c r="I27" s="26" t="s">
        <v>55</v>
      </c>
      <c r="J27" s="27">
        <v>6</v>
      </c>
      <c r="K27" s="27"/>
      <c r="L27" s="27"/>
      <c r="M27" s="27"/>
      <c r="N27" s="27"/>
      <c r="O27" s="27">
        <f>SUM(J27:N27)</f>
        <v>6</v>
      </c>
    </row>
    <row r="28" spans="1:16" x14ac:dyDescent="0.25">
      <c r="I28" s="26" t="s">
        <v>56</v>
      </c>
      <c r="J28" s="28"/>
      <c r="K28" s="28">
        <v>1</v>
      </c>
      <c r="L28" s="28"/>
      <c r="M28" s="28"/>
      <c r="N28" s="28"/>
      <c r="O28" s="27">
        <f t="shared" ref="O28:O35" si="6">SUM(J28:N28)</f>
        <v>1</v>
      </c>
    </row>
    <row r="29" spans="1:16" x14ac:dyDescent="0.25">
      <c r="I29" s="26" t="s">
        <v>57</v>
      </c>
      <c r="J29" s="27">
        <v>0</v>
      </c>
      <c r="K29" s="27"/>
      <c r="L29" s="27"/>
      <c r="M29" s="27"/>
      <c r="N29" s="27"/>
      <c r="O29" s="27">
        <f t="shared" si="6"/>
        <v>0</v>
      </c>
    </row>
    <row r="30" spans="1:16" x14ac:dyDescent="0.25">
      <c r="I30" s="26" t="s">
        <v>58</v>
      </c>
      <c r="J30" s="27">
        <v>0</v>
      </c>
      <c r="K30" s="27"/>
      <c r="L30" s="27"/>
      <c r="M30" s="27"/>
      <c r="N30" s="27"/>
      <c r="O30" s="27">
        <f t="shared" si="6"/>
        <v>0</v>
      </c>
    </row>
    <row r="31" spans="1:16" x14ac:dyDescent="0.25">
      <c r="I31" s="26" t="s">
        <v>59</v>
      </c>
      <c r="J31" s="27">
        <v>0</v>
      </c>
      <c r="K31" s="27"/>
      <c r="L31" s="27"/>
      <c r="M31" s="27"/>
      <c r="N31" s="27"/>
      <c r="O31" s="27">
        <f t="shared" si="6"/>
        <v>0</v>
      </c>
    </row>
    <row r="32" spans="1:16" x14ac:dyDescent="0.25">
      <c r="I32" s="29" t="s">
        <v>60</v>
      </c>
      <c r="J32" s="27">
        <v>0</v>
      </c>
      <c r="K32" s="27"/>
      <c r="L32" s="27"/>
      <c r="M32" s="27"/>
      <c r="N32" s="27"/>
      <c r="O32" s="27">
        <f t="shared" si="6"/>
        <v>0</v>
      </c>
    </row>
    <row r="33" spans="9:15" x14ac:dyDescent="0.25">
      <c r="I33" s="29" t="s">
        <v>61</v>
      </c>
      <c r="J33" s="27">
        <v>0</v>
      </c>
      <c r="K33" s="27"/>
      <c r="L33" s="27"/>
      <c r="M33" s="27"/>
      <c r="N33" s="27"/>
      <c r="O33" s="27">
        <f t="shared" si="6"/>
        <v>0</v>
      </c>
    </row>
    <row r="34" spans="9:15" x14ac:dyDescent="0.25">
      <c r="I34" s="29" t="s">
        <v>62</v>
      </c>
      <c r="J34" s="27">
        <v>2</v>
      </c>
      <c r="K34" s="27"/>
      <c r="L34" s="27"/>
      <c r="M34" s="27"/>
      <c r="N34" s="27"/>
      <c r="O34" s="27">
        <f t="shared" si="6"/>
        <v>2</v>
      </c>
    </row>
    <row r="35" spans="9:15" x14ac:dyDescent="0.25">
      <c r="I35" s="30" t="s">
        <v>63</v>
      </c>
      <c r="J35" s="27">
        <v>0</v>
      </c>
      <c r="K35" s="27"/>
      <c r="L35" s="27"/>
      <c r="M35" s="27"/>
      <c r="N35" s="27"/>
      <c r="O35" s="27">
        <f t="shared" si="6"/>
        <v>0</v>
      </c>
    </row>
    <row r="36" spans="9:15" x14ac:dyDescent="0.25">
      <c r="I36" s="25" t="s">
        <v>64</v>
      </c>
      <c r="J36" s="31">
        <f t="shared" ref="J36:O36" si="7">SUM(J27:J35)</f>
        <v>8</v>
      </c>
      <c r="K36" s="31">
        <f t="shared" si="7"/>
        <v>1</v>
      </c>
      <c r="L36" s="31">
        <f t="shared" si="7"/>
        <v>0</v>
      </c>
      <c r="M36" s="31">
        <f t="shared" si="7"/>
        <v>0</v>
      </c>
      <c r="N36" s="31">
        <f t="shared" si="7"/>
        <v>0</v>
      </c>
      <c r="O36" s="31">
        <f t="shared" si="7"/>
        <v>9</v>
      </c>
    </row>
    <row r="37" spans="9:15" x14ac:dyDescent="0.25">
      <c r="I37" s="32"/>
      <c r="J37" s="10"/>
      <c r="K37" s="10"/>
      <c r="L37" s="10"/>
      <c r="M37" s="10"/>
      <c r="N37" s="10"/>
      <c r="O37" s="10"/>
    </row>
    <row r="38" spans="9:15" x14ac:dyDescent="0.25">
      <c r="I38" s="25" t="s">
        <v>65</v>
      </c>
      <c r="J38" s="22" t="str">
        <f>J20</f>
        <v>Operating</v>
      </c>
      <c r="K38" s="22" t="str">
        <f t="shared" ref="K38:N38" si="8">K20</f>
        <v>SPED</v>
      </c>
      <c r="L38" s="22" t="str">
        <f t="shared" si="8"/>
        <v>NSLP</v>
      </c>
      <c r="M38" s="22" t="str">
        <f t="shared" si="8"/>
        <v>Title(s)</v>
      </c>
      <c r="N38" s="22" t="str">
        <f t="shared" si="8"/>
        <v>Other</v>
      </c>
      <c r="O38" s="22" t="str">
        <f>O20</f>
        <v>Total</v>
      </c>
    </row>
    <row r="39" spans="9:15" x14ac:dyDescent="0.25">
      <c r="I39" s="29" t="s">
        <v>402</v>
      </c>
      <c r="J39" s="28">
        <v>0</v>
      </c>
      <c r="K39" s="28"/>
      <c r="L39" s="28"/>
      <c r="M39" s="28"/>
      <c r="N39" s="28"/>
      <c r="O39" s="27">
        <f>SUM(J39:N39)</f>
        <v>0</v>
      </c>
    </row>
    <row r="40" spans="9:15" x14ac:dyDescent="0.25">
      <c r="I40" s="29" t="s">
        <v>66</v>
      </c>
      <c r="J40" s="28">
        <v>1</v>
      </c>
      <c r="K40" s="28"/>
      <c r="L40" s="28"/>
      <c r="M40" s="28"/>
      <c r="N40" s="28"/>
      <c r="O40" s="27">
        <f t="shared" ref="O40:O60" si="9">SUM(J40:N40)</f>
        <v>1</v>
      </c>
    </row>
    <row r="41" spans="9:15" x14ac:dyDescent="0.25">
      <c r="I41" s="33" t="s">
        <v>67</v>
      </c>
      <c r="J41" s="28"/>
      <c r="K41" s="28"/>
      <c r="L41" s="28"/>
      <c r="M41" s="28">
        <v>0</v>
      </c>
      <c r="N41" s="28"/>
      <c r="O41" s="27">
        <f t="shared" si="9"/>
        <v>0</v>
      </c>
    </row>
    <row r="42" spans="9:15" x14ac:dyDescent="0.25">
      <c r="I42" s="29" t="s">
        <v>68</v>
      </c>
      <c r="J42" s="28">
        <v>0</v>
      </c>
      <c r="K42" s="28"/>
      <c r="L42" s="28"/>
      <c r="M42" s="28"/>
      <c r="N42" s="28"/>
      <c r="O42" s="27">
        <f t="shared" si="9"/>
        <v>0</v>
      </c>
    </row>
    <row r="43" spans="9:15" x14ac:dyDescent="0.25">
      <c r="I43" s="29" t="s">
        <v>69</v>
      </c>
      <c r="J43" s="28">
        <v>0</v>
      </c>
      <c r="K43" s="28"/>
      <c r="L43" s="28"/>
      <c r="M43" s="28"/>
      <c r="N43" s="28"/>
      <c r="O43" s="27">
        <f t="shared" si="9"/>
        <v>0</v>
      </c>
    </row>
    <row r="44" spans="9:15" x14ac:dyDescent="0.25">
      <c r="I44" s="29" t="s">
        <v>70</v>
      </c>
      <c r="J44" s="28">
        <v>1</v>
      </c>
      <c r="K44" s="28"/>
      <c r="L44" s="28"/>
      <c r="M44" s="28"/>
      <c r="N44" s="28"/>
      <c r="O44" s="27">
        <f t="shared" si="9"/>
        <v>1</v>
      </c>
    </row>
    <row r="45" spans="9:15" x14ac:dyDescent="0.25">
      <c r="I45" s="29" t="s">
        <v>71</v>
      </c>
      <c r="J45" s="28">
        <v>0</v>
      </c>
      <c r="K45" s="28"/>
      <c r="L45" s="28"/>
      <c r="M45" s="28"/>
      <c r="N45" s="28"/>
      <c r="O45" s="27">
        <f t="shared" si="9"/>
        <v>0</v>
      </c>
    </row>
    <row r="46" spans="9:15" x14ac:dyDescent="0.25">
      <c r="I46" s="29" t="s">
        <v>72</v>
      </c>
      <c r="J46" s="28">
        <v>1</v>
      </c>
      <c r="K46" s="28"/>
      <c r="L46" s="28"/>
      <c r="M46" s="28"/>
      <c r="N46" s="28"/>
      <c r="O46" s="27">
        <f t="shared" si="9"/>
        <v>1</v>
      </c>
    </row>
    <row r="47" spans="9:15" x14ac:dyDescent="0.25">
      <c r="I47" s="29" t="s">
        <v>73</v>
      </c>
      <c r="J47" s="28">
        <v>0</v>
      </c>
      <c r="K47" s="28"/>
      <c r="L47" s="28"/>
      <c r="M47" s="28"/>
      <c r="N47" s="28"/>
      <c r="O47" s="27">
        <f t="shared" si="9"/>
        <v>0</v>
      </c>
    </row>
    <row r="48" spans="9:15" x14ac:dyDescent="0.25">
      <c r="I48" s="29" t="s">
        <v>74</v>
      </c>
      <c r="J48" s="28">
        <v>0</v>
      </c>
      <c r="K48" s="28"/>
      <c r="L48" s="28"/>
      <c r="M48" s="28"/>
      <c r="N48" s="28"/>
      <c r="O48" s="27">
        <f t="shared" si="9"/>
        <v>0</v>
      </c>
    </row>
    <row r="49" spans="9:15" x14ac:dyDescent="0.25">
      <c r="I49" s="29" t="s">
        <v>75</v>
      </c>
      <c r="J49" s="28">
        <v>0</v>
      </c>
      <c r="K49" s="28"/>
      <c r="L49" s="28"/>
      <c r="M49" s="28"/>
      <c r="N49" s="28"/>
      <c r="O49" s="27">
        <f t="shared" si="9"/>
        <v>0</v>
      </c>
    </row>
    <row r="50" spans="9:15" x14ac:dyDescent="0.25">
      <c r="I50" s="29" t="s">
        <v>76</v>
      </c>
      <c r="J50" s="28">
        <v>0</v>
      </c>
      <c r="K50" s="28"/>
      <c r="L50" s="28"/>
      <c r="M50" s="28">
        <v>1</v>
      </c>
      <c r="N50" s="28"/>
      <c r="O50" s="27">
        <f t="shared" si="9"/>
        <v>1</v>
      </c>
    </row>
    <row r="51" spans="9:15" x14ac:dyDescent="0.25">
      <c r="I51" s="29" t="s">
        <v>77</v>
      </c>
      <c r="J51" s="28">
        <v>0</v>
      </c>
      <c r="K51" s="28"/>
      <c r="L51" s="28"/>
      <c r="M51" s="28"/>
      <c r="N51" s="28"/>
      <c r="O51" s="27">
        <f t="shared" si="9"/>
        <v>0</v>
      </c>
    </row>
    <row r="52" spans="9:15" x14ac:dyDescent="0.25">
      <c r="I52" s="29" t="s">
        <v>78</v>
      </c>
      <c r="J52" s="28"/>
      <c r="K52" s="28"/>
      <c r="L52" s="28">
        <v>1</v>
      </c>
      <c r="M52" s="28"/>
      <c r="N52" s="28"/>
      <c r="O52" s="27">
        <f t="shared" si="9"/>
        <v>1</v>
      </c>
    </row>
    <row r="53" spans="9:15" x14ac:dyDescent="0.25">
      <c r="I53" s="29" t="s">
        <v>79</v>
      </c>
      <c r="J53" s="28">
        <v>0</v>
      </c>
      <c r="K53" s="28"/>
      <c r="L53" s="28"/>
      <c r="M53" s="28"/>
      <c r="N53" s="28"/>
      <c r="O53" s="27">
        <f t="shared" si="9"/>
        <v>0</v>
      </c>
    </row>
    <row r="54" spans="9:15" x14ac:dyDescent="0.25">
      <c r="I54" s="33" t="s">
        <v>80</v>
      </c>
      <c r="J54" s="28">
        <v>0</v>
      </c>
      <c r="K54" s="28"/>
      <c r="L54" s="28"/>
      <c r="M54" s="28"/>
      <c r="N54" s="28"/>
      <c r="O54" s="27">
        <f t="shared" si="9"/>
        <v>0</v>
      </c>
    </row>
    <row r="55" spans="9:15" x14ac:dyDescent="0.25">
      <c r="I55" s="33" t="s">
        <v>81</v>
      </c>
      <c r="J55" s="28">
        <v>0</v>
      </c>
      <c r="K55" s="28"/>
      <c r="L55" s="28"/>
      <c r="M55" s="28"/>
      <c r="N55" s="28"/>
      <c r="O55" s="27">
        <f t="shared" si="9"/>
        <v>0</v>
      </c>
    </row>
    <row r="56" spans="9:15" x14ac:dyDescent="0.25">
      <c r="I56" s="33" t="s">
        <v>82</v>
      </c>
      <c r="J56" s="28">
        <v>0</v>
      </c>
      <c r="K56" s="28"/>
      <c r="L56" s="28"/>
      <c r="M56" s="28"/>
      <c r="N56" s="28"/>
      <c r="O56" s="27">
        <f t="shared" si="9"/>
        <v>0</v>
      </c>
    </row>
    <row r="57" spans="9:15" x14ac:dyDescent="0.25">
      <c r="I57" s="33" t="s">
        <v>83</v>
      </c>
      <c r="J57" s="28">
        <v>0</v>
      </c>
      <c r="K57" s="28"/>
      <c r="L57" s="28"/>
      <c r="M57" s="28"/>
      <c r="N57" s="28"/>
      <c r="O57" s="27">
        <f t="shared" si="9"/>
        <v>0</v>
      </c>
    </row>
    <row r="58" spans="9:15" x14ac:dyDescent="0.25">
      <c r="I58" s="33" t="s">
        <v>84</v>
      </c>
      <c r="J58" s="28">
        <v>0</v>
      </c>
      <c r="K58" s="28"/>
      <c r="L58" s="28"/>
      <c r="M58" s="28"/>
      <c r="N58" s="28"/>
      <c r="O58" s="27">
        <f t="shared" si="9"/>
        <v>0</v>
      </c>
    </row>
    <row r="59" spans="9:15" x14ac:dyDescent="0.25">
      <c r="I59" s="33" t="s">
        <v>85</v>
      </c>
      <c r="J59" s="28">
        <v>0</v>
      </c>
      <c r="K59" s="28"/>
      <c r="L59" s="28"/>
      <c r="M59" s="28"/>
      <c r="N59" s="28"/>
      <c r="O59" s="27">
        <f t="shared" si="9"/>
        <v>0</v>
      </c>
    </row>
    <row r="60" spans="9:15" x14ac:dyDescent="0.25">
      <c r="I60" s="29" t="s">
        <v>86</v>
      </c>
      <c r="J60" s="27">
        <v>0</v>
      </c>
      <c r="K60" s="27"/>
      <c r="L60" s="27"/>
      <c r="M60" s="27"/>
      <c r="N60" s="27"/>
      <c r="O60" s="27">
        <f t="shared" si="9"/>
        <v>0</v>
      </c>
    </row>
    <row r="61" spans="9:15" x14ac:dyDescent="0.25">
      <c r="I61" s="25" t="s">
        <v>87</v>
      </c>
      <c r="J61" s="31">
        <f t="shared" ref="J61:O61" si="10">SUM(J39:J60)</f>
        <v>3</v>
      </c>
      <c r="K61" s="31">
        <f t="shared" si="10"/>
        <v>0</v>
      </c>
      <c r="L61" s="31">
        <f t="shared" si="10"/>
        <v>1</v>
      </c>
      <c r="M61" s="31">
        <f t="shared" si="10"/>
        <v>1</v>
      </c>
      <c r="N61" s="31">
        <f t="shared" si="10"/>
        <v>0</v>
      </c>
      <c r="O61" s="31">
        <f t="shared" si="10"/>
        <v>5</v>
      </c>
    </row>
    <row r="62" spans="9:15" ht="16.5" thickBot="1" x14ac:dyDescent="0.3">
      <c r="I62" s="34"/>
      <c r="J62" s="35"/>
      <c r="K62" s="35"/>
      <c r="L62" s="35"/>
      <c r="M62" s="35"/>
      <c r="N62" s="35"/>
      <c r="O62" s="35"/>
    </row>
    <row r="63" spans="9:15" x14ac:dyDescent="0.25">
      <c r="I63" s="36" t="s">
        <v>88</v>
      </c>
      <c r="J63" s="37">
        <f t="shared" ref="J63:O63" si="11">J36</f>
        <v>8</v>
      </c>
      <c r="K63" s="37">
        <f t="shared" si="11"/>
        <v>1</v>
      </c>
      <c r="L63" s="37">
        <f t="shared" si="11"/>
        <v>0</v>
      </c>
      <c r="M63" s="37">
        <f t="shared" si="11"/>
        <v>0</v>
      </c>
      <c r="N63" s="37">
        <f t="shared" si="11"/>
        <v>0</v>
      </c>
      <c r="O63" s="37">
        <f t="shared" si="11"/>
        <v>9</v>
      </c>
    </row>
    <row r="64" spans="9:15" x14ac:dyDescent="0.25">
      <c r="I64" s="38" t="s">
        <v>89</v>
      </c>
      <c r="J64" s="39">
        <f t="shared" ref="J64:O64" si="12">J61</f>
        <v>3</v>
      </c>
      <c r="K64" s="39">
        <f t="shared" si="12"/>
        <v>0</v>
      </c>
      <c r="L64" s="39">
        <f t="shared" si="12"/>
        <v>1</v>
      </c>
      <c r="M64" s="39">
        <f t="shared" si="12"/>
        <v>1</v>
      </c>
      <c r="N64" s="39">
        <f t="shared" si="12"/>
        <v>0</v>
      </c>
      <c r="O64" s="39">
        <f t="shared" si="12"/>
        <v>5</v>
      </c>
    </row>
    <row r="65" spans="1:15" ht="16.5" thickBot="1" x14ac:dyDescent="0.3">
      <c r="I65" s="40" t="s">
        <v>90</v>
      </c>
      <c r="J65" s="41">
        <f t="shared" ref="J65:O65" si="13">SUM(J63:J64)</f>
        <v>11</v>
      </c>
      <c r="K65" s="41">
        <f t="shared" si="13"/>
        <v>1</v>
      </c>
      <c r="L65" s="41">
        <f t="shared" si="13"/>
        <v>1</v>
      </c>
      <c r="M65" s="41">
        <f t="shared" si="13"/>
        <v>1</v>
      </c>
      <c r="N65" s="41">
        <f t="shared" si="13"/>
        <v>0</v>
      </c>
      <c r="O65" s="41">
        <f t="shared" si="13"/>
        <v>14</v>
      </c>
    </row>
    <row r="66" spans="1:15" ht="16.5" thickBot="1" x14ac:dyDescent="0.3"/>
    <row r="67" spans="1:15" ht="16.5" thickBot="1" x14ac:dyDescent="0.3">
      <c r="A67" s="42" t="s">
        <v>5</v>
      </c>
      <c r="B67" s="42" t="s">
        <v>91</v>
      </c>
      <c r="C67" s="42" t="s">
        <v>92</v>
      </c>
      <c r="D67" s="42" t="s">
        <v>4</v>
      </c>
      <c r="E67" s="42" t="s">
        <v>93</v>
      </c>
      <c r="G67" s="43" t="s">
        <v>94</v>
      </c>
      <c r="H67" s="43"/>
      <c r="I67" s="44"/>
      <c r="J67" s="45" t="str">
        <f>J20</f>
        <v>Operating</v>
      </c>
      <c r="K67" s="45" t="str">
        <f t="shared" ref="K67:O67" si="14">K20</f>
        <v>SPED</v>
      </c>
      <c r="L67" s="45" t="str">
        <f t="shared" si="14"/>
        <v>NSLP</v>
      </c>
      <c r="M67" s="45" t="str">
        <f t="shared" si="14"/>
        <v>Title(s)</v>
      </c>
      <c r="N67" s="45" t="str">
        <f t="shared" si="14"/>
        <v>Other</v>
      </c>
      <c r="O67" s="45" t="str">
        <f t="shared" si="14"/>
        <v>Total</v>
      </c>
    </row>
    <row r="68" spans="1:15" x14ac:dyDescent="0.25">
      <c r="A68" s="46">
        <v>40010</v>
      </c>
      <c r="B68" s="47" t="s">
        <v>95</v>
      </c>
      <c r="C68" s="48">
        <f t="shared" ref="C68:C82" si="15">$C$1</f>
        <v>0</v>
      </c>
      <c r="D68" s="49" t="s">
        <v>9</v>
      </c>
      <c r="E68" s="47" t="s">
        <v>96</v>
      </c>
      <c r="I68" s="49" t="s">
        <v>97</v>
      </c>
      <c r="J68" s="50">
        <f>J17*J2</f>
        <v>1090890</v>
      </c>
      <c r="K68" s="50"/>
      <c r="L68" s="50"/>
      <c r="M68" s="50"/>
      <c r="N68" s="50"/>
      <c r="O68" s="50">
        <f>SUM(J68:N68)</f>
        <v>1090890</v>
      </c>
    </row>
    <row r="69" spans="1:15" x14ac:dyDescent="0.25">
      <c r="A69" s="51">
        <v>40012</v>
      </c>
      <c r="B69" s="47" t="s">
        <v>95</v>
      </c>
      <c r="C69" s="48">
        <f t="shared" si="15"/>
        <v>0</v>
      </c>
      <c r="D69" s="52" t="s">
        <v>12</v>
      </c>
      <c r="E69" s="47" t="s">
        <v>96</v>
      </c>
      <c r="I69" s="52" t="s">
        <v>13</v>
      </c>
      <c r="J69" s="53">
        <f>J22*(0.45*J2)</f>
        <v>68299.199999999997</v>
      </c>
      <c r="K69" s="53"/>
      <c r="L69" s="53"/>
      <c r="M69" s="53"/>
      <c r="N69" s="53"/>
      <c r="O69" s="50">
        <f t="shared" ref="O69:O82" si="16">SUM(J69:N69)</f>
        <v>68299.199999999997</v>
      </c>
    </row>
    <row r="70" spans="1:15" x14ac:dyDescent="0.25">
      <c r="A70" s="51">
        <v>40014</v>
      </c>
      <c r="B70" s="47" t="s">
        <v>95</v>
      </c>
      <c r="C70" s="48">
        <f t="shared" si="15"/>
        <v>0</v>
      </c>
      <c r="D70" s="52" t="s">
        <v>15</v>
      </c>
      <c r="E70" s="47" t="s">
        <v>96</v>
      </c>
      <c r="I70" s="52" t="s">
        <v>16</v>
      </c>
      <c r="J70" s="53">
        <f>J23*(0.12*J2)</f>
        <v>0</v>
      </c>
      <c r="K70" s="53"/>
      <c r="L70" s="53"/>
      <c r="M70" s="53"/>
      <c r="N70" s="53"/>
      <c r="O70" s="50">
        <f t="shared" si="16"/>
        <v>0</v>
      </c>
    </row>
    <row r="71" spans="1:15" x14ac:dyDescent="0.25">
      <c r="A71" s="51">
        <v>40013</v>
      </c>
      <c r="B71" s="47" t="s">
        <v>95</v>
      </c>
      <c r="C71" s="48">
        <f t="shared" si="15"/>
        <v>0</v>
      </c>
      <c r="D71" s="52" t="s">
        <v>18</v>
      </c>
      <c r="E71" s="47" t="s">
        <v>96</v>
      </c>
      <c r="I71" s="52" t="s">
        <v>19</v>
      </c>
      <c r="J71" s="53">
        <f>J24*(0.35*J2)</f>
        <v>9960.2999999999993</v>
      </c>
      <c r="K71" s="53"/>
      <c r="L71" s="53"/>
      <c r="M71" s="53"/>
      <c r="N71" s="53"/>
      <c r="O71" s="50">
        <f t="shared" si="16"/>
        <v>9960.2999999999993</v>
      </c>
    </row>
    <row r="72" spans="1:15" x14ac:dyDescent="0.25">
      <c r="A72" s="51">
        <v>40015</v>
      </c>
      <c r="B72" s="47" t="s">
        <v>95</v>
      </c>
      <c r="C72" s="48">
        <f t="shared" si="15"/>
        <v>0</v>
      </c>
      <c r="D72" s="52" t="s">
        <v>21</v>
      </c>
      <c r="E72" s="47" t="s">
        <v>96</v>
      </c>
      <c r="I72" s="52" t="s">
        <v>22</v>
      </c>
      <c r="J72" s="53">
        <v>49722.3</v>
      </c>
      <c r="K72" s="53"/>
      <c r="L72" s="53"/>
      <c r="M72" s="53"/>
      <c r="N72" s="53"/>
      <c r="O72" s="50">
        <f t="shared" si="16"/>
        <v>49722.3</v>
      </c>
    </row>
    <row r="73" spans="1:15" x14ac:dyDescent="0.25">
      <c r="A73" s="51">
        <v>40011</v>
      </c>
      <c r="B73" s="47" t="s">
        <v>95</v>
      </c>
      <c r="C73" s="48">
        <f t="shared" si="15"/>
        <v>0</v>
      </c>
      <c r="D73" s="54" t="s">
        <v>27</v>
      </c>
      <c r="E73" s="47" t="s">
        <v>96</v>
      </c>
      <c r="I73" s="52" t="s">
        <v>98</v>
      </c>
      <c r="J73" s="53"/>
      <c r="K73" s="53">
        <v>122895</v>
      </c>
      <c r="L73" s="53"/>
      <c r="M73" s="53"/>
      <c r="N73" s="53"/>
      <c r="O73" s="50">
        <f t="shared" si="16"/>
        <v>122895</v>
      </c>
    </row>
    <row r="74" spans="1:15" x14ac:dyDescent="0.25">
      <c r="A74" s="51">
        <v>40020</v>
      </c>
      <c r="B74" s="47" t="s">
        <v>95</v>
      </c>
      <c r="C74" s="48">
        <f t="shared" si="15"/>
        <v>0</v>
      </c>
      <c r="D74" s="52" t="s">
        <v>27</v>
      </c>
      <c r="E74" s="47" t="s">
        <v>96</v>
      </c>
      <c r="I74" s="52" t="s">
        <v>99</v>
      </c>
      <c r="J74" s="55"/>
      <c r="K74" s="55">
        <f>3633.22134155844*K21</f>
        <v>43598.656098701278</v>
      </c>
      <c r="L74" s="55"/>
      <c r="M74" s="55"/>
      <c r="N74" s="55"/>
      <c r="O74" s="50">
        <f t="shared" si="16"/>
        <v>43598.656098701278</v>
      </c>
    </row>
    <row r="75" spans="1:15" x14ac:dyDescent="0.25">
      <c r="A75" s="51">
        <v>42010</v>
      </c>
      <c r="B75" s="47" t="s">
        <v>95</v>
      </c>
      <c r="C75" s="48">
        <f t="shared" si="15"/>
        <v>0</v>
      </c>
      <c r="D75" s="52" t="s">
        <v>36</v>
      </c>
      <c r="E75" s="47" t="s">
        <v>96</v>
      </c>
      <c r="I75" s="52" t="s">
        <v>100</v>
      </c>
      <c r="J75" s="55"/>
      <c r="K75" s="55">
        <f>961.832*K21</f>
        <v>11541.984</v>
      </c>
      <c r="L75" s="55"/>
      <c r="M75" s="55"/>
      <c r="N75" s="55"/>
      <c r="O75" s="50">
        <f t="shared" si="16"/>
        <v>11541.984</v>
      </c>
    </row>
    <row r="76" spans="1:15" x14ac:dyDescent="0.25">
      <c r="A76" s="51">
        <v>70200</v>
      </c>
      <c r="B76" s="47" t="s">
        <v>95</v>
      </c>
      <c r="C76" s="48">
        <f t="shared" si="15"/>
        <v>0</v>
      </c>
      <c r="D76" s="49" t="s">
        <v>9</v>
      </c>
      <c r="E76" s="47" t="s">
        <v>96</v>
      </c>
      <c r="I76" s="52" t="s">
        <v>101</v>
      </c>
      <c r="J76" s="55">
        <v>0</v>
      </c>
      <c r="K76" s="55"/>
      <c r="L76" s="55"/>
      <c r="M76" s="55"/>
      <c r="N76" s="55"/>
      <c r="O76" s="50">
        <f t="shared" si="16"/>
        <v>0</v>
      </c>
    </row>
    <row r="77" spans="1:15" x14ac:dyDescent="0.25">
      <c r="A77" s="51">
        <v>40020</v>
      </c>
      <c r="B77" s="47" t="s">
        <v>95</v>
      </c>
      <c r="C77" s="48">
        <f t="shared" si="15"/>
        <v>0</v>
      </c>
      <c r="D77" s="52" t="s">
        <v>24</v>
      </c>
      <c r="E77" s="47" t="s">
        <v>96</v>
      </c>
      <c r="I77" s="52" t="s">
        <v>25</v>
      </c>
      <c r="J77" s="55"/>
      <c r="K77" s="55"/>
      <c r="L77" s="55"/>
      <c r="M77" s="55"/>
      <c r="N77" s="55"/>
      <c r="O77" s="50">
        <f t="shared" si="16"/>
        <v>0</v>
      </c>
    </row>
    <row r="78" spans="1:15" x14ac:dyDescent="0.25">
      <c r="A78" s="51">
        <v>42010</v>
      </c>
      <c r="B78" s="47" t="s">
        <v>95</v>
      </c>
      <c r="C78" s="48">
        <f t="shared" si="15"/>
        <v>0</v>
      </c>
      <c r="D78" s="52" t="s">
        <v>36</v>
      </c>
      <c r="E78" s="47" t="s">
        <v>96</v>
      </c>
      <c r="I78" s="52" t="s">
        <v>37</v>
      </c>
      <c r="J78" s="55"/>
      <c r="K78" s="55"/>
      <c r="L78" s="55"/>
      <c r="M78" s="55">
        <f>37760+2596.59+1446+3353+2331+44733</f>
        <v>92219.59</v>
      </c>
      <c r="N78" s="55"/>
      <c r="O78" s="50">
        <f t="shared" si="16"/>
        <v>92219.59</v>
      </c>
    </row>
    <row r="79" spans="1:15" x14ac:dyDescent="0.25">
      <c r="A79" s="51">
        <v>44000</v>
      </c>
      <c r="B79" s="47" t="s">
        <v>95</v>
      </c>
      <c r="C79" s="48">
        <f t="shared" si="15"/>
        <v>0</v>
      </c>
      <c r="D79" s="52" t="s">
        <v>30</v>
      </c>
      <c r="E79" s="47" t="s">
        <v>96</v>
      </c>
      <c r="I79" s="52" t="s">
        <v>31</v>
      </c>
      <c r="J79" s="55">
        <v>491021</v>
      </c>
      <c r="K79" s="55"/>
      <c r="L79" s="55"/>
      <c r="M79" s="55"/>
      <c r="N79" s="55"/>
      <c r="O79" s="50">
        <f t="shared" si="16"/>
        <v>491021</v>
      </c>
    </row>
    <row r="80" spans="1:15" x14ac:dyDescent="0.25">
      <c r="A80" s="51">
        <v>43040</v>
      </c>
      <c r="B80" s="47" t="s">
        <v>95</v>
      </c>
      <c r="C80" s="48">
        <f t="shared" si="15"/>
        <v>0</v>
      </c>
      <c r="D80" s="52" t="s">
        <v>33</v>
      </c>
      <c r="E80" s="47" t="s">
        <v>96</v>
      </c>
      <c r="I80" s="52" t="s">
        <v>102</v>
      </c>
      <c r="J80" s="55">
        <v>0</v>
      </c>
      <c r="K80" s="55"/>
      <c r="L80" s="55"/>
      <c r="M80" s="55"/>
      <c r="N80" s="55"/>
      <c r="O80" s="50">
        <f t="shared" si="16"/>
        <v>0</v>
      </c>
    </row>
    <row r="81" spans="1:15" x14ac:dyDescent="0.25">
      <c r="A81" s="51">
        <v>43020</v>
      </c>
      <c r="B81" s="47" t="s">
        <v>95</v>
      </c>
      <c r="C81" s="48">
        <f t="shared" si="15"/>
        <v>0</v>
      </c>
      <c r="D81" s="52" t="s">
        <v>39</v>
      </c>
      <c r="E81" s="47" t="s">
        <v>96</v>
      </c>
      <c r="I81" s="52" t="s">
        <v>103</v>
      </c>
      <c r="J81" s="55"/>
      <c r="K81" s="55"/>
      <c r="L81" s="55">
        <f>(40*2.84*180)*1.015</f>
        <v>20754.719999999998</v>
      </c>
      <c r="M81" s="55"/>
      <c r="N81" s="55"/>
      <c r="O81" s="50">
        <f t="shared" si="16"/>
        <v>20754.719999999998</v>
      </c>
    </row>
    <row r="82" spans="1:15" x14ac:dyDescent="0.25">
      <c r="A82" s="56">
        <v>43020</v>
      </c>
      <c r="B82" s="47" t="s">
        <v>95</v>
      </c>
      <c r="C82" s="48">
        <f t="shared" si="15"/>
        <v>0</v>
      </c>
      <c r="D82" s="57" t="s">
        <v>39</v>
      </c>
      <c r="E82" s="47" t="s">
        <v>96</v>
      </c>
      <c r="I82" s="57" t="s">
        <v>104</v>
      </c>
      <c r="J82" s="58"/>
      <c r="K82" s="58"/>
      <c r="L82" s="58">
        <f>(60*4.52*180)*1.015</f>
        <v>49548.24</v>
      </c>
      <c r="M82" s="58"/>
      <c r="N82" s="58"/>
      <c r="O82" s="50">
        <f t="shared" si="16"/>
        <v>49548.24</v>
      </c>
    </row>
    <row r="83" spans="1:15" x14ac:dyDescent="0.25">
      <c r="A83" s="59"/>
      <c r="B83" s="60"/>
      <c r="C83" s="60"/>
      <c r="D83" s="60"/>
      <c r="E83" s="60"/>
      <c r="H83" s="61" t="s">
        <v>105</v>
      </c>
      <c r="I83" s="62"/>
      <c r="J83" s="63">
        <f t="shared" ref="J83:O83" si="17">SUM(J68:J82)</f>
        <v>1709892.8</v>
      </c>
      <c r="K83" s="63">
        <f t="shared" si="17"/>
        <v>178035.64009870129</v>
      </c>
      <c r="L83" s="63">
        <f t="shared" si="17"/>
        <v>70302.959999999992</v>
      </c>
      <c r="M83" s="63">
        <f t="shared" si="17"/>
        <v>92219.59</v>
      </c>
      <c r="N83" s="63">
        <f t="shared" si="17"/>
        <v>0</v>
      </c>
      <c r="O83" s="63">
        <f t="shared" si="17"/>
        <v>2050450.9900987013</v>
      </c>
    </row>
    <row r="85" spans="1:15" x14ac:dyDescent="0.25">
      <c r="A85" s="59"/>
      <c r="B85" s="60"/>
      <c r="C85" s="60"/>
      <c r="D85" s="60"/>
      <c r="E85" s="60"/>
      <c r="G85" s="61" t="s">
        <v>106</v>
      </c>
      <c r="H85" s="64"/>
      <c r="I85" s="65"/>
      <c r="J85" s="66" t="str">
        <f>J20</f>
        <v>Operating</v>
      </c>
      <c r="K85" s="66" t="str">
        <f t="shared" ref="K85:O85" si="18">K20</f>
        <v>SPED</v>
      </c>
      <c r="L85" s="66" t="str">
        <f t="shared" si="18"/>
        <v>NSLP</v>
      </c>
      <c r="M85" s="66" t="str">
        <f t="shared" si="18"/>
        <v>Title(s)</v>
      </c>
      <c r="N85" s="66" t="str">
        <f t="shared" si="18"/>
        <v>Other</v>
      </c>
      <c r="O85" s="66" t="str">
        <f t="shared" si="18"/>
        <v>Total</v>
      </c>
    </row>
    <row r="86" spans="1:15" x14ac:dyDescent="0.25">
      <c r="A86" s="67">
        <v>45000</v>
      </c>
      <c r="B86" s="47" t="s">
        <v>95</v>
      </c>
      <c r="C86" s="48">
        <f>$C$1</f>
        <v>0</v>
      </c>
      <c r="D86" s="49" t="s">
        <v>9</v>
      </c>
      <c r="E86" s="47" t="s">
        <v>96</v>
      </c>
      <c r="I86" s="49" t="s">
        <v>107</v>
      </c>
      <c r="J86" s="177"/>
      <c r="K86" s="177"/>
      <c r="L86" s="177"/>
      <c r="M86" s="177"/>
      <c r="N86" s="177"/>
      <c r="O86" s="50">
        <f t="shared" ref="O86:O88" si="19">SUM(J86:N86)</f>
        <v>0</v>
      </c>
    </row>
    <row r="87" spans="1:15" x14ac:dyDescent="0.25">
      <c r="A87" s="67">
        <v>45000</v>
      </c>
      <c r="B87" s="47" t="s">
        <v>95</v>
      </c>
      <c r="C87" s="48">
        <f>$C$1</f>
        <v>0</v>
      </c>
      <c r="D87" s="49" t="s">
        <v>9</v>
      </c>
      <c r="E87" s="47" t="s">
        <v>96</v>
      </c>
      <c r="I87" s="52" t="s">
        <v>108</v>
      </c>
      <c r="J87" s="55"/>
      <c r="K87" s="55"/>
      <c r="L87" s="55"/>
      <c r="M87" s="55"/>
      <c r="N87" s="55"/>
      <c r="O87" s="50">
        <f t="shared" si="19"/>
        <v>0</v>
      </c>
    </row>
    <row r="88" spans="1:15" x14ac:dyDescent="0.25">
      <c r="A88" s="67">
        <v>45000</v>
      </c>
      <c r="B88" s="47" t="s">
        <v>95</v>
      </c>
      <c r="C88" s="48">
        <f>$C$1</f>
        <v>0</v>
      </c>
      <c r="D88" s="49" t="s">
        <v>9</v>
      </c>
      <c r="E88" s="47" t="s">
        <v>96</v>
      </c>
      <c r="I88" s="57" t="s">
        <v>109</v>
      </c>
      <c r="J88" s="178"/>
      <c r="K88" s="178"/>
      <c r="L88" s="178"/>
      <c r="M88" s="178"/>
      <c r="N88" s="178"/>
      <c r="O88" s="50">
        <f t="shared" si="19"/>
        <v>0</v>
      </c>
    </row>
    <row r="89" spans="1:15" x14ac:dyDescent="0.25">
      <c r="A89" s="59"/>
      <c r="B89" s="60"/>
      <c r="C89" s="60"/>
      <c r="D89" s="60"/>
      <c r="E89" s="60"/>
      <c r="H89" s="61" t="s">
        <v>110</v>
      </c>
      <c r="I89" s="65"/>
      <c r="J89" s="63">
        <f t="shared" ref="J89:O89" si="20">SUM(J86:J88)</f>
        <v>0</v>
      </c>
      <c r="K89" s="63">
        <f t="shared" si="20"/>
        <v>0</v>
      </c>
      <c r="L89" s="63">
        <f t="shared" si="20"/>
        <v>0</v>
      </c>
      <c r="M89" s="63">
        <f t="shared" si="20"/>
        <v>0</v>
      </c>
      <c r="N89" s="63">
        <f t="shared" si="20"/>
        <v>0</v>
      </c>
      <c r="O89" s="63">
        <f t="shared" si="20"/>
        <v>0</v>
      </c>
    </row>
    <row r="91" spans="1:15" ht="16.5" thickBot="1" x14ac:dyDescent="0.3"/>
    <row r="92" spans="1:15" ht="16.5" thickBot="1" x14ac:dyDescent="0.3">
      <c r="A92" s="68" t="s">
        <v>5</v>
      </c>
      <c r="B92" s="68" t="s">
        <v>91</v>
      </c>
      <c r="C92" s="68" t="s">
        <v>92</v>
      </c>
      <c r="D92" s="68" t="s">
        <v>4</v>
      </c>
      <c r="E92" s="68" t="s">
        <v>93</v>
      </c>
      <c r="G92" s="69" t="s">
        <v>111</v>
      </c>
      <c r="H92" s="70"/>
      <c r="I92" s="71"/>
      <c r="J92" s="72" t="str">
        <f>J20</f>
        <v>Operating</v>
      </c>
      <c r="K92" s="72" t="str">
        <f t="shared" ref="K92:O92" si="21">K20</f>
        <v>SPED</v>
      </c>
      <c r="L92" s="72" t="str">
        <f t="shared" si="21"/>
        <v>NSLP</v>
      </c>
      <c r="M92" s="72" t="str">
        <f t="shared" si="21"/>
        <v>Title(s)</v>
      </c>
      <c r="N92" s="72" t="str">
        <f t="shared" si="21"/>
        <v>Other</v>
      </c>
      <c r="O92" s="72" t="str">
        <f t="shared" si="21"/>
        <v>Total</v>
      </c>
    </row>
    <row r="93" spans="1:15" x14ac:dyDescent="0.25">
      <c r="A93" s="73"/>
      <c r="B93" s="74"/>
      <c r="C93" s="75"/>
      <c r="D93" s="76"/>
      <c r="E93" s="74"/>
      <c r="H93" s="77" t="s">
        <v>112</v>
      </c>
      <c r="I93" s="78"/>
      <c r="J93" s="79"/>
      <c r="K93" s="79"/>
      <c r="L93" s="79"/>
      <c r="M93" s="79"/>
      <c r="N93" s="79"/>
      <c r="O93" s="79"/>
    </row>
    <row r="94" spans="1:15" x14ac:dyDescent="0.25">
      <c r="A94" s="51">
        <v>60036</v>
      </c>
      <c r="B94" s="80" t="s">
        <v>113</v>
      </c>
      <c r="C94" s="48">
        <f>$C$1</f>
        <v>0</v>
      </c>
      <c r="D94" s="49" t="s">
        <v>9</v>
      </c>
      <c r="E94" s="52" t="s">
        <v>114</v>
      </c>
      <c r="I94" s="49" t="s">
        <v>402</v>
      </c>
      <c r="J94" s="50">
        <v>0</v>
      </c>
      <c r="K94" s="50"/>
      <c r="L94" s="50"/>
      <c r="M94" s="50"/>
      <c r="N94" s="50"/>
      <c r="O94" s="50">
        <f t="shared" ref="O94:O152" si="22">SUM(J94:N94)</f>
        <v>0</v>
      </c>
    </row>
    <row r="95" spans="1:15" x14ac:dyDescent="0.25">
      <c r="A95" s="51">
        <v>60036</v>
      </c>
      <c r="B95" s="80" t="s">
        <v>113</v>
      </c>
      <c r="C95" s="48">
        <f>$C$1</f>
        <v>0</v>
      </c>
      <c r="D95" s="49" t="s">
        <v>9</v>
      </c>
      <c r="E95" s="52" t="s">
        <v>114</v>
      </c>
      <c r="I95" s="52" t="s">
        <v>66</v>
      </c>
      <c r="J95" s="55">
        <f>'25-26'!J95*1.015</f>
        <v>129412.49999999999</v>
      </c>
      <c r="K95" s="55"/>
      <c r="L95" s="55"/>
      <c r="M95" s="55"/>
      <c r="N95" s="55"/>
      <c r="O95" s="50">
        <f t="shared" si="22"/>
        <v>129412.49999999999</v>
      </c>
    </row>
    <row r="96" spans="1:15" x14ac:dyDescent="0.25">
      <c r="A96" s="51">
        <v>60036</v>
      </c>
      <c r="B96" s="80" t="s">
        <v>113</v>
      </c>
      <c r="C96" s="48">
        <f>$C$1</f>
        <v>0</v>
      </c>
      <c r="D96" s="52" t="s">
        <v>36</v>
      </c>
      <c r="E96" s="52" t="s">
        <v>114</v>
      </c>
      <c r="I96" s="52" t="s">
        <v>115</v>
      </c>
      <c r="J96" s="55"/>
      <c r="K96" s="55"/>
      <c r="L96" s="55"/>
      <c r="M96" s="55"/>
      <c r="N96" s="55"/>
      <c r="O96" s="50">
        <f t="shared" si="22"/>
        <v>0</v>
      </c>
    </row>
    <row r="97" spans="1:15" x14ac:dyDescent="0.25">
      <c r="A97" s="81"/>
      <c r="B97" s="82"/>
      <c r="C97" s="82"/>
      <c r="D97" s="82"/>
      <c r="E97" s="82"/>
      <c r="H97" s="83" t="s">
        <v>116</v>
      </c>
      <c r="I97" s="84"/>
      <c r="J97" s="79"/>
      <c r="K97" s="79"/>
      <c r="L97" s="79"/>
      <c r="M97" s="79"/>
      <c r="N97" s="79"/>
      <c r="O97" s="79"/>
    </row>
    <row r="98" spans="1:15" x14ac:dyDescent="0.25">
      <c r="A98" s="51">
        <v>60036</v>
      </c>
      <c r="B98" s="80" t="s">
        <v>113</v>
      </c>
      <c r="C98" s="85">
        <f>$C$1</f>
        <v>0</v>
      </c>
      <c r="D98" s="52" t="s">
        <v>27</v>
      </c>
      <c r="E98" s="52" t="s">
        <v>114</v>
      </c>
      <c r="I98" s="52" t="s">
        <v>117</v>
      </c>
      <c r="J98" s="50">
        <v>0</v>
      </c>
      <c r="K98" s="50">
        <v>0</v>
      </c>
      <c r="L98" s="50"/>
      <c r="M98" s="50"/>
      <c r="N98" s="50"/>
      <c r="O98" s="50">
        <f t="shared" si="22"/>
        <v>0</v>
      </c>
    </row>
    <row r="99" spans="1:15" x14ac:dyDescent="0.25">
      <c r="A99" s="51">
        <v>60036</v>
      </c>
      <c r="B99" s="80" t="s">
        <v>113</v>
      </c>
      <c r="C99" s="85">
        <f>$C$1</f>
        <v>0</v>
      </c>
      <c r="D99" s="52" t="s">
        <v>27</v>
      </c>
      <c r="E99" s="52" t="s">
        <v>114</v>
      </c>
      <c r="I99" s="52" t="s">
        <v>118</v>
      </c>
      <c r="J99" s="50">
        <v>0</v>
      </c>
      <c r="K99" s="50"/>
      <c r="L99" s="50"/>
      <c r="M99" s="50"/>
      <c r="N99" s="50"/>
      <c r="O99" s="50">
        <f t="shared" si="22"/>
        <v>0</v>
      </c>
    </row>
    <row r="100" spans="1:15" x14ac:dyDescent="0.25">
      <c r="A100" s="81"/>
      <c r="B100" s="82"/>
      <c r="C100" s="82"/>
      <c r="D100" s="82"/>
      <c r="E100" s="82"/>
      <c r="H100" s="83" t="s">
        <v>119</v>
      </c>
      <c r="I100" s="84"/>
      <c r="J100" s="79"/>
      <c r="K100" s="79"/>
      <c r="L100" s="79"/>
      <c r="M100" s="79"/>
      <c r="N100" s="79"/>
      <c r="O100" s="79"/>
    </row>
    <row r="101" spans="1:15" x14ac:dyDescent="0.25">
      <c r="A101" s="51">
        <v>60036</v>
      </c>
      <c r="B101" s="80" t="s">
        <v>113</v>
      </c>
      <c r="C101" s="48">
        <f t="shared" ref="C101:C119" si="23">$C$1</f>
        <v>0</v>
      </c>
      <c r="D101" s="49" t="s">
        <v>9</v>
      </c>
      <c r="E101" s="52" t="s">
        <v>120</v>
      </c>
      <c r="I101" s="52" t="s">
        <v>70</v>
      </c>
      <c r="J101" s="55">
        <f>(70000*1.015)-J103</f>
        <v>69076</v>
      </c>
      <c r="K101" s="55"/>
      <c r="L101" s="55"/>
      <c r="M101" s="55"/>
      <c r="N101" s="55"/>
      <c r="O101" s="50">
        <f t="shared" si="22"/>
        <v>69076</v>
      </c>
    </row>
    <row r="102" spans="1:15" x14ac:dyDescent="0.25">
      <c r="A102" s="86">
        <v>60036</v>
      </c>
      <c r="B102" s="87" t="s">
        <v>113</v>
      </c>
      <c r="C102" s="88">
        <f t="shared" si="23"/>
        <v>0</v>
      </c>
      <c r="D102" s="89" t="s">
        <v>18</v>
      </c>
      <c r="E102" s="89" t="s">
        <v>120</v>
      </c>
      <c r="I102" s="52" t="s">
        <v>121</v>
      </c>
      <c r="J102" s="55">
        <v>0</v>
      </c>
      <c r="K102" s="55"/>
      <c r="L102" s="55"/>
      <c r="M102" s="55"/>
      <c r="N102" s="55"/>
      <c r="O102" s="50">
        <f t="shared" si="22"/>
        <v>0</v>
      </c>
    </row>
    <row r="103" spans="1:15" x14ac:dyDescent="0.25">
      <c r="A103" s="86">
        <v>60036</v>
      </c>
      <c r="B103" s="87" t="s">
        <v>113</v>
      </c>
      <c r="C103" s="88">
        <f t="shared" si="23"/>
        <v>0</v>
      </c>
      <c r="D103" s="89" t="s">
        <v>21</v>
      </c>
      <c r="E103" s="89" t="s">
        <v>120</v>
      </c>
      <c r="I103" s="52" t="s">
        <v>122</v>
      </c>
      <c r="J103" s="55">
        <v>1974</v>
      </c>
      <c r="K103" s="55"/>
      <c r="L103" s="55"/>
      <c r="M103" s="55"/>
      <c r="N103" s="55"/>
      <c r="O103" s="50">
        <f t="shared" si="22"/>
        <v>1974</v>
      </c>
    </row>
    <row r="104" spans="1:15" x14ac:dyDescent="0.25">
      <c r="A104" s="51">
        <v>60036</v>
      </c>
      <c r="B104" s="80" t="s">
        <v>113</v>
      </c>
      <c r="C104" s="48">
        <f t="shared" si="23"/>
        <v>0</v>
      </c>
      <c r="D104" s="52" t="s">
        <v>36</v>
      </c>
      <c r="E104" s="52" t="s">
        <v>120</v>
      </c>
      <c r="I104" s="52" t="s">
        <v>123</v>
      </c>
      <c r="J104" s="55">
        <v>0</v>
      </c>
      <c r="K104" s="55"/>
      <c r="L104" s="55"/>
      <c r="M104" s="55"/>
      <c r="N104" s="55"/>
      <c r="O104" s="50">
        <f t="shared" si="22"/>
        <v>0</v>
      </c>
    </row>
    <row r="105" spans="1:15" ht="17.649999999999999" customHeight="1" x14ac:dyDescent="0.25">
      <c r="A105" s="51">
        <v>60036</v>
      </c>
      <c r="B105" s="80" t="s">
        <v>113</v>
      </c>
      <c r="C105" s="48">
        <f t="shared" si="23"/>
        <v>0</v>
      </c>
      <c r="D105" s="49" t="s">
        <v>9</v>
      </c>
      <c r="E105" s="52" t="s">
        <v>124</v>
      </c>
      <c r="I105" s="52" t="s">
        <v>125</v>
      </c>
      <c r="J105" s="55">
        <v>0</v>
      </c>
      <c r="K105" s="55"/>
      <c r="L105" s="55"/>
      <c r="M105" s="55"/>
      <c r="N105" s="55"/>
      <c r="O105" s="50">
        <f t="shared" si="22"/>
        <v>0</v>
      </c>
    </row>
    <row r="106" spans="1:15" ht="17.649999999999999" customHeight="1" x14ac:dyDescent="0.25">
      <c r="A106" s="86">
        <v>60036</v>
      </c>
      <c r="B106" s="87" t="s">
        <v>113</v>
      </c>
      <c r="C106" s="88">
        <f t="shared" si="23"/>
        <v>0</v>
      </c>
      <c r="D106" s="89" t="s">
        <v>21</v>
      </c>
      <c r="E106" s="89" t="s">
        <v>124</v>
      </c>
      <c r="I106" s="52" t="s">
        <v>126</v>
      </c>
      <c r="J106" s="55">
        <v>0</v>
      </c>
      <c r="K106" s="55"/>
      <c r="L106" s="55"/>
      <c r="M106" s="55"/>
      <c r="N106" s="55"/>
      <c r="O106" s="50">
        <f t="shared" si="22"/>
        <v>0</v>
      </c>
    </row>
    <row r="107" spans="1:15" ht="17.649999999999999" customHeight="1" x14ac:dyDescent="0.25">
      <c r="A107" s="51">
        <v>60036</v>
      </c>
      <c r="B107" s="80" t="s">
        <v>113</v>
      </c>
      <c r="C107" s="48">
        <f t="shared" si="23"/>
        <v>0</v>
      </c>
      <c r="D107" s="52" t="s">
        <v>36</v>
      </c>
      <c r="E107" s="52" t="s">
        <v>124</v>
      </c>
      <c r="I107" s="52" t="s">
        <v>127</v>
      </c>
      <c r="J107" s="55">
        <v>0</v>
      </c>
      <c r="K107" s="55"/>
      <c r="L107" s="55"/>
      <c r="M107" s="55"/>
      <c r="N107" s="55"/>
      <c r="O107" s="50">
        <f t="shared" si="22"/>
        <v>0</v>
      </c>
    </row>
    <row r="108" spans="1:15" x14ac:dyDescent="0.25">
      <c r="A108" s="51">
        <v>60036</v>
      </c>
      <c r="B108" s="80" t="s">
        <v>113</v>
      </c>
      <c r="C108" s="48">
        <f t="shared" si="23"/>
        <v>0</v>
      </c>
      <c r="D108" s="49" t="s">
        <v>9</v>
      </c>
      <c r="E108" s="52" t="s">
        <v>114</v>
      </c>
      <c r="I108" s="52" t="s">
        <v>128</v>
      </c>
      <c r="J108" s="55">
        <v>0</v>
      </c>
      <c r="K108" s="55"/>
      <c r="L108" s="55"/>
      <c r="M108" s="55"/>
      <c r="N108" s="55"/>
      <c r="O108" s="50">
        <f t="shared" si="22"/>
        <v>0</v>
      </c>
    </row>
    <row r="109" spans="1:15" x14ac:dyDescent="0.25">
      <c r="A109" s="86">
        <v>60036</v>
      </c>
      <c r="B109" s="87" t="s">
        <v>113</v>
      </c>
      <c r="C109" s="88">
        <f t="shared" si="23"/>
        <v>0</v>
      </c>
      <c r="D109" s="89" t="s">
        <v>21</v>
      </c>
      <c r="E109" s="89" t="s">
        <v>114</v>
      </c>
      <c r="I109" s="52" t="s">
        <v>129</v>
      </c>
      <c r="J109" s="55">
        <v>0</v>
      </c>
      <c r="K109" s="55"/>
      <c r="L109" s="55"/>
      <c r="M109" s="55"/>
      <c r="N109" s="55"/>
      <c r="O109" s="50">
        <f t="shared" si="22"/>
        <v>0</v>
      </c>
    </row>
    <row r="110" spans="1:15" x14ac:dyDescent="0.25">
      <c r="A110" s="51">
        <v>60036</v>
      </c>
      <c r="B110" s="80" t="s">
        <v>113</v>
      </c>
      <c r="C110" s="48">
        <f t="shared" si="23"/>
        <v>0</v>
      </c>
      <c r="D110" s="52" t="s">
        <v>36</v>
      </c>
      <c r="E110" s="52" t="s">
        <v>114</v>
      </c>
      <c r="I110" s="52" t="s">
        <v>130</v>
      </c>
      <c r="J110" s="55">
        <v>0</v>
      </c>
      <c r="K110" s="55"/>
      <c r="L110" s="55"/>
      <c r="M110" s="55"/>
      <c r="N110" s="55"/>
      <c r="O110" s="50">
        <f t="shared" si="22"/>
        <v>0</v>
      </c>
    </row>
    <row r="111" spans="1:15" x14ac:dyDescent="0.25">
      <c r="A111" s="51">
        <v>60070</v>
      </c>
      <c r="B111" s="52" t="s">
        <v>131</v>
      </c>
      <c r="C111" s="48">
        <f t="shared" si="23"/>
        <v>0</v>
      </c>
      <c r="D111" s="52" t="s">
        <v>27</v>
      </c>
      <c r="E111" s="52" t="s">
        <v>132</v>
      </c>
      <c r="I111" s="52" t="s">
        <v>133</v>
      </c>
      <c r="J111" s="55"/>
      <c r="K111" s="55"/>
      <c r="L111" s="55"/>
      <c r="M111" s="55"/>
      <c r="N111" s="55"/>
      <c r="O111" s="50">
        <f t="shared" si="22"/>
        <v>0</v>
      </c>
    </row>
    <row r="112" spans="1:15" x14ac:dyDescent="0.25">
      <c r="A112" s="51">
        <v>60041</v>
      </c>
      <c r="B112" s="52" t="s">
        <v>134</v>
      </c>
      <c r="C112" s="48">
        <f t="shared" si="23"/>
        <v>0</v>
      </c>
      <c r="D112" s="52" t="s">
        <v>27</v>
      </c>
      <c r="E112" s="52" t="s">
        <v>135</v>
      </c>
      <c r="I112" s="52" t="s">
        <v>80</v>
      </c>
      <c r="J112" s="55">
        <v>0</v>
      </c>
      <c r="K112" s="55"/>
      <c r="L112" s="55"/>
      <c r="M112" s="55"/>
      <c r="N112" s="55"/>
      <c r="O112" s="50">
        <f t="shared" si="22"/>
        <v>0</v>
      </c>
    </row>
    <row r="113" spans="1:15" x14ac:dyDescent="0.25">
      <c r="A113" s="86">
        <v>60041</v>
      </c>
      <c r="B113" s="89" t="s">
        <v>134</v>
      </c>
      <c r="C113" s="88">
        <f t="shared" si="23"/>
        <v>0</v>
      </c>
      <c r="D113" s="89" t="s">
        <v>21</v>
      </c>
      <c r="E113" s="89" t="s">
        <v>135</v>
      </c>
      <c r="I113" s="52" t="s">
        <v>136</v>
      </c>
      <c r="J113" s="55">
        <v>0</v>
      </c>
      <c r="K113" s="55"/>
      <c r="L113" s="55"/>
      <c r="M113" s="55"/>
      <c r="N113" s="55"/>
      <c r="O113" s="50">
        <f t="shared" si="22"/>
        <v>0</v>
      </c>
    </row>
    <row r="114" spans="1:15" x14ac:dyDescent="0.25">
      <c r="A114" s="51">
        <v>60070</v>
      </c>
      <c r="B114" s="52" t="s">
        <v>131</v>
      </c>
      <c r="C114" s="48">
        <f t="shared" si="23"/>
        <v>0</v>
      </c>
      <c r="D114" s="52" t="s">
        <v>27</v>
      </c>
      <c r="E114" s="52" t="s">
        <v>137</v>
      </c>
      <c r="I114" s="52" t="s">
        <v>138</v>
      </c>
      <c r="J114" s="55"/>
      <c r="K114" s="55"/>
      <c r="L114" s="55"/>
      <c r="M114" s="55"/>
      <c r="N114" s="55"/>
      <c r="O114" s="50">
        <f t="shared" si="22"/>
        <v>0</v>
      </c>
    </row>
    <row r="115" spans="1:15" x14ac:dyDescent="0.25">
      <c r="A115" s="86">
        <v>60070</v>
      </c>
      <c r="B115" s="89" t="s">
        <v>131</v>
      </c>
      <c r="C115" s="88">
        <f t="shared" si="23"/>
        <v>0</v>
      </c>
      <c r="D115" s="89" t="s">
        <v>21</v>
      </c>
      <c r="E115" s="89" t="s">
        <v>137</v>
      </c>
      <c r="I115" s="52" t="s">
        <v>139</v>
      </c>
      <c r="J115" s="55">
        <v>0</v>
      </c>
      <c r="K115" s="55"/>
      <c r="L115" s="55"/>
      <c r="M115" s="55"/>
      <c r="N115" s="55"/>
      <c r="O115" s="50">
        <f t="shared" si="22"/>
        <v>0</v>
      </c>
    </row>
    <row r="116" spans="1:15" x14ac:dyDescent="0.25">
      <c r="A116" s="51">
        <v>60070</v>
      </c>
      <c r="B116" s="52" t="s">
        <v>131</v>
      </c>
      <c r="C116" s="48">
        <f t="shared" si="23"/>
        <v>0</v>
      </c>
      <c r="D116" s="52" t="s">
        <v>27</v>
      </c>
      <c r="E116" s="52" t="s">
        <v>140</v>
      </c>
      <c r="I116" s="52" t="s">
        <v>141</v>
      </c>
      <c r="J116" s="55"/>
      <c r="K116" s="55"/>
      <c r="L116" s="55"/>
      <c r="M116" s="55"/>
      <c r="N116" s="55"/>
      <c r="O116" s="50">
        <f t="shared" si="22"/>
        <v>0</v>
      </c>
    </row>
    <row r="117" spans="1:15" x14ac:dyDescent="0.25">
      <c r="A117" s="86">
        <v>60070</v>
      </c>
      <c r="B117" s="89" t="s">
        <v>131</v>
      </c>
      <c r="C117" s="88">
        <f t="shared" si="23"/>
        <v>0</v>
      </c>
      <c r="D117" s="89" t="s">
        <v>21</v>
      </c>
      <c r="E117" s="89" t="s">
        <v>140</v>
      </c>
      <c r="I117" s="52" t="s">
        <v>142</v>
      </c>
      <c r="J117" s="55">
        <v>0</v>
      </c>
      <c r="K117" s="55"/>
      <c r="L117" s="55"/>
      <c r="M117" s="55"/>
      <c r="N117" s="55"/>
      <c r="O117" s="50">
        <f t="shared" si="22"/>
        <v>0</v>
      </c>
    </row>
    <row r="118" spans="1:15" x14ac:dyDescent="0.25">
      <c r="A118" s="51">
        <v>60070</v>
      </c>
      <c r="B118" s="52" t="s">
        <v>131</v>
      </c>
      <c r="C118" s="48">
        <f t="shared" si="23"/>
        <v>0</v>
      </c>
      <c r="D118" s="49" t="s">
        <v>9</v>
      </c>
      <c r="E118" s="52" t="s">
        <v>143</v>
      </c>
      <c r="I118" s="52" t="s">
        <v>84</v>
      </c>
      <c r="J118" s="55">
        <v>0</v>
      </c>
      <c r="K118" s="55"/>
      <c r="L118" s="55"/>
      <c r="M118" s="55"/>
      <c r="N118" s="55"/>
      <c r="O118" s="50">
        <f t="shared" si="22"/>
        <v>0</v>
      </c>
    </row>
    <row r="119" spans="1:15" x14ac:dyDescent="0.25">
      <c r="A119" s="86">
        <v>60070</v>
      </c>
      <c r="B119" s="89" t="s">
        <v>131</v>
      </c>
      <c r="C119" s="88">
        <f t="shared" si="23"/>
        <v>0</v>
      </c>
      <c r="D119" s="89" t="s">
        <v>21</v>
      </c>
      <c r="E119" s="89" t="s">
        <v>143</v>
      </c>
      <c r="I119" s="52" t="s">
        <v>144</v>
      </c>
      <c r="J119" s="55">
        <v>0</v>
      </c>
      <c r="K119" s="55"/>
      <c r="L119" s="55"/>
      <c r="M119" s="55"/>
      <c r="N119" s="55"/>
      <c r="O119" s="50">
        <f t="shared" si="22"/>
        <v>0</v>
      </c>
    </row>
    <row r="120" spans="1:15" x14ac:dyDescent="0.25">
      <c r="A120" s="81"/>
      <c r="B120" s="82"/>
      <c r="C120" s="82"/>
      <c r="D120" s="82"/>
      <c r="E120" s="82"/>
      <c r="H120" s="83" t="s">
        <v>145</v>
      </c>
      <c r="I120" s="84"/>
      <c r="J120" s="79"/>
      <c r="K120" s="79"/>
      <c r="L120" s="79"/>
      <c r="M120" s="79"/>
      <c r="N120" s="79"/>
      <c r="O120" s="79"/>
    </row>
    <row r="121" spans="1:15" x14ac:dyDescent="0.25">
      <c r="A121" s="51">
        <v>60043</v>
      </c>
      <c r="B121" s="90" t="s">
        <v>146</v>
      </c>
      <c r="C121" s="85">
        <f t="shared" ref="C121:C126" si="24">$C$1</f>
        <v>0</v>
      </c>
      <c r="D121" s="49" t="s">
        <v>9</v>
      </c>
      <c r="E121" s="52" t="s">
        <v>147</v>
      </c>
      <c r="I121" s="52" t="s">
        <v>148</v>
      </c>
      <c r="J121" s="55">
        <f>(65000*1.015)-J123</f>
        <v>60000</v>
      </c>
      <c r="K121" s="55"/>
      <c r="L121" s="55"/>
      <c r="M121" s="55"/>
      <c r="N121" s="55"/>
      <c r="O121" s="50">
        <f t="shared" si="22"/>
        <v>60000</v>
      </c>
    </row>
    <row r="122" spans="1:15" x14ac:dyDescent="0.25">
      <c r="A122" s="51">
        <v>60043</v>
      </c>
      <c r="B122" s="52" t="s">
        <v>146</v>
      </c>
      <c r="C122" s="85">
        <f t="shared" si="24"/>
        <v>0</v>
      </c>
      <c r="D122" s="49" t="s">
        <v>9</v>
      </c>
      <c r="E122" s="52" t="s">
        <v>147</v>
      </c>
      <c r="I122" s="52" t="s">
        <v>149</v>
      </c>
      <c r="J122" s="55">
        <f>(22.25*8*190)*(J48+J49)</f>
        <v>0</v>
      </c>
      <c r="K122" s="55"/>
      <c r="L122" s="55"/>
      <c r="M122" s="55"/>
      <c r="N122" s="55"/>
      <c r="O122" s="50">
        <f t="shared" si="22"/>
        <v>0</v>
      </c>
    </row>
    <row r="123" spans="1:15" x14ac:dyDescent="0.25">
      <c r="A123" s="86">
        <v>60043</v>
      </c>
      <c r="B123" s="91" t="s">
        <v>146</v>
      </c>
      <c r="C123" s="89">
        <f t="shared" si="24"/>
        <v>0</v>
      </c>
      <c r="D123" s="89" t="s">
        <v>21</v>
      </c>
      <c r="E123" s="89" t="s">
        <v>147</v>
      </c>
      <c r="I123" s="52" t="s">
        <v>150</v>
      </c>
      <c r="J123" s="55">
        <v>5975</v>
      </c>
      <c r="K123" s="55"/>
      <c r="L123" s="55"/>
      <c r="M123" s="55"/>
      <c r="N123" s="55"/>
      <c r="O123" s="50">
        <f t="shared" si="22"/>
        <v>5975</v>
      </c>
    </row>
    <row r="124" spans="1:15" x14ac:dyDescent="0.25">
      <c r="A124" s="51">
        <v>60043</v>
      </c>
      <c r="B124" s="52" t="s">
        <v>146</v>
      </c>
      <c r="C124" s="85">
        <f t="shared" si="24"/>
        <v>0</v>
      </c>
      <c r="D124" s="52" t="s">
        <v>24</v>
      </c>
      <c r="E124" s="52" t="s">
        <v>147</v>
      </c>
      <c r="I124" s="52" t="s">
        <v>151</v>
      </c>
      <c r="J124" s="55"/>
      <c r="K124" s="55"/>
      <c r="L124" s="55"/>
      <c r="M124" s="55"/>
      <c r="N124" s="55"/>
      <c r="O124" s="50">
        <f t="shared" si="22"/>
        <v>0</v>
      </c>
    </row>
    <row r="125" spans="1:15" x14ac:dyDescent="0.25">
      <c r="A125" s="51">
        <v>60043</v>
      </c>
      <c r="B125" s="52" t="s">
        <v>146</v>
      </c>
      <c r="C125" s="85">
        <f t="shared" si="24"/>
        <v>0</v>
      </c>
      <c r="D125" s="49" t="s">
        <v>9</v>
      </c>
      <c r="E125" s="52" t="s">
        <v>147</v>
      </c>
      <c r="I125" s="52" t="s">
        <v>152</v>
      </c>
      <c r="J125" s="55"/>
      <c r="K125" s="55"/>
      <c r="L125" s="55"/>
      <c r="M125" s="55"/>
      <c r="N125" s="55"/>
      <c r="O125" s="50">
        <f t="shared" si="22"/>
        <v>0</v>
      </c>
    </row>
    <row r="126" spans="1:15" x14ac:dyDescent="0.25">
      <c r="A126" s="51">
        <v>60043</v>
      </c>
      <c r="B126" s="52" t="s">
        <v>146</v>
      </c>
      <c r="C126" s="85">
        <f t="shared" si="24"/>
        <v>0</v>
      </c>
      <c r="D126" s="52" t="s">
        <v>36</v>
      </c>
      <c r="E126" s="52" t="s">
        <v>147</v>
      </c>
      <c r="I126" s="52" t="s">
        <v>153</v>
      </c>
      <c r="J126" s="55">
        <v>0</v>
      </c>
      <c r="K126" s="55"/>
      <c r="L126" s="55"/>
      <c r="M126" s="55"/>
      <c r="N126" s="55"/>
      <c r="O126" s="50">
        <f t="shared" si="22"/>
        <v>0</v>
      </c>
    </row>
    <row r="127" spans="1:15" x14ac:dyDescent="0.25">
      <c r="A127" s="81"/>
      <c r="B127" s="82"/>
      <c r="C127" s="82"/>
      <c r="D127" s="82"/>
      <c r="E127" s="82"/>
      <c r="H127" s="83" t="s">
        <v>154</v>
      </c>
      <c r="I127" s="84"/>
      <c r="J127" s="79"/>
      <c r="K127" s="79"/>
      <c r="L127" s="79"/>
      <c r="M127" s="79"/>
      <c r="N127" s="79"/>
      <c r="O127" s="79"/>
    </row>
    <row r="128" spans="1:15" x14ac:dyDescent="0.25">
      <c r="A128" s="51">
        <v>60043</v>
      </c>
      <c r="B128" s="52" t="s">
        <v>146</v>
      </c>
      <c r="C128" s="85">
        <f>$C$1</f>
        <v>0</v>
      </c>
      <c r="D128" s="49" t="s">
        <v>9</v>
      </c>
      <c r="E128" s="52" t="s">
        <v>147</v>
      </c>
      <c r="I128" s="52" t="s">
        <v>155</v>
      </c>
      <c r="J128" s="55">
        <f>(20*8*240)*J51</f>
        <v>0</v>
      </c>
      <c r="K128" s="55"/>
      <c r="L128" s="55"/>
      <c r="M128" s="55"/>
      <c r="N128" s="55"/>
      <c r="O128" s="50">
        <f t="shared" si="22"/>
        <v>0</v>
      </c>
    </row>
    <row r="129" spans="1:15" x14ac:dyDescent="0.25">
      <c r="A129" s="51">
        <v>60070</v>
      </c>
      <c r="B129" s="52" t="s">
        <v>131</v>
      </c>
      <c r="C129" s="85">
        <f>$C$1</f>
        <v>0</v>
      </c>
      <c r="D129" s="49" t="s">
        <v>9</v>
      </c>
      <c r="E129" s="52" t="s">
        <v>156</v>
      </c>
      <c r="I129" s="57" t="s">
        <v>157</v>
      </c>
      <c r="J129" s="58"/>
      <c r="K129" s="58"/>
      <c r="L129" s="58"/>
      <c r="M129" s="58"/>
      <c r="N129" s="58"/>
      <c r="O129" s="50">
        <f t="shared" si="22"/>
        <v>0</v>
      </c>
    </row>
    <row r="130" spans="1:15" x14ac:dyDescent="0.25">
      <c r="A130" s="86">
        <v>60070</v>
      </c>
      <c r="B130" s="89" t="s">
        <v>131</v>
      </c>
      <c r="C130" s="89">
        <f>$C$1</f>
        <v>0</v>
      </c>
      <c r="D130" s="89" t="s">
        <v>21</v>
      </c>
      <c r="E130" s="89" t="s">
        <v>156</v>
      </c>
      <c r="I130" s="57" t="s">
        <v>158</v>
      </c>
      <c r="J130" s="55">
        <v>0</v>
      </c>
      <c r="K130" s="55"/>
      <c r="L130" s="55"/>
      <c r="M130" s="55"/>
      <c r="N130" s="55"/>
      <c r="O130" s="50">
        <f t="shared" si="22"/>
        <v>0</v>
      </c>
    </row>
    <row r="131" spans="1:15" x14ac:dyDescent="0.25">
      <c r="A131" s="81"/>
      <c r="B131" s="82"/>
      <c r="C131" s="82"/>
      <c r="D131" s="82"/>
      <c r="E131" s="82"/>
      <c r="H131" s="83" t="s">
        <v>159</v>
      </c>
      <c r="I131" s="84"/>
      <c r="J131" s="79"/>
      <c r="K131" s="79"/>
      <c r="L131" s="79"/>
      <c r="M131" s="79"/>
      <c r="N131" s="79"/>
      <c r="O131" s="79"/>
    </row>
    <row r="132" spans="1:15" x14ac:dyDescent="0.25">
      <c r="A132" s="51">
        <v>60070</v>
      </c>
      <c r="B132" s="52" t="s">
        <v>131</v>
      </c>
      <c r="C132" s="85">
        <f>$C$1</f>
        <v>0</v>
      </c>
      <c r="D132" s="52" t="s">
        <v>39</v>
      </c>
      <c r="E132" s="52" t="s">
        <v>160</v>
      </c>
      <c r="I132" s="52" t="s">
        <v>161</v>
      </c>
      <c r="J132" s="55">
        <f>(24*8*200)*J52</f>
        <v>0</v>
      </c>
      <c r="K132" s="55"/>
      <c r="L132" s="55">
        <f>(48000*1.015)-L133</f>
        <v>45548.999999999993</v>
      </c>
      <c r="M132" s="55"/>
      <c r="N132" s="55"/>
      <c r="O132" s="50">
        <f t="shared" si="22"/>
        <v>45548.999999999993</v>
      </c>
    </row>
    <row r="133" spans="1:15" x14ac:dyDescent="0.25">
      <c r="A133" s="86">
        <v>60070</v>
      </c>
      <c r="B133" s="89" t="s">
        <v>131</v>
      </c>
      <c r="C133" s="89">
        <f>$C$1</f>
        <v>0</v>
      </c>
      <c r="D133" s="89" t="s">
        <v>21</v>
      </c>
      <c r="E133" s="89" t="s">
        <v>160</v>
      </c>
      <c r="I133" s="52" t="s">
        <v>162</v>
      </c>
      <c r="J133" s="55">
        <v>0</v>
      </c>
      <c r="K133" s="55"/>
      <c r="L133" s="55">
        <v>3171</v>
      </c>
      <c r="M133" s="55"/>
      <c r="N133" s="55"/>
      <c r="O133" s="50">
        <f t="shared" si="22"/>
        <v>3171</v>
      </c>
    </row>
    <row r="134" spans="1:15" x14ac:dyDescent="0.25">
      <c r="A134" s="92" t="s">
        <v>5</v>
      </c>
      <c r="B134" s="92" t="s">
        <v>91</v>
      </c>
      <c r="C134" s="92" t="s">
        <v>92</v>
      </c>
      <c r="D134" s="92" t="s">
        <v>4</v>
      </c>
      <c r="E134" s="92" t="s">
        <v>93</v>
      </c>
      <c r="H134" s="115" t="s">
        <v>163</v>
      </c>
      <c r="I134" s="94"/>
      <c r="J134" s="92">
        <f>SUM(J94:J133)</f>
        <v>266437.5</v>
      </c>
      <c r="K134" s="92">
        <f t="shared" ref="K134:O134" si="25">SUM(K94:K133)</f>
        <v>0</v>
      </c>
      <c r="L134" s="92">
        <f t="shared" si="25"/>
        <v>48719.999999999993</v>
      </c>
      <c r="M134" s="92">
        <f t="shared" si="25"/>
        <v>0</v>
      </c>
      <c r="N134" s="92">
        <f t="shared" si="25"/>
        <v>0</v>
      </c>
      <c r="O134" s="92">
        <f t="shared" si="25"/>
        <v>315157.5</v>
      </c>
    </row>
    <row r="135" spans="1:15" x14ac:dyDescent="0.25">
      <c r="A135" s="46">
        <v>60503</v>
      </c>
      <c r="B135" s="49" t="s">
        <v>164</v>
      </c>
      <c r="C135" s="85">
        <f t="shared" ref="C135:C152" si="26">$C$1</f>
        <v>0</v>
      </c>
      <c r="D135" s="49" t="s">
        <v>9</v>
      </c>
      <c r="E135" s="49" t="s">
        <v>165</v>
      </c>
      <c r="I135" s="49" t="s">
        <v>166</v>
      </c>
      <c r="J135" s="55">
        <f>SUMIF($D$94:$D$133,D135,$J$94:$J$133)*0.3725</f>
        <v>96286.966249999998</v>
      </c>
      <c r="K135" s="55">
        <f>SUMIF($D$94:$D$133,D135,$K$94:$K$133)*0.3675</f>
        <v>0</v>
      </c>
      <c r="L135" s="55">
        <f>SUMIF($D$94:$D$133,D135,$L$94:$L$133)*0.3675</f>
        <v>0</v>
      </c>
      <c r="M135" s="55">
        <f>SUMIF($D$94:$D$133,D135,$M$94:$M$133)*0.3675</f>
        <v>0</v>
      </c>
      <c r="N135" s="55">
        <f>SUMIF($D$94:$D$133,D135,$N$94:$N$133)*0.3675</f>
        <v>0</v>
      </c>
      <c r="O135" s="50">
        <f>SUM(J135:N135)</f>
        <v>96286.966249999998</v>
      </c>
    </row>
    <row r="136" spans="1:15" x14ac:dyDescent="0.25">
      <c r="A136" s="97">
        <v>60503</v>
      </c>
      <c r="B136" s="88" t="s">
        <v>164</v>
      </c>
      <c r="C136" s="89">
        <f t="shared" si="26"/>
        <v>0</v>
      </c>
      <c r="D136" s="89" t="s">
        <v>18</v>
      </c>
      <c r="E136" s="88" t="s">
        <v>165</v>
      </c>
      <c r="I136" s="52" t="s">
        <v>167</v>
      </c>
      <c r="J136" s="55">
        <f t="shared" ref="J136:J141" si="27">SUMIF($D$94:$D$133,D136,$J$94:$J$133)*0.3675</f>
        <v>0</v>
      </c>
      <c r="K136" s="55">
        <f t="shared" ref="K136:K141" si="28">SUMIF($D$94:$D$133,D136,$K$94:$K$133)*0.3675</f>
        <v>0</v>
      </c>
      <c r="L136" s="55">
        <f t="shared" ref="L136:L140" si="29">SUMIF($D$94:$D$133,D136,$L$94:$L$133)*0.3675</f>
        <v>0</v>
      </c>
      <c r="M136" s="55">
        <f t="shared" ref="M136:M141" si="30">SUMIF($D$94:$D$133,D136,$M$94:$M$133)*0.3675</f>
        <v>0</v>
      </c>
      <c r="N136" s="55">
        <f t="shared" ref="N136:N141" si="31">SUMIF($D$94:$D$133,D136,$N$94:$N$133)*0.3675</f>
        <v>0</v>
      </c>
      <c r="O136" s="50">
        <f t="shared" si="22"/>
        <v>0</v>
      </c>
    </row>
    <row r="137" spans="1:15" x14ac:dyDescent="0.25">
      <c r="A137" s="97">
        <v>60503</v>
      </c>
      <c r="B137" s="88" t="s">
        <v>164</v>
      </c>
      <c r="C137" s="89">
        <f t="shared" si="26"/>
        <v>0</v>
      </c>
      <c r="D137" s="89" t="s">
        <v>21</v>
      </c>
      <c r="E137" s="88" t="s">
        <v>165</v>
      </c>
      <c r="I137" s="52" t="s">
        <v>168</v>
      </c>
      <c r="J137" s="55">
        <f>SUMIF($D$94:$D$133,D137,$J$94:$J$133)*0.3725</f>
        <v>2961.0025000000001</v>
      </c>
      <c r="K137" s="55">
        <f t="shared" si="28"/>
        <v>0</v>
      </c>
      <c r="L137" s="55">
        <f>SUMIF($D$94:$D$133,D137,$L$94:$L$133)*0.3725</f>
        <v>1181.1975</v>
      </c>
      <c r="M137" s="55">
        <f t="shared" si="30"/>
        <v>0</v>
      </c>
      <c r="N137" s="55">
        <f t="shared" si="31"/>
        <v>0</v>
      </c>
      <c r="O137" s="50">
        <f t="shared" si="22"/>
        <v>4142.2</v>
      </c>
    </row>
    <row r="138" spans="1:15" x14ac:dyDescent="0.25">
      <c r="A138" s="46">
        <v>60503</v>
      </c>
      <c r="B138" s="49" t="s">
        <v>164</v>
      </c>
      <c r="C138" s="85">
        <f t="shared" si="26"/>
        <v>0</v>
      </c>
      <c r="D138" s="52" t="s">
        <v>24</v>
      </c>
      <c r="E138" s="49" t="s">
        <v>165</v>
      </c>
      <c r="I138" s="49" t="s">
        <v>169</v>
      </c>
      <c r="J138" s="55">
        <f t="shared" si="27"/>
        <v>0</v>
      </c>
      <c r="K138" s="55">
        <f t="shared" si="28"/>
        <v>0</v>
      </c>
      <c r="L138" s="55">
        <f t="shared" si="29"/>
        <v>0</v>
      </c>
      <c r="M138" s="55">
        <f t="shared" si="30"/>
        <v>0</v>
      </c>
      <c r="N138" s="55">
        <f t="shared" si="31"/>
        <v>0</v>
      </c>
      <c r="O138" s="50">
        <f t="shared" si="22"/>
        <v>0</v>
      </c>
    </row>
    <row r="139" spans="1:15" x14ac:dyDescent="0.25">
      <c r="A139" s="46">
        <v>60503</v>
      </c>
      <c r="B139" s="49" t="s">
        <v>164</v>
      </c>
      <c r="C139" s="85">
        <f t="shared" si="26"/>
        <v>0</v>
      </c>
      <c r="D139" s="52" t="s">
        <v>27</v>
      </c>
      <c r="E139" s="49" t="s">
        <v>165</v>
      </c>
      <c r="I139" s="49" t="s">
        <v>170</v>
      </c>
      <c r="J139" s="55">
        <f t="shared" si="27"/>
        <v>0</v>
      </c>
      <c r="K139" s="55">
        <f t="shared" si="28"/>
        <v>0</v>
      </c>
      <c r="L139" s="55">
        <f t="shared" si="29"/>
        <v>0</v>
      </c>
      <c r="M139" s="55">
        <f t="shared" si="30"/>
        <v>0</v>
      </c>
      <c r="N139" s="55">
        <f t="shared" si="31"/>
        <v>0</v>
      </c>
      <c r="O139" s="50">
        <f t="shared" si="22"/>
        <v>0</v>
      </c>
    </row>
    <row r="140" spans="1:15" x14ac:dyDescent="0.25">
      <c r="A140" s="46">
        <v>60503</v>
      </c>
      <c r="B140" s="49" t="s">
        <v>164</v>
      </c>
      <c r="C140" s="85">
        <f t="shared" si="26"/>
        <v>0</v>
      </c>
      <c r="D140" s="52" t="s">
        <v>36</v>
      </c>
      <c r="E140" s="49" t="s">
        <v>165</v>
      </c>
      <c r="I140" s="49" t="s">
        <v>171</v>
      </c>
      <c r="J140" s="55">
        <f t="shared" si="27"/>
        <v>0</v>
      </c>
      <c r="K140" s="55">
        <f t="shared" si="28"/>
        <v>0</v>
      </c>
      <c r="L140" s="55">
        <f t="shared" si="29"/>
        <v>0</v>
      </c>
      <c r="M140" s="55">
        <f t="shared" si="30"/>
        <v>0</v>
      </c>
      <c r="N140" s="55">
        <f t="shared" si="31"/>
        <v>0</v>
      </c>
      <c r="O140" s="50">
        <f t="shared" si="22"/>
        <v>0</v>
      </c>
    </row>
    <row r="141" spans="1:15" x14ac:dyDescent="0.25">
      <c r="A141" s="46">
        <v>60503</v>
      </c>
      <c r="B141" s="49" t="s">
        <v>164</v>
      </c>
      <c r="C141" s="85">
        <f t="shared" si="26"/>
        <v>0</v>
      </c>
      <c r="D141" s="52" t="s">
        <v>39</v>
      </c>
      <c r="E141" s="49" t="s">
        <v>165</v>
      </c>
      <c r="I141" s="49" t="s">
        <v>172</v>
      </c>
      <c r="J141" s="55">
        <f t="shared" si="27"/>
        <v>0</v>
      </c>
      <c r="K141" s="55">
        <f t="shared" si="28"/>
        <v>0</v>
      </c>
      <c r="L141" s="55">
        <f>SUMIF($D$94:$D$133,D141,$L$94:$L$133)*0.3725</f>
        <v>16967.002499999999</v>
      </c>
      <c r="M141" s="55">
        <f t="shared" si="30"/>
        <v>0</v>
      </c>
      <c r="N141" s="55">
        <f t="shared" si="31"/>
        <v>0</v>
      </c>
      <c r="O141" s="50">
        <f t="shared" si="22"/>
        <v>16967.002499999999</v>
      </c>
    </row>
    <row r="142" spans="1:15" x14ac:dyDescent="0.25">
      <c r="A142" s="51">
        <v>61012</v>
      </c>
      <c r="B142" s="49" t="s">
        <v>173</v>
      </c>
      <c r="C142" s="85">
        <f t="shared" si="26"/>
        <v>0</v>
      </c>
      <c r="D142" s="49" t="s">
        <v>9</v>
      </c>
      <c r="E142" s="49" t="s">
        <v>165</v>
      </c>
      <c r="I142" s="52" t="s">
        <v>174</v>
      </c>
      <c r="J142" s="55">
        <f>SUMIF($D$94:$D$132,D142,$J$94:$J$133)*0.135+SUMIF($D$94:$D$132,D144,$J$94:$J$133)*0.135</f>
        <v>35969.0625</v>
      </c>
      <c r="K142" s="55">
        <f>SUMIF($D$94:$D$132,D142,$K$94:$K$133)*0.13</f>
        <v>0</v>
      </c>
      <c r="L142" s="55">
        <f>SUMIF($D$94:$D$133,D142,$L$94:$L$133)*0.13</f>
        <v>0</v>
      </c>
      <c r="M142" s="55">
        <f>SUMIF($D$94:$D$132,D142,$M$94:$M$133)*0.13</f>
        <v>0</v>
      </c>
      <c r="N142" s="55">
        <f>SUMIF($D$94:$D$132,D142,$N$94:$N$133)*0.13</f>
        <v>0</v>
      </c>
      <c r="O142" s="50">
        <f t="shared" si="22"/>
        <v>35969.0625</v>
      </c>
    </row>
    <row r="143" spans="1:15" x14ac:dyDescent="0.25">
      <c r="A143" s="86">
        <v>61012</v>
      </c>
      <c r="B143" s="89" t="s">
        <v>173</v>
      </c>
      <c r="C143" s="89">
        <f>$C$1</f>
        <v>0</v>
      </c>
      <c r="D143" s="89" t="s">
        <v>18</v>
      </c>
      <c r="E143" s="89" t="s">
        <v>165</v>
      </c>
      <c r="I143" s="52" t="s">
        <v>175</v>
      </c>
      <c r="J143" s="55">
        <f t="shared" ref="J143:J148" si="32">SUMIF($D$94:$D$132,D143,$J$94:$J$133)*0.13</f>
        <v>0</v>
      </c>
      <c r="K143" s="55">
        <f t="shared" ref="K143:K148" si="33">SUMIF($D$94:$D$132,D143,$K$94:$K$133)*0.13</f>
        <v>0</v>
      </c>
      <c r="L143" s="55">
        <f t="shared" ref="L143:L147" si="34">SUMIF($D$94:$D$132,D143,$L$94:$L$133)*0.13</f>
        <v>0</v>
      </c>
      <c r="M143" s="55">
        <f t="shared" ref="M143:M148" si="35">SUMIF($D$94:$D$132,D143,$M$94:$M$133)*0.13</f>
        <v>0</v>
      </c>
      <c r="N143" s="55">
        <f t="shared" ref="N143:N148" si="36">SUMIF($D$94:$D$132,D143,$N$94:$N$133)*0.13</f>
        <v>0</v>
      </c>
      <c r="O143" s="50">
        <f t="shared" si="22"/>
        <v>0</v>
      </c>
    </row>
    <row r="144" spans="1:15" x14ac:dyDescent="0.25">
      <c r="A144" s="86">
        <v>61012</v>
      </c>
      <c r="B144" s="89" t="s">
        <v>173</v>
      </c>
      <c r="C144" s="89">
        <f>$C$1</f>
        <v>0</v>
      </c>
      <c r="D144" s="89" t="s">
        <v>21</v>
      </c>
      <c r="E144" s="89" t="s">
        <v>165</v>
      </c>
      <c r="I144" s="52" t="s">
        <v>176</v>
      </c>
      <c r="J144" s="55">
        <f>SUMIF($D$94:$D$133,D144,$J$94:$J$133)*0.13*0</f>
        <v>0</v>
      </c>
      <c r="K144" s="55">
        <f>SUMIF($D$94:$D$133,D144,$K$94:$K$133)*0.13</f>
        <v>0</v>
      </c>
      <c r="L144" s="55">
        <f>SUMIF($D$94:$D$133,D144,$L$94:$L$133)*0.13*0</f>
        <v>0</v>
      </c>
      <c r="M144" s="55">
        <f>SUMIF($D$94:$D$133,D144,$M$94:$M$133)*0.13</f>
        <v>0</v>
      </c>
      <c r="N144" s="55">
        <f>SUMIF($D$94:$D$133,D144,$N$94:$N$133)*0.13</f>
        <v>0</v>
      </c>
      <c r="O144" s="50">
        <f t="shared" si="22"/>
        <v>0</v>
      </c>
    </row>
    <row r="145" spans="1:16" x14ac:dyDescent="0.25">
      <c r="A145" s="51">
        <v>61012</v>
      </c>
      <c r="B145" s="49" t="s">
        <v>173</v>
      </c>
      <c r="C145" s="85">
        <f t="shared" si="26"/>
        <v>0</v>
      </c>
      <c r="D145" s="52" t="s">
        <v>24</v>
      </c>
      <c r="E145" s="49" t="s">
        <v>165</v>
      </c>
      <c r="I145" s="52" t="s">
        <v>177</v>
      </c>
      <c r="J145" s="55">
        <f t="shared" si="32"/>
        <v>0</v>
      </c>
      <c r="K145" s="55">
        <f t="shared" si="33"/>
        <v>0</v>
      </c>
      <c r="L145" s="55">
        <f t="shared" si="34"/>
        <v>0</v>
      </c>
      <c r="M145" s="55">
        <f t="shared" si="35"/>
        <v>0</v>
      </c>
      <c r="N145" s="55">
        <f t="shared" si="36"/>
        <v>0</v>
      </c>
      <c r="O145" s="50">
        <f t="shared" si="22"/>
        <v>0</v>
      </c>
    </row>
    <row r="146" spans="1:16" x14ac:dyDescent="0.25">
      <c r="A146" s="51">
        <v>61012</v>
      </c>
      <c r="B146" s="49" t="s">
        <v>173</v>
      </c>
      <c r="C146" s="85">
        <f t="shared" si="26"/>
        <v>0</v>
      </c>
      <c r="D146" s="52" t="s">
        <v>27</v>
      </c>
      <c r="E146" s="49" t="s">
        <v>165</v>
      </c>
      <c r="I146" s="52" t="s">
        <v>178</v>
      </c>
      <c r="J146" s="55">
        <f t="shared" si="32"/>
        <v>0</v>
      </c>
      <c r="K146" s="55">
        <f t="shared" si="33"/>
        <v>0</v>
      </c>
      <c r="L146" s="55">
        <f t="shared" si="34"/>
        <v>0</v>
      </c>
      <c r="M146" s="55">
        <f t="shared" si="35"/>
        <v>0</v>
      </c>
      <c r="N146" s="55">
        <f t="shared" si="36"/>
        <v>0</v>
      </c>
      <c r="O146" s="50">
        <f t="shared" si="22"/>
        <v>0</v>
      </c>
    </row>
    <row r="147" spans="1:16" x14ac:dyDescent="0.25">
      <c r="A147" s="51">
        <v>61012</v>
      </c>
      <c r="B147" s="49" t="s">
        <v>173</v>
      </c>
      <c r="C147" s="85">
        <f t="shared" si="26"/>
        <v>0</v>
      </c>
      <c r="D147" s="52" t="s">
        <v>36</v>
      </c>
      <c r="E147" s="49" t="s">
        <v>165</v>
      </c>
      <c r="I147" s="52" t="s">
        <v>179</v>
      </c>
      <c r="J147" s="55">
        <f t="shared" si="32"/>
        <v>0</v>
      </c>
      <c r="K147" s="55">
        <f t="shared" si="33"/>
        <v>0</v>
      </c>
      <c r="L147" s="55">
        <f t="shared" si="34"/>
        <v>0</v>
      </c>
      <c r="M147" s="55">
        <f t="shared" si="35"/>
        <v>0</v>
      </c>
      <c r="N147" s="55">
        <f t="shared" si="36"/>
        <v>0</v>
      </c>
      <c r="O147" s="50">
        <f t="shared" si="22"/>
        <v>0</v>
      </c>
    </row>
    <row r="148" spans="1:16" x14ac:dyDescent="0.25">
      <c r="A148" s="51">
        <v>61012</v>
      </c>
      <c r="B148" s="49" t="s">
        <v>173</v>
      </c>
      <c r="C148" s="85">
        <f t="shared" si="26"/>
        <v>0</v>
      </c>
      <c r="D148" s="52" t="s">
        <v>39</v>
      </c>
      <c r="E148" s="49" t="s">
        <v>165</v>
      </c>
      <c r="I148" s="52" t="s">
        <v>180</v>
      </c>
      <c r="J148" s="55">
        <f t="shared" si="32"/>
        <v>0</v>
      </c>
      <c r="K148" s="55">
        <f t="shared" si="33"/>
        <v>0</v>
      </c>
      <c r="L148" s="55">
        <f>SUMIF($D$94:$D$132,D148,$L$94:$L$133)*0.135+SUMIF($D$94:$D$133,D144,$L$94:$L$133)*0.135</f>
        <v>6577.2</v>
      </c>
      <c r="M148" s="55">
        <f t="shared" si="35"/>
        <v>0</v>
      </c>
      <c r="N148" s="55">
        <f t="shared" si="36"/>
        <v>0</v>
      </c>
      <c r="O148" s="50">
        <f t="shared" si="22"/>
        <v>6577.2</v>
      </c>
    </row>
    <row r="149" spans="1:16" x14ac:dyDescent="0.25">
      <c r="A149" s="51">
        <v>60037</v>
      </c>
      <c r="B149" s="52" t="s">
        <v>181</v>
      </c>
      <c r="C149" s="85">
        <f t="shared" si="26"/>
        <v>0</v>
      </c>
      <c r="D149" s="49" t="s">
        <v>9</v>
      </c>
      <c r="E149" s="49" t="s">
        <v>165</v>
      </c>
      <c r="I149" s="52" t="s">
        <v>182</v>
      </c>
      <c r="J149" s="55">
        <f>(J39*2500)*0+(J40*2000)*0+(J42*1750)+(SUM(J44:J47)*1750)+(SUM(J48:J49)*500)+(SUM(J51:J53)*500)+(SUM(J57:J60)*500)</f>
        <v>3500</v>
      </c>
      <c r="K149" s="55">
        <f t="shared" ref="K149:N149" si="37">(K39*2500)*0+(K40*2000)*0+(K42*1750)+(SUM(K44:K47)*1750)+(SUM(K48:K49)*500)+(SUM(K51:K53)*500)+(SUM(K57:K60)*500)</f>
        <v>0</v>
      </c>
      <c r="L149" s="55">
        <f t="shared" si="37"/>
        <v>500</v>
      </c>
      <c r="M149" s="55">
        <f t="shared" si="37"/>
        <v>0</v>
      </c>
      <c r="N149" s="55">
        <f t="shared" si="37"/>
        <v>0</v>
      </c>
      <c r="O149" s="50">
        <f t="shared" si="22"/>
        <v>4000</v>
      </c>
    </row>
    <row r="150" spans="1:16" x14ac:dyDescent="0.25">
      <c r="A150" s="51">
        <v>60037</v>
      </c>
      <c r="B150" s="52" t="s">
        <v>181</v>
      </c>
      <c r="C150" s="85">
        <f t="shared" si="26"/>
        <v>0</v>
      </c>
      <c r="D150" s="49" t="s">
        <v>9</v>
      </c>
      <c r="E150" s="49" t="s">
        <v>165</v>
      </c>
      <c r="I150" s="52" t="s">
        <v>183</v>
      </c>
      <c r="J150" s="55">
        <f>(J39+J40+J42+J44+J45+J46+J47+J48+J49+J51+J52+J53+J57+J58+J59+J60)*125+125*3</f>
        <v>750</v>
      </c>
      <c r="K150" s="55">
        <f>(K39+K40+K42+K44+K45+K46+K47+K48+K49+K51+K52+K53+K57+K58+K59+K60)*125</f>
        <v>0</v>
      </c>
      <c r="L150" s="55">
        <f t="shared" ref="L150:N150" si="38">(L39+L40+L42+L44+L45+L46+L47+L48+L49+L51+L52+L53+L57+L58+L59+L60)*125</f>
        <v>125</v>
      </c>
      <c r="M150" s="55">
        <f t="shared" si="38"/>
        <v>0</v>
      </c>
      <c r="N150" s="55">
        <f t="shared" si="38"/>
        <v>0</v>
      </c>
      <c r="O150" s="50">
        <f t="shared" si="22"/>
        <v>875</v>
      </c>
    </row>
    <row r="151" spans="1:16" x14ac:dyDescent="0.25">
      <c r="A151" s="51">
        <v>60037</v>
      </c>
      <c r="B151" s="52" t="s">
        <v>181</v>
      </c>
      <c r="C151" s="85">
        <f t="shared" si="26"/>
        <v>0</v>
      </c>
      <c r="D151" s="49" t="s">
        <v>9</v>
      </c>
      <c r="E151" s="49" t="s">
        <v>165</v>
      </c>
      <c r="I151" s="52" t="s">
        <v>184</v>
      </c>
      <c r="J151" s="55"/>
      <c r="K151" s="55"/>
      <c r="L151" s="55"/>
      <c r="M151" s="55"/>
      <c r="N151" s="55"/>
      <c r="O151" s="50">
        <f t="shared" si="22"/>
        <v>0</v>
      </c>
    </row>
    <row r="152" spans="1:16" x14ac:dyDescent="0.25">
      <c r="A152" s="56">
        <v>61251</v>
      </c>
      <c r="B152" s="57" t="s">
        <v>185</v>
      </c>
      <c r="C152" s="85">
        <f t="shared" si="26"/>
        <v>0</v>
      </c>
      <c r="D152" s="49" t="s">
        <v>9</v>
      </c>
      <c r="E152" s="52" t="s">
        <v>186</v>
      </c>
      <c r="I152" s="57" t="s">
        <v>187</v>
      </c>
      <c r="J152" s="58"/>
      <c r="K152" s="58"/>
      <c r="L152" s="58"/>
      <c r="M152" s="58"/>
      <c r="N152" s="58"/>
      <c r="O152" s="50">
        <f t="shared" si="22"/>
        <v>0</v>
      </c>
    </row>
    <row r="153" spans="1:16" x14ac:dyDescent="0.25">
      <c r="A153" s="98"/>
      <c r="B153" s="98"/>
      <c r="C153" s="98"/>
      <c r="D153" s="98"/>
      <c r="E153" s="98"/>
      <c r="F153" s="96"/>
      <c r="H153" s="93" t="s">
        <v>188</v>
      </c>
      <c r="I153" s="94"/>
      <c r="J153" s="92">
        <f t="shared" ref="J153:O153" si="39">SUM(J135:J152)</f>
        <v>139467.03125</v>
      </c>
      <c r="K153" s="92">
        <f t="shared" si="39"/>
        <v>0</v>
      </c>
      <c r="L153" s="92">
        <f t="shared" si="39"/>
        <v>25350.399999999998</v>
      </c>
      <c r="M153" s="92">
        <f t="shared" si="39"/>
        <v>0</v>
      </c>
      <c r="N153" s="92">
        <f t="shared" si="39"/>
        <v>0</v>
      </c>
      <c r="O153" s="92">
        <f t="shared" si="39"/>
        <v>164817.43125000002</v>
      </c>
      <c r="P153" s="96"/>
    </row>
    <row r="154" spans="1:16" ht="16.5" thickBot="1" x14ac:dyDescent="0.3">
      <c r="J154" s="99"/>
      <c r="K154" s="99"/>
      <c r="L154" s="99"/>
      <c r="M154" s="99"/>
      <c r="N154" s="99"/>
      <c r="O154" s="99"/>
    </row>
    <row r="155" spans="1:16" ht="16.5" thickBot="1" x14ac:dyDescent="0.3">
      <c r="A155" s="68" t="s">
        <v>5</v>
      </c>
      <c r="B155" s="68" t="s">
        <v>91</v>
      </c>
      <c r="C155" s="68" t="s">
        <v>92</v>
      </c>
      <c r="D155" s="68" t="s">
        <v>4</v>
      </c>
      <c r="E155" s="68" t="s">
        <v>93</v>
      </c>
      <c r="H155" s="100" t="s">
        <v>189</v>
      </c>
      <c r="I155" s="82"/>
      <c r="J155" s="101" t="str">
        <f>J20</f>
        <v>Operating</v>
      </c>
      <c r="K155" s="101" t="str">
        <f t="shared" ref="K155:O155" si="40">K20</f>
        <v>SPED</v>
      </c>
      <c r="L155" s="101" t="str">
        <f t="shared" si="40"/>
        <v>NSLP</v>
      </c>
      <c r="M155" s="101" t="str">
        <f t="shared" si="40"/>
        <v>Title(s)</v>
      </c>
      <c r="N155" s="101" t="str">
        <f t="shared" si="40"/>
        <v>Other</v>
      </c>
      <c r="O155" s="101" t="str">
        <f t="shared" si="40"/>
        <v>Total</v>
      </c>
    </row>
    <row r="156" spans="1:16" x14ac:dyDescent="0.25">
      <c r="A156" s="73"/>
      <c r="B156" s="74"/>
      <c r="C156" s="74"/>
      <c r="D156" s="74"/>
      <c r="E156" s="74"/>
      <c r="H156" s="77" t="s">
        <v>190</v>
      </c>
      <c r="I156" s="78"/>
      <c r="J156" s="79"/>
      <c r="K156" s="79"/>
      <c r="L156" s="79"/>
      <c r="M156" s="79"/>
      <c r="N156" s="79"/>
      <c r="O156" s="79"/>
    </row>
    <row r="157" spans="1:16" x14ac:dyDescent="0.25">
      <c r="A157" s="51">
        <v>60010</v>
      </c>
      <c r="B157" s="49" t="s">
        <v>191</v>
      </c>
      <c r="C157" s="85">
        <f t="shared" ref="C157:C167" si="41">$C$1</f>
        <v>0</v>
      </c>
      <c r="D157" s="49" t="s">
        <v>9</v>
      </c>
      <c r="E157" s="52" t="s">
        <v>186</v>
      </c>
      <c r="I157" s="49" t="s">
        <v>192</v>
      </c>
      <c r="J157" s="102">
        <v>0</v>
      </c>
      <c r="K157" s="102"/>
      <c r="L157" s="102"/>
      <c r="M157" s="102"/>
      <c r="N157" s="102"/>
      <c r="O157" s="50">
        <f t="shared" ref="O157:O200" si="42">SUM(J157:N157)</f>
        <v>0</v>
      </c>
    </row>
    <row r="158" spans="1:16" x14ac:dyDescent="0.25">
      <c r="A158" s="51">
        <v>60010</v>
      </c>
      <c r="B158" s="49" t="s">
        <v>191</v>
      </c>
      <c r="C158" s="85">
        <f t="shared" si="41"/>
        <v>0</v>
      </c>
      <c r="D158" s="52" t="s">
        <v>18</v>
      </c>
      <c r="E158" s="52" t="s">
        <v>186</v>
      </c>
      <c r="I158" s="49" t="s">
        <v>193</v>
      </c>
      <c r="J158" s="102"/>
      <c r="K158" s="102"/>
      <c r="L158" s="102"/>
      <c r="M158" s="102"/>
      <c r="N158" s="102"/>
      <c r="O158" s="50">
        <f t="shared" si="42"/>
        <v>0</v>
      </c>
    </row>
    <row r="159" spans="1:16" x14ac:dyDescent="0.25">
      <c r="A159" s="51">
        <v>60010</v>
      </c>
      <c r="B159" s="49" t="s">
        <v>191</v>
      </c>
      <c r="C159" s="85">
        <f t="shared" si="41"/>
        <v>0</v>
      </c>
      <c r="D159" s="52" t="s">
        <v>36</v>
      </c>
      <c r="E159" s="52" t="s">
        <v>186</v>
      </c>
      <c r="I159" s="49" t="s">
        <v>194</v>
      </c>
      <c r="J159" s="102">
        <v>0</v>
      </c>
      <c r="K159" s="102"/>
      <c r="L159" s="102"/>
      <c r="M159" s="102">
        <f>(84*24*40)*M41</f>
        <v>0</v>
      </c>
      <c r="N159" s="102"/>
      <c r="O159" s="50">
        <f t="shared" si="42"/>
        <v>0</v>
      </c>
    </row>
    <row r="160" spans="1:16" x14ac:dyDescent="0.25">
      <c r="A160" s="51">
        <v>60010</v>
      </c>
      <c r="B160" s="52" t="s">
        <v>191</v>
      </c>
      <c r="C160" s="85">
        <f t="shared" si="41"/>
        <v>0</v>
      </c>
      <c r="D160" s="52" t="s">
        <v>12</v>
      </c>
      <c r="E160" s="52" t="s">
        <v>186</v>
      </c>
      <c r="I160" s="52" t="s">
        <v>67</v>
      </c>
      <c r="J160" s="55">
        <v>0</v>
      </c>
      <c r="K160" s="55"/>
      <c r="L160" s="55"/>
      <c r="M160" s="55"/>
      <c r="N160" s="55"/>
      <c r="O160" s="50">
        <f t="shared" si="42"/>
        <v>0</v>
      </c>
    </row>
    <row r="161" spans="1:15" x14ac:dyDescent="0.25">
      <c r="A161" s="51">
        <v>60010</v>
      </c>
      <c r="B161" s="52" t="s">
        <v>191</v>
      </c>
      <c r="C161" s="85">
        <f t="shared" si="41"/>
        <v>0</v>
      </c>
      <c r="D161" s="52" t="s">
        <v>36</v>
      </c>
      <c r="E161" s="52" t="s">
        <v>186</v>
      </c>
      <c r="I161" s="52" t="s">
        <v>195</v>
      </c>
      <c r="J161" s="55"/>
      <c r="K161" s="55"/>
      <c r="L161" s="55"/>
      <c r="M161" s="55"/>
      <c r="N161" s="55"/>
      <c r="O161" s="50">
        <f t="shared" si="42"/>
        <v>0</v>
      </c>
    </row>
    <row r="162" spans="1:15" x14ac:dyDescent="0.25">
      <c r="A162" s="51">
        <v>60010</v>
      </c>
      <c r="B162" s="52" t="s">
        <v>191</v>
      </c>
      <c r="C162" s="85">
        <f t="shared" si="41"/>
        <v>0</v>
      </c>
      <c r="D162" s="49" t="s">
        <v>9</v>
      </c>
      <c r="E162" s="52" t="s">
        <v>186</v>
      </c>
      <c r="I162" s="52" t="s">
        <v>196</v>
      </c>
      <c r="J162" s="55">
        <f>(55200*1.015)*(J36-J35-J28)+0-J165-J163-K162</f>
        <v>339857.8173913043</v>
      </c>
      <c r="K162" s="55">
        <f>25500</f>
        <v>25500</v>
      </c>
      <c r="L162" s="55"/>
      <c r="M162" s="55"/>
      <c r="N162" s="55"/>
      <c r="O162" s="50">
        <f t="shared" si="42"/>
        <v>365357.8173913043</v>
      </c>
    </row>
    <row r="163" spans="1:15" x14ac:dyDescent="0.25">
      <c r="A163" s="51">
        <v>60010</v>
      </c>
      <c r="B163" s="52" t="s">
        <v>191</v>
      </c>
      <c r="C163" s="85">
        <f t="shared" si="41"/>
        <v>0</v>
      </c>
      <c r="D163" s="52" t="s">
        <v>12</v>
      </c>
      <c r="E163" s="52" t="s">
        <v>186</v>
      </c>
      <c r="I163" s="52" t="s">
        <v>197</v>
      </c>
      <c r="J163" s="55">
        <f>416711*(J22/J17)</f>
        <v>57977.18260869565</v>
      </c>
      <c r="K163" s="55"/>
      <c r="L163" s="55"/>
      <c r="M163" s="55"/>
      <c r="N163" s="55"/>
      <c r="O163" s="50">
        <f t="shared" si="42"/>
        <v>57977.18260869565</v>
      </c>
    </row>
    <row r="164" spans="1:15" x14ac:dyDescent="0.25">
      <c r="A164" s="51">
        <v>60010</v>
      </c>
      <c r="B164" s="52" t="s">
        <v>191</v>
      </c>
      <c r="C164" s="85">
        <f t="shared" si="41"/>
        <v>0</v>
      </c>
      <c r="D164" s="52" t="s">
        <v>18</v>
      </c>
      <c r="E164" s="52" t="s">
        <v>186</v>
      </c>
      <c r="I164" s="52" t="s">
        <v>198</v>
      </c>
      <c r="J164" s="55"/>
      <c r="K164" s="55"/>
      <c r="L164" s="55"/>
      <c r="M164" s="55"/>
      <c r="N164" s="55"/>
      <c r="O164" s="50">
        <f t="shared" si="42"/>
        <v>0</v>
      </c>
    </row>
    <row r="165" spans="1:15" x14ac:dyDescent="0.25">
      <c r="A165" s="51">
        <v>60010</v>
      </c>
      <c r="B165" s="52" t="s">
        <v>191</v>
      </c>
      <c r="C165" s="85">
        <f t="shared" si="41"/>
        <v>0</v>
      </c>
      <c r="D165" s="52" t="s">
        <v>21</v>
      </c>
      <c r="E165" s="52" t="s">
        <v>186</v>
      </c>
      <c r="I165" s="52" t="s">
        <v>199</v>
      </c>
      <c r="J165" s="55">
        <v>24889</v>
      </c>
      <c r="K165" s="55"/>
      <c r="L165" s="55"/>
      <c r="M165" s="55"/>
      <c r="N165" s="55"/>
      <c r="O165" s="50">
        <f t="shared" si="42"/>
        <v>24889</v>
      </c>
    </row>
    <row r="166" spans="1:15" x14ac:dyDescent="0.25">
      <c r="A166" s="51">
        <v>60010</v>
      </c>
      <c r="B166" s="52" t="s">
        <v>191</v>
      </c>
      <c r="C166" s="85">
        <f t="shared" si="41"/>
        <v>0</v>
      </c>
      <c r="D166" s="52" t="s">
        <v>24</v>
      </c>
      <c r="E166" s="52" t="s">
        <v>186</v>
      </c>
      <c r="I166" s="52" t="s">
        <v>200</v>
      </c>
      <c r="J166" s="55"/>
      <c r="K166" s="55"/>
      <c r="L166" s="55"/>
      <c r="M166" s="55"/>
      <c r="N166" s="55"/>
      <c r="O166" s="50">
        <f t="shared" si="42"/>
        <v>0</v>
      </c>
    </row>
    <row r="167" spans="1:15" ht="16.5" thickBot="1" x14ac:dyDescent="0.3">
      <c r="A167" s="51">
        <v>60010</v>
      </c>
      <c r="B167" s="52" t="s">
        <v>191</v>
      </c>
      <c r="C167" s="85">
        <f t="shared" si="41"/>
        <v>0</v>
      </c>
      <c r="D167" s="52" t="s">
        <v>15</v>
      </c>
      <c r="E167" s="52" t="s">
        <v>186</v>
      </c>
      <c r="I167" s="52" t="s">
        <v>201</v>
      </c>
      <c r="J167" s="55"/>
      <c r="K167" s="55"/>
      <c r="L167" s="55"/>
      <c r="M167" s="55"/>
      <c r="N167" s="55"/>
      <c r="O167" s="50">
        <f t="shared" si="42"/>
        <v>0</v>
      </c>
    </row>
    <row r="168" spans="1:15" x14ac:dyDescent="0.25">
      <c r="A168" s="73"/>
      <c r="B168" s="74"/>
      <c r="C168" s="74"/>
      <c r="D168" s="74"/>
      <c r="E168" s="74"/>
      <c r="H168" s="77" t="s">
        <v>202</v>
      </c>
      <c r="I168" s="78"/>
      <c r="J168" s="79"/>
      <c r="K168" s="79"/>
      <c r="L168" s="79"/>
      <c r="M168" s="79"/>
      <c r="N168" s="79"/>
      <c r="O168" s="79"/>
    </row>
    <row r="169" spans="1:15" ht="16.5" thickBot="1" x14ac:dyDescent="0.3">
      <c r="A169" s="51">
        <v>60013</v>
      </c>
      <c r="B169" s="52" t="s">
        <v>191</v>
      </c>
      <c r="C169" s="85">
        <f>$C$1</f>
        <v>0</v>
      </c>
      <c r="D169" s="52" t="s">
        <v>27</v>
      </c>
      <c r="E169" s="52" t="s">
        <v>186</v>
      </c>
      <c r="I169" s="52" t="s">
        <v>203</v>
      </c>
      <c r="J169" s="55">
        <f>50000*(J28)</f>
        <v>0</v>
      </c>
      <c r="K169" s="55">
        <f>(51045*1.015)*(K28)</f>
        <v>51810.674999999996</v>
      </c>
      <c r="L169" s="55"/>
      <c r="M169" s="55"/>
      <c r="N169" s="55"/>
      <c r="O169" s="50">
        <f t="shared" si="42"/>
        <v>51810.674999999996</v>
      </c>
    </row>
    <row r="170" spans="1:15" x14ac:dyDescent="0.25">
      <c r="A170" s="73"/>
      <c r="B170" s="74"/>
      <c r="C170" s="74"/>
      <c r="D170" s="74"/>
      <c r="E170" s="74"/>
      <c r="H170" s="77" t="s">
        <v>202</v>
      </c>
      <c r="I170" s="78"/>
      <c r="J170" s="79"/>
      <c r="K170" s="79"/>
      <c r="L170" s="79"/>
      <c r="M170" s="79"/>
      <c r="N170" s="79"/>
      <c r="O170" s="79"/>
    </row>
    <row r="171" spans="1:15" x14ac:dyDescent="0.25">
      <c r="A171" s="51">
        <v>60020</v>
      </c>
      <c r="B171" s="52" t="s">
        <v>204</v>
      </c>
      <c r="C171" s="85">
        <f t="shared" ref="C171:C177" si="43">$C$1</f>
        <v>0</v>
      </c>
      <c r="D171" s="49" t="s">
        <v>9</v>
      </c>
      <c r="E171" s="52" t="s">
        <v>186</v>
      </c>
      <c r="I171" s="52" t="s">
        <v>205</v>
      </c>
      <c r="J171" s="55">
        <v>0</v>
      </c>
      <c r="K171" s="55"/>
      <c r="L171" s="55"/>
      <c r="M171" s="55"/>
      <c r="N171" s="55"/>
      <c r="O171" s="50">
        <f t="shared" si="42"/>
        <v>0</v>
      </c>
    </row>
    <row r="172" spans="1:15" x14ac:dyDescent="0.25">
      <c r="A172" s="51">
        <v>60020</v>
      </c>
      <c r="B172" s="52" t="s">
        <v>204</v>
      </c>
      <c r="C172" s="85">
        <f t="shared" si="43"/>
        <v>0</v>
      </c>
      <c r="D172" s="52" t="s">
        <v>18</v>
      </c>
      <c r="E172" s="52" t="s">
        <v>186</v>
      </c>
      <c r="I172" s="52" t="s">
        <v>206</v>
      </c>
      <c r="J172" s="55"/>
      <c r="K172" s="55"/>
      <c r="L172" s="55"/>
      <c r="M172" s="55">
        <v>5000</v>
      </c>
      <c r="N172" s="55"/>
      <c r="O172" s="50">
        <f t="shared" si="42"/>
        <v>5000</v>
      </c>
    </row>
    <row r="173" spans="1:15" x14ac:dyDescent="0.25">
      <c r="A173" s="51">
        <v>60020</v>
      </c>
      <c r="B173" s="52" t="s">
        <v>204</v>
      </c>
      <c r="C173" s="85">
        <f t="shared" si="43"/>
        <v>0</v>
      </c>
      <c r="D173" s="52" t="s">
        <v>12</v>
      </c>
      <c r="E173" s="52" t="s">
        <v>186</v>
      </c>
      <c r="I173" s="52" t="s">
        <v>207</v>
      </c>
      <c r="J173" s="55">
        <v>0</v>
      </c>
      <c r="K173" s="55"/>
      <c r="L173" s="55"/>
      <c r="M173" s="55"/>
      <c r="N173" s="55"/>
      <c r="O173" s="50">
        <f t="shared" si="42"/>
        <v>0</v>
      </c>
    </row>
    <row r="174" spans="1:15" x14ac:dyDescent="0.25">
      <c r="A174" s="86">
        <v>60020</v>
      </c>
      <c r="B174" s="89" t="s">
        <v>204</v>
      </c>
      <c r="C174" s="89">
        <f t="shared" si="43"/>
        <v>0</v>
      </c>
      <c r="D174" s="89" t="s">
        <v>21</v>
      </c>
      <c r="E174" s="89" t="s">
        <v>186</v>
      </c>
      <c r="I174" s="52" t="s">
        <v>208</v>
      </c>
      <c r="J174" s="55">
        <v>0</v>
      </c>
      <c r="K174" s="55"/>
      <c r="L174" s="55"/>
      <c r="M174" s="55">
        <v>351</v>
      </c>
      <c r="N174" s="55"/>
      <c r="O174" s="50">
        <f t="shared" ref="O174" si="44">SUM(J174:N174)</f>
        <v>351</v>
      </c>
    </row>
    <row r="175" spans="1:15" x14ac:dyDescent="0.25">
      <c r="A175" s="51">
        <v>60020</v>
      </c>
      <c r="B175" s="52" t="s">
        <v>209</v>
      </c>
      <c r="C175" s="85">
        <f t="shared" si="43"/>
        <v>0</v>
      </c>
      <c r="D175" s="52" t="s">
        <v>24</v>
      </c>
      <c r="E175" s="52" t="s">
        <v>186</v>
      </c>
      <c r="I175" s="52" t="s">
        <v>210</v>
      </c>
      <c r="J175" s="55">
        <v>0</v>
      </c>
      <c r="K175" s="55"/>
      <c r="L175" s="55"/>
      <c r="M175" s="55"/>
      <c r="N175" s="55"/>
      <c r="O175" s="50">
        <f t="shared" si="42"/>
        <v>0</v>
      </c>
    </row>
    <row r="176" spans="1:15" x14ac:dyDescent="0.25">
      <c r="A176" s="51">
        <v>60020</v>
      </c>
      <c r="B176" s="52" t="s">
        <v>209</v>
      </c>
      <c r="C176" s="85">
        <f t="shared" si="43"/>
        <v>0</v>
      </c>
      <c r="D176" s="52" t="s">
        <v>27</v>
      </c>
      <c r="E176" s="52" t="s">
        <v>186</v>
      </c>
      <c r="I176" s="52" t="s">
        <v>211</v>
      </c>
      <c r="J176" s="55"/>
      <c r="K176" s="55"/>
      <c r="L176" s="55"/>
      <c r="M176" s="55"/>
      <c r="N176" s="55"/>
      <c r="O176" s="50">
        <f t="shared" si="42"/>
        <v>0</v>
      </c>
    </row>
    <row r="177" spans="1:16" ht="16.5" thickBot="1" x14ac:dyDescent="0.3">
      <c r="A177" s="51">
        <v>60020</v>
      </c>
      <c r="B177" s="52" t="s">
        <v>209</v>
      </c>
      <c r="C177" s="85">
        <f t="shared" si="43"/>
        <v>0</v>
      </c>
      <c r="D177" s="52" t="s">
        <v>36</v>
      </c>
      <c r="E177" s="52" t="s">
        <v>186</v>
      </c>
      <c r="I177" s="52" t="s">
        <v>212</v>
      </c>
      <c r="J177" s="55"/>
      <c r="K177" s="55"/>
      <c r="L177" s="55"/>
      <c r="M177" s="55">
        <f>(15.5*8*180)*M50-M172-M174</f>
        <v>16969</v>
      </c>
      <c r="N177" s="55"/>
      <c r="O177" s="50">
        <f t="shared" si="42"/>
        <v>16969</v>
      </c>
    </row>
    <row r="178" spans="1:16" x14ac:dyDescent="0.25">
      <c r="A178" s="73"/>
      <c r="B178" s="74"/>
      <c r="C178" s="74"/>
      <c r="D178" s="74"/>
      <c r="E178" s="74"/>
      <c r="H178" s="77" t="s">
        <v>213</v>
      </c>
      <c r="I178" s="78"/>
      <c r="J178" s="79"/>
      <c r="K178" s="79"/>
      <c r="L178" s="79"/>
      <c r="M178" s="79"/>
      <c r="N178" s="79"/>
      <c r="O178" s="79"/>
    </row>
    <row r="179" spans="1:16" x14ac:dyDescent="0.25">
      <c r="A179" s="56">
        <v>60030</v>
      </c>
      <c r="B179" s="57" t="s">
        <v>214</v>
      </c>
      <c r="C179" s="85">
        <f>$C$1</f>
        <v>0</v>
      </c>
      <c r="D179" s="49" t="s">
        <v>9</v>
      </c>
      <c r="E179" s="52" t="s">
        <v>186</v>
      </c>
      <c r="I179" s="57" t="s">
        <v>85</v>
      </c>
      <c r="J179" s="58">
        <f>170*180*J59</f>
        <v>0</v>
      </c>
      <c r="K179" s="58"/>
      <c r="L179" s="58"/>
      <c r="M179" s="58"/>
      <c r="N179" s="58"/>
      <c r="O179" s="50">
        <f t="shared" si="42"/>
        <v>0</v>
      </c>
    </row>
    <row r="180" spans="1:16" x14ac:dyDescent="0.25">
      <c r="A180" s="98"/>
      <c r="B180" s="98"/>
      <c r="C180" s="98"/>
      <c r="D180" s="98"/>
      <c r="E180" s="98"/>
      <c r="F180" s="95"/>
      <c r="H180" s="93" t="s">
        <v>215</v>
      </c>
      <c r="I180" s="103"/>
      <c r="J180" s="92">
        <f t="shared" ref="J180:O180" si="45">SUM(J157:J179)</f>
        <v>422723.99999999994</v>
      </c>
      <c r="K180" s="92">
        <f t="shared" si="45"/>
        <v>77310.674999999988</v>
      </c>
      <c r="L180" s="92">
        <f t="shared" si="45"/>
        <v>0</v>
      </c>
      <c r="M180" s="92">
        <f t="shared" si="45"/>
        <v>22320</v>
      </c>
      <c r="N180" s="92">
        <f t="shared" si="45"/>
        <v>0</v>
      </c>
      <c r="O180" s="92">
        <f t="shared" si="45"/>
        <v>522354.67499999993</v>
      </c>
      <c r="P180" s="95"/>
    </row>
    <row r="181" spans="1:16" x14ac:dyDescent="0.25">
      <c r="A181" s="46">
        <v>60505</v>
      </c>
      <c r="B181" s="49" t="s">
        <v>216</v>
      </c>
      <c r="C181" s="85">
        <f t="shared" ref="C181:C200" si="46">$C$1</f>
        <v>0</v>
      </c>
      <c r="D181" s="49" t="s">
        <v>9</v>
      </c>
      <c r="E181" s="52" t="s">
        <v>186</v>
      </c>
      <c r="F181" s="95"/>
      <c r="I181" s="49" t="s">
        <v>166</v>
      </c>
      <c r="J181" s="55">
        <f>SUMIF($D$157:$D$179,D181,$J$157:$J$179)*0.3725</f>
        <v>126597.03697826085</v>
      </c>
      <c r="K181" s="55">
        <f>SUMIF($D$157:$D$179,D181,$K$157:$K$179)*0.3725</f>
        <v>9498.75</v>
      </c>
      <c r="L181" s="55">
        <f t="shared" ref="L181:L188" si="47">SUMIF($D$157:$D$179,D181,$L$157:$L$179)*0.3675</f>
        <v>0</v>
      </c>
      <c r="M181" s="55">
        <f t="shared" ref="M181:M187" si="48">SUMIF($D$157:$D$179,D181,$M$157:$M$179)*0.3675</f>
        <v>0</v>
      </c>
      <c r="N181" s="55">
        <f t="shared" ref="N181:N188" si="49">SUMIF($D$157:$D$179,D181,$N$157:$N$179)*0.3675</f>
        <v>0</v>
      </c>
      <c r="O181" s="50">
        <f t="shared" si="42"/>
        <v>136095.78697826085</v>
      </c>
      <c r="P181" s="95"/>
    </row>
    <row r="182" spans="1:16" x14ac:dyDescent="0.25">
      <c r="A182" s="46">
        <v>60505</v>
      </c>
      <c r="B182" s="49" t="s">
        <v>216</v>
      </c>
      <c r="C182" s="85">
        <f t="shared" si="46"/>
        <v>0</v>
      </c>
      <c r="D182" s="52" t="s">
        <v>12</v>
      </c>
      <c r="E182" s="52" t="s">
        <v>186</v>
      </c>
      <c r="F182" s="95"/>
      <c r="I182" s="49" t="s">
        <v>217</v>
      </c>
      <c r="J182" s="55">
        <f>SUMIF($D$157:$D$179,D182,$J$157:$J$179)*0.3725</f>
        <v>21596.50052173913</v>
      </c>
      <c r="K182" s="55">
        <f t="shared" ref="K182:K188" si="50">SUMIF($D$157:$D$179,D182,$K$157:$K$179)*0.3675</f>
        <v>0</v>
      </c>
      <c r="L182" s="55">
        <f t="shared" si="47"/>
        <v>0</v>
      </c>
      <c r="M182" s="55">
        <f t="shared" si="48"/>
        <v>0</v>
      </c>
      <c r="N182" s="55">
        <f t="shared" si="49"/>
        <v>0</v>
      </c>
      <c r="O182" s="50">
        <f t="shared" si="42"/>
        <v>21596.50052173913</v>
      </c>
      <c r="P182" s="95"/>
    </row>
    <row r="183" spans="1:16" x14ac:dyDescent="0.25">
      <c r="A183" s="46">
        <v>60505</v>
      </c>
      <c r="B183" s="49" t="s">
        <v>216</v>
      </c>
      <c r="C183" s="85">
        <f t="shared" si="46"/>
        <v>0</v>
      </c>
      <c r="D183" s="52" t="s">
        <v>15</v>
      </c>
      <c r="E183" s="52" t="s">
        <v>186</v>
      </c>
      <c r="F183" s="95"/>
      <c r="I183" s="49" t="s">
        <v>218</v>
      </c>
      <c r="J183" s="55">
        <f t="shared" ref="J183:J188" si="51">SUMIF($D$157:$D$179,D183,$J$157:$J$179)*0.3675</f>
        <v>0</v>
      </c>
      <c r="K183" s="55">
        <f t="shared" si="50"/>
        <v>0</v>
      </c>
      <c r="L183" s="55">
        <f t="shared" si="47"/>
        <v>0</v>
      </c>
      <c r="M183" s="55">
        <f t="shared" si="48"/>
        <v>0</v>
      </c>
      <c r="N183" s="55">
        <f t="shared" si="49"/>
        <v>0</v>
      </c>
      <c r="O183" s="50">
        <f t="shared" si="42"/>
        <v>0</v>
      </c>
      <c r="P183" s="95"/>
    </row>
    <row r="184" spans="1:16" x14ac:dyDescent="0.25">
      <c r="A184" s="46">
        <v>60505</v>
      </c>
      <c r="B184" s="49" t="s">
        <v>216</v>
      </c>
      <c r="C184" s="85">
        <f t="shared" si="46"/>
        <v>0</v>
      </c>
      <c r="D184" s="52" t="s">
        <v>18</v>
      </c>
      <c r="E184" s="52" t="s">
        <v>186</v>
      </c>
      <c r="F184" s="95"/>
      <c r="I184" s="49" t="s">
        <v>167</v>
      </c>
      <c r="J184" s="55">
        <f t="shared" si="51"/>
        <v>0</v>
      </c>
      <c r="K184" s="55">
        <f t="shared" si="50"/>
        <v>0</v>
      </c>
      <c r="L184" s="55">
        <f t="shared" si="47"/>
        <v>0</v>
      </c>
      <c r="M184" s="55">
        <f>SUMIF($D$157:$D$179,D184,$M$157:$M$179)*0.3725</f>
        <v>1862.5</v>
      </c>
      <c r="N184" s="55">
        <f t="shared" si="49"/>
        <v>0</v>
      </c>
      <c r="O184" s="50">
        <f t="shared" si="42"/>
        <v>1862.5</v>
      </c>
      <c r="P184" s="95"/>
    </row>
    <row r="185" spans="1:16" x14ac:dyDescent="0.25">
      <c r="A185" s="46">
        <v>60505</v>
      </c>
      <c r="B185" s="49" t="s">
        <v>216</v>
      </c>
      <c r="C185" s="85">
        <f t="shared" si="46"/>
        <v>0</v>
      </c>
      <c r="D185" s="52" t="s">
        <v>21</v>
      </c>
      <c r="E185" s="52" t="s">
        <v>186</v>
      </c>
      <c r="F185" s="95"/>
      <c r="I185" s="49" t="s">
        <v>168</v>
      </c>
      <c r="J185" s="55">
        <f>SUMIF($D$157:$D$179,D185,$J$157:$J$179)*0.3725</f>
        <v>9271.1525000000001</v>
      </c>
      <c r="K185" s="55">
        <f t="shared" si="50"/>
        <v>0</v>
      </c>
      <c r="L185" s="55">
        <f t="shared" si="47"/>
        <v>0</v>
      </c>
      <c r="M185" s="55">
        <f t="shared" si="48"/>
        <v>128.99250000000001</v>
      </c>
      <c r="N185" s="55">
        <f t="shared" si="49"/>
        <v>0</v>
      </c>
      <c r="O185" s="50">
        <f t="shared" si="42"/>
        <v>9400.1450000000004</v>
      </c>
      <c r="P185" s="95"/>
    </row>
    <row r="186" spans="1:16" x14ac:dyDescent="0.25">
      <c r="A186" s="46">
        <v>60505</v>
      </c>
      <c r="B186" s="49" t="s">
        <v>216</v>
      </c>
      <c r="C186" s="85">
        <f t="shared" si="46"/>
        <v>0</v>
      </c>
      <c r="D186" s="52" t="s">
        <v>24</v>
      </c>
      <c r="E186" s="52" t="s">
        <v>186</v>
      </c>
      <c r="F186" s="95"/>
      <c r="I186" s="49" t="s">
        <v>169</v>
      </c>
      <c r="J186" s="55">
        <f t="shared" si="51"/>
        <v>0</v>
      </c>
      <c r="K186" s="55">
        <f t="shared" si="50"/>
        <v>0</v>
      </c>
      <c r="L186" s="55">
        <f t="shared" si="47"/>
        <v>0</v>
      </c>
      <c r="M186" s="55">
        <f t="shared" si="48"/>
        <v>0</v>
      </c>
      <c r="N186" s="55">
        <f t="shared" si="49"/>
        <v>0</v>
      </c>
      <c r="O186" s="50">
        <f t="shared" si="42"/>
        <v>0</v>
      </c>
      <c r="P186" s="95"/>
    </row>
    <row r="187" spans="1:16" x14ac:dyDescent="0.25">
      <c r="A187" s="46">
        <v>60505</v>
      </c>
      <c r="B187" s="49" t="s">
        <v>216</v>
      </c>
      <c r="C187" s="85">
        <f t="shared" si="46"/>
        <v>0</v>
      </c>
      <c r="D187" s="52" t="s">
        <v>27</v>
      </c>
      <c r="E187" s="52" t="s">
        <v>186</v>
      </c>
      <c r="F187" s="95"/>
      <c r="I187" s="49" t="s">
        <v>170</v>
      </c>
      <c r="J187" s="55">
        <f t="shared" si="51"/>
        <v>0</v>
      </c>
      <c r="K187" s="55">
        <f>SUMIF($D$157:$D$179,D187,$K$157:$K$179)*0.3725</f>
        <v>19299.476437499998</v>
      </c>
      <c r="L187" s="55">
        <f t="shared" si="47"/>
        <v>0</v>
      </c>
      <c r="M187" s="55">
        <f t="shared" si="48"/>
        <v>0</v>
      </c>
      <c r="N187" s="55">
        <f t="shared" si="49"/>
        <v>0</v>
      </c>
      <c r="O187" s="50">
        <f t="shared" si="42"/>
        <v>19299.476437499998</v>
      </c>
      <c r="P187" s="95"/>
    </row>
    <row r="188" spans="1:16" x14ac:dyDescent="0.25">
      <c r="A188" s="46">
        <v>60505</v>
      </c>
      <c r="B188" s="49" t="s">
        <v>216</v>
      </c>
      <c r="C188" s="85">
        <f t="shared" si="46"/>
        <v>0</v>
      </c>
      <c r="D188" s="52" t="s">
        <v>36</v>
      </c>
      <c r="E188" s="52" t="s">
        <v>186</v>
      </c>
      <c r="F188" s="95"/>
      <c r="I188" s="49" t="s">
        <v>171</v>
      </c>
      <c r="J188" s="55">
        <f t="shared" si="51"/>
        <v>0</v>
      </c>
      <c r="K188" s="55">
        <f t="shared" si="50"/>
        <v>0</v>
      </c>
      <c r="L188" s="55">
        <f t="shared" si="47"/>
        <v>0</v>
      </c>
      <c r="M188" s="55">
        <f>(SUMIF($D$157:$D$179,D188,$M$157:$M$179)-M159)*0.3725+SUMIF($D$157:$D$179,D193,$M$157:$M$179)*0.3725</f>
        <v>6451.7000000000007</v>
      </c>
      <c r="N188" s="55">
        <f t="shared" si="49"/>
        <v>0</v>
      </c>
      <c r="O188" s="50">
        <f t="shared" si="42"/>
        <v>6451.7000000000007</v>
      </c>
      <c r="P188" s="95"/>
    </row>
    <row r="189" spans="1:16" x14ac:dyDescent="0.25">
      <c r="A189" s="51">
        <v>60905</v>
      </c>
      <c r="B189" s="52" t="s">
        <v>219</v>
      </c>
      <c r="C189" s="85">
        <f t="shared" si="46"/>
        <v>0</v>
      </c>
      <c r="D189" s="49" t="s">
        <v>9</v>
      </c>
      <c r="E189" s="52" t="s">
        <v>186</v>
      </c>
      <c r="F189" s="95"/>
      <c r="I189" s="52" t="s">
        <v>174</v>
      </c>
      <c r="J189" s="55">
        <f>SUMIF($D$157:$D$179,D189,$J$157:$J$179)*0.135+SUMIF($D$157:$D$179,D193,$J$157:$J$179)*0.135</f>
        <v>49240.820347826084</v>
      </c>
      <c r="K189" s="55">
        <f>SUMIF($D$157:$D$179,D189,$K$157:$K$179)*0.135</f>
        <v>3442.5</v>
      </c>
      <c r="L189" s="55">
        <f t="shared" ref="L189:L196" si="52">SUMIF($D$157:$D$179,D189,$L$157:$L$179)*0.13</f>
        <v>0</v>
      </c>
      <c r="M189" s="55">
        <f>SUMIF($D$157:$D$179,D189,$M$157:$M$179)*0.13</f>
        <v>0</v>
      </c>
      <c r="N189" s="55">
        <f t="shared" ref="N189:N196" si="53">SUMIF($D$157:$D$179,D189,$N$157:$N$179)*0.13</f>
        <v>0</v>
      </c>
      <c r="O189" s="50">
        <f t="shared" si="42"/>
        <v>52683.320347826084</v>
      </c>
      <c r="P189" s="95"/>
    </row>
    <row r="190" spans="1:16" x14ac:dyDescent="0.25">
      <c r="A190" s="51">
        <v>60905</v>
      </c>
      <c r="B190" s="52" t="s">
        <v>219</v>
      </c>
      <c r="C190" s="85">
        <f t="shared" si="46"/>
        <v>0</v>
      </c>
      <c r="D190" s="52" t="s">
        <v>12</v>
      </c>
      <c r="E190" s="52" t="s">
        <v>186</v>
      </c>
      <c r="F190" s="95"/>
      <c r="I190" s="52" t="s">
        <v>220</v>
      </c>
      <c r="J190" s="55">
        <f>SUMIF($D$157:$D$179,D190,$J$157:$J$179)*0.135</f>
        <v>7826.9196521739132</v>
      </c>
      <c r="K190" s="55">
        <f t="shared" ref="K190:K196" si="54">SUMIF($D$157:$D$179,D190,$K$157:$K$179)*0.13</f>
        <v>0</v>
      </c>
      <c r="L190" s="55">
        <f t="shared" si="52"/>
        <v>0</v>
      </c>
      <c r="M190" s="55">
        <f>SUMIF($D$157:$D$179,D190,$M$157:$M$179)*0.13</f>
        <v>0</v>
      </c>
      <c r="N190" s="55">
        <f t="shared" si="53"/>
        <v>0</v>
      </c>
      <c r="O190" s="50">
        <f t="shared" si="42"/>
        <v>7826.9196521739132</v>
      </c>
      <c r="P190" s="95"/>
    </row>
    <row r="191" spans="1:16" x14ac:dyDescent="0.25">
      <c r="A191" s="51">
        <v>60905</v>
      </c>
      <c r="B191" s="52" t="s">
        <v>219</v>
      </c>
      <c r="C191" s="85">
        <f t="shared" si="46"/>
        <v>0</v>
      </c>
      <c r="D191" s="52" t="s">
        <v>15</v>
      </c>
      <c r="E191" s="52" t="s">
        <v>186</v>
      </c>
      <c r="F191" s="95"/>
      <c r="I191" s="52" t="s">
        <v>221</v>
      </c>
      <c r="J191" s="55">
        <f>SUMIF($D$157:$D$179,D191,$J$157:$J$179)*0.13</f>
        <v>0</v>
      </c>
      <c r="K191" s="55">
        <f t="shared" si="54"/>
        <v>0</v>
      </c>
      <c r="L191" s="55">
        <f t="shared" si="52"/>
        <v>0</v>
      </c>
      <c r="M191" s="55">
        <f>SUMIF($D$157:$D$179,D191,$M$157:$M$179)*0.13</f>
        <v>0</v>
      </c>
      <c r="N191" s="55">
        <f t="shared" si="53"/>
        <v>0</v>
      </c>
      <c r="O191" s="50">
        <f t="shared" si="42"/>
        <v>0</v>
      </c>
      <c r="P191" s="95"/>
    </row>
    <row r="192" spans="1:16" x14ac:dyDescent="0.25">
      <c r="A192" s="51">
        <v>60905</v>
      </c>
      <c r="B192" s="52" t="s">
        <v>219</v>
      </c>
      <c r="C192" s="85">
        <f t="shared" si="46"/>
        <v>0</v>
      </c>
      <c r="D192" s="52" t="s">
        <v>18</v>
      </c>
      <c r="E192" s="52" t="s">
        <v>186</v>
      </c>
      <c r="F192" s="95"/>
      <c r="I192" s="52" t="s">
        <v>175</v>
      </c>
      <c r="J192" s="55">
        <f>SUMIF($D$157:$D$179,D192,$J$157:$J$179)*0.13</f>
        <v>0</v>
      </c>
      <c r="K192" s="55">
        <f t="shared" si="54"/>
        <v>0</v>
      </c>
      <c r="L192" s="55">
        <f t="shared" si="52"/>
        <v>0</v>
      </c>
      <c r="M192" s="55">
        <f>SUMIF($D$157:$D$179,D192,$M$157:$M$179)*0.135</f>
        <v>675</v>
      </c>
      <c r="N192" s="55">
        <f t="shared" si="53"/>
        <v>0</v>
      </c>
      <c r="O192" s="50">
        <f t="shared" si="42"/>
        <v>675</v>
      </c>
      <c r="P192" s="95"/>
    </row>
    <row r="193" spans="1:16" x14ac:dyDescent="0.25">
      <c r="A193" s="51">
        <v>60905</v>
      </c>
      <c r="B193" s="52" t="s">
        <v>219</v>
      </c>
      <c r="C193" s="85">
        <f t="shared" si="46"/>
        <v>0</v>
      </c>
      <c r="D193" s="52" t="s">
        <v>21</v>
      </c>
      <c r="E193" s="52" t="s">
        <v>186</v>
      </c>
      <c r="F193" s="95"/>
      <c r="I193" s="52" t="s">
        <v>176</v>
      </c>
      <c r="J193" s="55">
        <f>SUMIF($D$157:$D$179,D193,$J$157:$J$179)*0.13*0</f>
        <v>0</v>
      </c>
      <c r="K193" s="55">
        <f t="shared" si="54"/>
        <v>0</v>
      </c>
      <c r="L193" s="55">
        <f t="shared" si="52"/>
        <v>0</v>
      </c>
      <c r="M193" s="55">
        <f>SUMIF($D$157:$D$179,D193,$M$157:$M$179)*0.13*0</f>
        <v>0</v>
      </c>
      <c r="N193" s="55">
        <f t="shared" si="53"/>
        <v>0</v>
      </c>
      <c r="O193" s="50">
        <f t="shared" si="42"/>
        <v>0</v>
      </c>
      <c r="P193" s="95"/>
    </row>
    <row r="194" spans="1:16" x14ac:dyDescent="0.25">
      <c r="A194" s="51">
        <v>60905</v>
      </c>
      <c r="B194" s="52" t="s">
        <v>219</v>
      </c>
      <c r="C194" s="85">
        <f t="shared" si="46"/>
        <v>0</v>
      </c>
      <c r="D194" s="52" t="s">
        <v>24</v>
      </c>
      <c r="E194" s="52" t="s">
        <v>186</v>
      </c>
      <c r="F194" s="95"/>
      <c r="I194" s="52" t="s">
        <v>177</v>
      </c>
      <c r="J194" s="55">
        <f>SUMIF($D$157:$D$179,D194,$J$157:$J$179)*0.13</f>
        <v>0</v>
      </c>
      <c r="K194" s="55">
        <f t="shared" si="54"/>
        <v>0</v>
      </c>
      <c r="L194" s="55">
        <f t="shared" si="52"/>
        <v>0</v>
      </c>
      <c r="M194" s="55">
        <f>SUMIF($D$157:$D$179,D194,$M$157:$M$179)*0.13</f>
        <v>0</v>
      </c>
      <c r="N194" s="55">
        <f t="shared" si="53"/>
        <v>0</v>
      </c>
      <c r="O194" s="50">
        <f t="shared" si="42"/>
        <v>0</v>
      </c>
      <c r="P194" s="95"/>
    </row>
    <row r="195" spans="1:16" x14ac:dyDescent="0.25">
      <c r="A195" s="51">
        <v>60905</v>
      </c>
      <c r="B195" s="52" t="s">
        <v>219</v>
      </c>
      <c r="C195" s="85">
        <f t="shared" si="46"/>
        <v>0</v>
      </c>
      <c r="D195" s="52" t="s">
        <v>27</v>
      </c>
      <c r="E195" s="52" t="s">
        <v>186</v>
      </c>
      <c r="F195" s="95"/>
      <c r="I195" s="52" t="s">
        <v>178</v>
      </c>
      <c r="J195" s="55">
        <f>SUMIF($D$157:$D$179,D195,$J$157:$J$179)*0.13</f>
        <v>0</v>
      </c>
      <c r="K195" s="55">
        <f>SUMIF($D$157:$D$179,D195,$K$157:$K$179)*0.135</f>
        <v>6994.4411250000003</v>
      </c>
      <c r="L195" s="55">
        <f t="shared" si="52"/>
        <v>0</v>
      </c>
      <c r="M195" s="55">
        <f>SUMIF($D$157:$D$179,D195,$M$157:$M$179)*0.13</f>
        <v>0</v>
      </c>
      <c r="N195" s="55">
        <f t="shared" si="53"/>
        <v>0</v>
      </c>
      <c r="O195" s="50">
        <f t="shared" si="42"/>
        <v>6994.4411250000003</v>
      </c>
      <c r="P195" s="95"/>
    </row>
    <row r="196" spans="1:16" x14ac:dyDescent="0.25">
      <c r="A196" s="51">
        <v>60905</v>
      </c>
      <c r="B196" s="52" t="s">
        <v>219</v>
      </c>
      <c r="C196" s="85">
        <f t="shared" si="46"/>
        <v>0</v>
      </c>
      <c r="D196" s="52" t="s">
        <v>36</v>
      </c>
      <c r="E196" s="52" t="s">
        <v>186</v>
      </c>
      <c r="F196" s="95"/>
      <c r="I196" s="52" t="s">
        <v>179</v>
      </c>
      <c r="J196" s="55">
        <f>SUMIF($D$157:$D$179,D196,$J$157:$J$179)*0.13</f>
        <v>0</v>
      </c>
      <c r="K196" s="55">
        <f t="shared" si="54"/>
        <v>0</v>
      </c>
      <c r="L196" s="55">
        <f t="shared" si="52"/>
        <v>0</v>
      </c>
      <c r="M196" s="55">
        <f>SUMIF($D$157:$D$179,D196,$M$157:$M$179)*0.135</f>
        <v>2290.8150000000001</v>
      </c>
      <c r="N196" s="55">
        <f t="shared" si="53"/>
        <v>0</v>
      </c>
      <c r="O196" s="50">
        <f t="shared" si="42"/>
        <v>2290.8150000000001</v>
      </c>
      <c r="P196" s="95"/>
    </row>
    <row r="197" spans="1:16" x14ac:dyDescent="0.25">
      <c r="A197" s="51">
        <v>60011</v>
      </c>
      <c r="B197" s="52" t="s">
        <v>222</v>
      </c>
      <c r="C197" s="85">
        <f t="shared" si="46"/>
        <v>0</v>
      </c>
      <c r="D197" s="49" t="s">
        <v>9</v>
      </c>
      <c r="E197" s="52" t="s">
        <v>186</v>
      </c>
      <c r="I197" s="52" t="s">
        <v>182</v>
      </c>
      <c r="J197" s="55">
        <f>(J36*1250)+(J41*1750)+(J43*1750)+(J50*500)+(SUM(J54:J56)*500)-2250</f>
        <v>7750</v>
      </c>
      <c r="K197" s="55">
        <f>(K36*1250)+(K41*1750)+(K43*1750)+(K50*500)+(SUM(K54:K56)*500)</f>
        <v>1250</v>
      </c>
      <c r="L197" s="55">
        <f t="shared" ref="L197:N197" si="55">(L36*1250)+(L41*1750)+(L43*1750)+(L50*500)+(SUM(L54:L56)*500)</f>
        <v>0</v>
      </c>
      <c r="M197" s="55">
        <f t="shared" si="55"/>
        <v>500</v>
      </c>
      <c r="N197" s="55">
        <f t="shared" si="55"/>
        <v>0</v>
      </c>
      <c r="O197" s="50">
        <f t="shared" si="42"/>
        <v>9500</v>
      </c>
    </row>
    <row r="198" spans="1:16" x14ac:dyDescent="0.25">
      <c r="A198" s="51">
        <v>60011</v>
      </c>
      <c r="B198" s="52" t="s">
        <v>222</v>
      </c>
      <c r="C198" s="85">
        <f t="shared" si="46"/>
        <v>0</v>
      </c>
      <c r="D198" s="49" t="s">
        <v>9</v>
      </c>
      <c r="E198" s="52" t="s">
        <v>186</v>
      </c>
      <c r="I198" s="52" t="s">
        <v>183</v>
      </c>
      <c r="J198" s="55">
        <f>(J36+J41+J43+J50+J54+J55+J56)*125+125*3</f>
        <v>1375</v>
      </c>
      <c r="K198" s="55">
        <f>(K36+K41+K43+K50+K54+K55+K56)*125</f>
        <v>125</v>
      </c>
      <c r="L198" s="55">
        <f t="shared" ref="L198:N198" si="56">(L36+L41+L43+L50+L54+L55+L56)*125</f>
        <v>0</v>
      </c>
      <c r="M198" s="55">
        <f>(M36+M41+M43+M50+M54+M55+M56)*125*0</f>
        <v>0</v>
      </c>
      <c r="N198" s="55">
        <f t="shared" si="56"/>
        <v>0</v>
      </c>
      <c r="O198" s="50">
        <f t="shared" si="42"/>
        <v>1500</v>
      </c>
    </row>
    <row r="199" spans="1:16" x14ac:dyDescent="0.25">
      <c r="A199" s="51">
        <v>60011</v>
      </c>
      <c r="B199" s="52" t="s">
        <v>222</v>
      </c>
      <c r="C199" s="85">
        <f t="shared" si="46"/>
        <v>0</v>
      </c>
      <c r="D199" s="49" t="s">
        <v>9</v>
      </c>
      <c r="E199" s="52" t="s">
        <v>186</v>
      </c>
      <c r="I199" s="52" t="s">
        <v>184</v>
      </c>
      <c r="J199" s="55">
        <f>(30*3*3)*30</f>
        <v>8100</v>
      </c>
      <c r="K199" s="55"/>
      <c r="L199" s="55"/>
      <c r="M199" s="55"/>
      <c r="N199" s="55"/>
      <c r="O199" s="50">
        <f t="shared" si="42"/>
        <v>8100</v>
      </c>
    </row>
    <row r="200" spans="1:16" x14ac:dyDescent="0.25">
      <c r="A200" s="56">
        <v>61251</v>
      </c>
      <c r="B200" s="57" t="s">
        <v>185</v>
      </c>
      <c r="C200" s="85">
        <f t="shared" si="46"/>
        <v>0</v>
      </c>
      <c r="D200" s="49" t="s">
        <v>9</v>
      </c>
      <c r="E200" s="52" t="s">
        <v>186</v>
      </c>
      <c r="I200" s="57" t="s">
        <v>187</v>
      </c>
      <c r="J200" s="58">
        <v>5000</v>
      </c>
      <c r="K200" s="58"/>
      <c r="L200" s="58"/>
      <c r="M200" s="58"/>
      <c r="N200" s="58"/>
      <c r="O200" s="50">
        <f t="shared" si="42"/>
        <v>5000</v>
      </c>
    </row>
    <row r="201" spans="1:16" x14ac:dyDescent="0.25">
      <c r="A201" s="98"/>
      <c r="B201" s="98"/>
      <c r="C201" s="98"/>
      <c r="D201" s="98"/>
      <c r="E201" s="98"/>
      <c r="H201" s="93" t="s">
        <v>223</v>
      </c>
      <c r="I201" s="94"/>
      <c r="J201" s="92">
        <f t="shared" ref="J201:K201" si="57">SUM(J181:J200)</f>
        <v>236757.42999999996</v>
      </c>
      <c r="K201" s="92">
        <f t="shared" si="57"/>
        <v>40610.167562499999</v>
      </c>
      <c r="L201" s="92">
        <f t="shared" ref="L201:O201" si="58">SUM(L181:L200)</f>
        <v>0</v>
      </c>
      <c r="M201" s="92">
        <f t="shared" si="58"/>
        <v>11909.007500000002</v>
      </c>
      <c r="N201" s="92">
        <f t="shared" si="58"/>
        <v>0</v>
      </c>
      <c r="O201" s="92">
        <f t="shared" si="58"/>
        <v>289276.60506249999</v>
      </c>
    </row>
    <row r="202" spans="1:16" ht="16.5" thickBot="1" x14ac:dyDescent="0.3">
      <c r="H202" s="2"/>
      <c r="J202" s="104"/>
      <c r="K202" s="104"/>
      <c r="L202" s="104"/>
      <c r="M202" s="104"/>
      <c r="N202" s="104"/>
      <c r="O202" s="104"/>
    </row>
    <row r="203" spans="1:16" ht="16.5" thickBot="1" x14ac:dyDescent="0.3">
      <c r="A203" s="68" t="s">
        <v>5</v>
      </c>
      <c r="B203" s="68" t="s">
        <v>91</v>
      </c>
      <c r="C203" s="68" t="s">
        <v>92</v>
      </c>
      <c r="D203" s="68" t="s">
        <v>4</v>
      </c>
      <c r="E203" s="68" t="s">
        <v>93</v>
      </c>
      <c r="G203" s="100" t="s">
        <v>224</v>
      </c>
      <c r="H203" s="105"/>
      <c r="I203" s="82"/>
      <c r="J203" s="101" t="str">
        <f>J20</f>
        <v>Operating</v>
      </c>
      <c r="K203" s="101" t="str">
        <f t="shared" ref="K203:O203" si="59">K20</f>
        <v>SPED</v>
      </c>
      <c r="L203" s="101" t="str">
        <f t="shared" si="59"/>
        <v>NSLP</v>
      </c>
      <c r="M203" s="101" t="str">
        <f t="shared" si="59"/>
        <v>Title(s)</v>
      </c>
      <c r="N203" s="101" t="str">
        <f t="shared" si="59"/>
        <v>Other</v>
      </c>
      <c r="O203" s="101" t="str">
        <f t="shared" si="59"/>
        <v>Total</v>
      </c>
    </row>
    <row r="204" spans="1:16" x14ac:dyDescent="0.25">
      <c r="A204" s="106">
        <v>62643</v>
      </c>
      <c r="B204" s="107" t="s">
        <v>225</v>
      </c>
      <c r="C204" s="85">
        <f t="shared" ref="C204:C211" si="60">$C$1</f>
        <v>0</v>
      </c>
      <c r="D204" s="49" t="s">
        <v>9</v>
      </c>
      <c r="E204" s="52" t="s">
        <v>186</v>
      </c>
      <c r="I204" s="107" t="s">
        <v>226</v>
      </c>
      <c r="J204" s="102">
        <f>J17*235</f>
        <v>27025</v>
      </c>
      <c r="K204" s="102"/>
      <c r="L204" s="102"/>
      <c r="M204" s="102"/>
      <c r="N204" s="102"/>
      <c r="O204" s="50">
        <f t="shared" ref="O204:O211" si="61">SUM(J204:N204)</f>
        <v>27025</v>
      </c>
    </row>
    <row r="205" spans="1:16" x14ac:dyDescent="0.25">
      <c r="A205" s="106">
        <v>62643</v>
      </c>
      <c r="B205" s="107" t="s">
        <v>225</v>
      </c>
      <c r="C205" s="85">
        <f t="shared" si="60"/>
        <v>0</v>
      </c>
      <c r="D205" s="52" t="s">
        <v>36</v>
      </c>
      <c r="E205" s="52" t="s">
        <v>186</v>
      </c>
      <c r="I205" s="107" t="s">
        <v>227</v>
      </c>
      <c r="J205" s="102"/>
      <c r="K205" s="102"/>
      <c r="L205" s="102"/>
      <c r="M205" s="102"/>
      <c r="N205" s="102"/>
      <c r="O205" s="50">
        <f t="shared" si="61"/>
        <v>0</v>
      </c>
    </row>
    <row r="206" spans="1:16" x14ac:dyDescent="0.25">
      <c r="A206" s="108">
        <v>62644</v>
      </c>
      <c r="B206" s="109" t="s">
        <v>228</v>
      </c>
      <c r="C206" s="85">
        <f t="shared" si="60"/>
        <v>0</v>
      </c>
      <c r="D206" s="49" t="s">
        <v>9</v>
      </c>
      <c r="E206" s="52" t="s">
        <v>186</v>
      </c>
      <c r="I206" s="109" t="s">
        <v>229</v>
      </c>
      <c r="J206" s="55"/>
      <c r="K206" s="55"/>
      <c r="L206" s="55"/>
      <c r="M206" s="55"/>
      <c r="N206" s="55"/>
      <c r="O206" s="50">
        <f t="shared" si="61"/>
        <v>0</v>
      </c>
    </row>
    <row r="207" spans="1:16" x14ac:dyDescent="0.25">
      <c r="A207" s="108">
        <v>62481</v>
      </c>
      <c r="B207" s="107" t="s">
        <v>225</v>
      </c>
      <c r="C207" s="85">
        <f t="shared" si="60"/>
        <v>0</v>
      </c>
      <c r="D207" s="49" t="s">
        <v>9</v>
      </c>
      <c r="E207" s="52" t="s">
        <v>186</v>
      </c>
      <c r="I207" s="110" t="s">
        <v>230</v>
      </c>
      <c r="J207" s="55">
        <v>0</v>
      </c>
      <c r="K207" s="55"/>
      <c r="L207" s="55"/>
      <c r="M207" s="55"/>
      <c r="N207" s="55"/>
      <c r="O207" s="50">
        <f t="shared" si="61"/>
        <v>0</v>
      </c>
    </row>
    <row r="208" spans="1:16" x14ac:dyDescent="0.25">
      <c r="A208" s="108">
        <v>62619</v>
      </c>
      <c r="B208" s="107" t="s">
        <v>225</v>
      </c>
      <c r="C208" s="85">
        <f t="shared" si="60"/>
        <v>0</v>
      </c>
      <c r="D208" s="49" t="s">
        <v>9</v>
      </c>
      <c r="E208" s="52" t="s">
        <v>186</v>
      </c>
      <c r="I208" s="110" t="s">
        <v>231</v>
      </c>
      <c r="J208" s="55">
        <f>65*J17</f>
        <v>7475</v>
      </c>
      <c r="K208" s="55"/>
      <c r="L208" s="55"/>
      <c r="M208" s="55"/>
      <c r="N208" s="55"/>
      <c r="O208" s="50">
        <f t="shared" si="61"/>
        <v>7475</v>
      </c>
    </row>
    <row r="209" spans="1:15" x14ac:dyDescent="0.25">
      <c r="A209" s="108">
        <v>62619</v>
      </c>
      <c r="B209" s="107" t="s">
        <v>225</v>
      </c>
      <c r="C209" s="85">
        <f t="shared" si="60"/>
        <v>0</v>
      </c>
      <c r="D209" s="52" t="s">
        <v>36</v>
      </c>
      <c r="E209" s="52" t="s">
        <v>186</v>
      </c>
      <c r="I209" s="110" t="s">
        <v>232</v>
      </c>
      <c r="J209" s="55">
        <f>40*J18</f>
        <v>0</v>
      </c>
      <c r="K209" s="55"/>
      <c r="L209" s="55"/>
      <c r="M209" s="55"/>
      <c r="N209" s="55"/>
      <c r="O209" s="50">
        <f t="shared" si="61"/>
        <v>0</v>
      </c>
    </row>
    <row r="210" spans="1:15" x14ac:dyDescent="0.25">
      <c r="A210" s="108">
        <v>62611</v>
      </c>
      <c r="B210" s="107" t="s">
        <v>225</v>
      </c>
      <c r="C210" s="85">
        <f t="shared" si="60"/>
        <v>0</v>
      </c>
      <c r="D210" s="49" t="s">
        <v>9</v>
      </c>
      <c r="E210" s="52" t="s">
        <v>186</v>
      </c>
      <c r="I210" s="110" t="s">
        <v>233</v>
      </c>
      <c r="J210" s="55">
        <f>7*J17</f>
        <v>805</v>
      </c>
      <c r="K210" s="55"/>
      <c r="L210" s="55"/>
      <c r="M210" s="55"/>
      <c r="N210" s="55"/>
      <c r="O210" s="50">
        <f t="shared" si="61"/>
        <v>805</v>
      </c>
    </row>
    <row r="211" spans="1:15" x14ac:dyDescent="0.25">
      <c r="A211" s="111">
        <v>62616</v>
      </c>
      <c r="B211" s="107" t="s">
        <v>225</v>
      </c>
      <c r="C211" s="85">
        <f t="shared" si="60"/>
        <v>0</v>
      </c>
      <c r="D211" s="52" t="s">
        <v>27</v>
      </c>
      <c r="E211" s="52" t="s">
        <v>186</v>
      </c>
      <c r="I211" s="112" t="s">
        <v>234</v>
      </c>
      <c r="J211" s="58">
        <f>175*J21</f>
        <v>0</v>
      </c>
      <c r="K211" s="58">
        <f>175*K21</f>
        <v>2100</v>
      </c>
      <c r="L211" s="58"/>
      <c r="M211" s="58"/>
      <c r="N211" s="58"/>
      <c r="O211" s="50">
        <f t="shared" si="61"/>
        <v>2100</v>
      </c>
    </row>
    <row r="212" spans="1:15" x14ac:dyDescent="0.25">
      <c r="A212" s="98"/>
      <c r="B212" s="98"/>
      <c r="C212" s="98"/>
      <c r="D212" s="98"/>
      <c r="E212" s="98"/>
      <c r="H212" s="93" t="s">
        <v>47</v>
      </c>
      <c r="I212" s="113"/>
      <c r="J212" s="92">
        <f t="shared" ref="J212:O212" si="62">SUM(J204:J211)</f>
        <v>35305</v>
      </c>
      <c r="K212" s="92">
        <f t="shared" si="62"/>
        <v>2100</v>
      </c>
      <c r="L212" s="92">
        <f t="shared" si="62"/>
        <v>0</v>
      </c>
      <c r="M212" s="92">
        <f t="shared" si="62"/>
        <v>0</v>
      </c>
      <c r="N212" s="92">
        <f t="shared" si="62"/>
        <v>0</v>
      </c>
      <c r="O212" s="92">
        <f t="shared" si="62"/>
        <v>37405</v>
      </c>
    </row>
    <row r="213" spans="1:15" x14ac:dyDescent="0.25">
      <c r="J213" s="99"/>
      <c r="K213" s="99"/>
      <c r="L213" s="99"/>
      <c r="M213" s="99"/>
      <c r="N213" s="99"/>
      <c r="O213" s="99"/>
    </row>
    <row r="214" spans="1:15" x14ac:dyDescent="0.25">
      <c r="A214" s="81"/>
      <c r="B214" s="82"/>
      <c r="C214" s="82"/>
      <c r="D214" s="82"/>
      <c r="E214" s="82"/>
      <c r="G214" s="100" t="s">
        <v>235</v>
      </c>
      <c r="H214" s="105"/>
      <c r="I214" s="82"/>
      <c r="J214" s="101" t="str">
        <f>J20</f>
        <v>Operating</v>
      </c>
      <c r="K214" s="101" t="str">
        <f t="shared" ref="K214:O214" si="63">K20</f>
        <v>SPED</v>
      </c>
      <c r="L214" s="101" t="str">
        <f t="shared" si="63"/>
        <v>NSLP</v>
      </c>
      <c r="M214" s="101" t="str">
        <f t="shared" si="63"/>
        <v>Title(s)</v>
      </c>
      <c r="N214" s="101" t="str">
        <f t="shared" si="63"/>
        <v>Other</v>
      </c>
      <c r="O214" s="101" t="str">
        <f t="shared" si="63"/>
        <v>Total</v>
      </c>
    </row>
    <row r="215" spans="1:15" x14ac:dyDescent="0.25">
      <c r="A215" s="106">
        <v>62617</v>
      </c>
      <c r="B215" s="114" t="s">
        <v>236</v>
      </c>
      <c r="C215" s="85">
        <f t="shared" ref="C215:C220" si="64">$C$1</f>
        <v>0</v>
      </c>
      <c r="D215" s="49" t="s">
        <v>9</v>
      </c>
      <c r="E215" s="52" t="s">
        <v>114</v>
      </c>
      <c r="I215" s="114" t="s">
        <v>237</v>
      </c>
      <c r="J215" s="102">
        <f>30*J17</f>
        <v>3450</v>
      </c>
      <c r="K215" s="102"/>
      <c r="L215" s="102"/>
      <c r="M215" s="102"/>
      <c r="N215" s="102"/>
      <c r="O215" s="50">
        <f t="shared" ref="O215:O220" si="65">SUM(J215:N215)</f>
        <v>3450</v>
      </c>
    </row>
    <row r="216" spans="1:15" x14ac:dyDescent="0.25">
      <c r="A216" s="106">
        <v>62617</v>
      </c>
      <c r="B216" s="114" t="s">
        <v>236</v>
      </c>
      <c r="C216" s="85">
        <f t="shared" si="64"/>
        <v>0</v>
      </c>
      <c r="D216" s="52" t="s">
        <v>36</v>
      </c>
      <c r="E216" s="52" t="s">
        <v>114</v>
      </c>
      <c r="I216" s="114" t="s">
        <v>238</v>
      </c>
      <c r="J216" s="102">
        <f>30*J18</f>
        <v>0</v>
      </c>
      <c r="K216" s="102"/>
      <c r="L216" s="102"/>
      <c r="M216" s="102"/>
      <c r="N216" s="102"/>
      <c r="O216" s="50">
        <f t="shared" si="65"/>
        <v>0</v>
      </c>
    </row>
    <row r="217" spans="1:15" x14ac:dyDescent="0.25">
      <c r="A217" s="108">
        <v>62611</v>
      </c>
      <c r="B217" s="114" t="s">
        <v>236</v>
      </c>
      <c r="C217" s="85">
        <f t="shared" si="64"/>
        <v>0</v>
      </c>
      <c r="D217" s="49" t="s">
        <v>9</v>
      </c>
      <c r="E217" s="52" t="s">
        <v>114</v>
      </c>
      <c r="I217" s="110" t="s">
        <v>233</v>
      </c>
      <c r="J217" s="55">
        <f>(3*J17)</f>
        <v>345</v>
      </c>
      <c r="K217" s="55"/>
      <c r="L217" s="55"/>
      <c r="M217" s="55"/>
      <c r="N217" s="55"/>
      <c r="O217" s="50">
        <f t="shared" si="65"/>
        <v>345</v>
      </c>
    </row>
    <row r="218" spans="1:15" x14ac:dyDescent="0.25">
      <c r="A218" s="108">
        <v>62618</v>
      </c>
      <c r="B218" s="114" t="s">
        <v>236</v>
      </c>
      <c r="C218" s="85">
        <f t="shared" si="64"/>
        <v>0</v>
      </c>
      <c r="D218" s="49" t="s">
        <v>9</v>
      </c>
      <c r="E218" s="52" t="s">
        <v>114</v>
      </c>
      <c r="I218" s="110" t="s">
        <v>239</v>
      </c>
      <c r="J218" s="55">
        <f>8*J17</f>
        <v>920</v>
      </c>
      <c r="K218" s="55"/>
      <c r="L218" s="55"/>
      <c r="M218" s="55"/>
      <c r="N218" s="55"/>
      <c r="O218" s="50">
        <f t="shared" si="65"/>
        <v>920</v>
      </c>
    </row>
    <row r="219" spans="1:15" x14ac:dyDescent="0.25">
      <c r="A219" s="108">
        <v>63113</v>
      </c>
      <c r="B219" s="114" t="s">
        <v>240</v>
      </c>
      <c r="C219" s="85">
        <f t="shared" si="64"/>
        <v>0</v>
      </c>
      <c r="D219" s="49" t="s">
        <v>9</v>
      </c>
      <c r="E219" s="114" t="s">
        <v>135</v>
      </c>
      <c r="I219" s="110" t="s">
        <v>241</v>
      </c>
      <c r="J219" s="55">
        <v>0</v>
      </c>
      <c r="K219" s="55"/>
      <c r="L219" s="55"/>
      <c r="M219" s="55"/>
      <c r="N219" s="55"/>
      <c r="O219" s="50">
        <f t="shared" si="65"/>
        <v>0</v>
      </c>
    </row>
    <row r="220" spans="1:15" x14ac:dyDescent="0.25">
      <c r="A220" s="111">
        <v>62612</v>
      </c>
      <c r="B220" s="114" t="s">
        <v>236</v>
      </c>
      <c r="C220" s="85">
        <f t="shared" si="64"/>
        <v>0</v>
      </c>
      <c r="D220" s="49" t="s">
        <v>9</v>
      </c>
      <c r="E220" s="114" t="s">
        <v>242</v>
      </c>
      <c r="I220" s="112" t="s">
        <v>243</v>
      </c>
      <c r="J220" s="58">
        <f>45*J17</f>
        <v>5175</v>
      </c>
      <c r="K220" s="58"/>
      <c r="L220" s="58"/>
      <c r="M220" s="58"/>
      <c r="N220" s="58"/>
      <c r="O220" s="50">
        <f t="shared" si="65"/>
        <v>5175</v>
      </c>
    </row>
    <row r="221" spans="1:15" x14ac:dyDescent="0.25">
      <c r="A221" s="98"/>
      <c r="B221" s="98"/>
      <c r="C221" s="98"/>
      <c r="D221" s="98"/>
      <c r="E221" s="98"/>
      <c r="H221" s="93" t="s">
        <v>47</v>
      </c>
      <c r="I221" s="113"/>
      <c r="J221" s="92">
        <f t="shared" ref="J221:O221" si="66">SUM(J215:J220)</f>
        <v>9890</v>
      </c>
      <c r="K221" s="92">
        <f t="shared" si="66"/>
        <v>0</v>
      </c>
      <c r="L221" s="92">
        <f t="shared" si="66"/>
        <v>0</v>
      </c>
      <c r="M221" s="92">
        <f t="shared" si="66"/>
        <v>0</v>
      </c>
      <c r="N221" s="92">
        <f t="shared" si="66"/>
        <v>0</v>
      </c>
      <c r="O221" s="92">
        <f t="shared" si="66"/>
        <v>9890</v>
      </c>
    </row>
    <row r="222" spans="1:15" x14ac:dyDescent="0.25">
      <c r="J222" s="99"/>
      <c r="K222" s="99"/>
      <c r="L222" s="99"/>
      <c r="M222" s="99"/>
      <c r="N222" s="99"/>
      <c r="O222" s="99"/>
    </row>
    <row r="223" spans="1:15" x14ac:dyDescent="0.25">
      <c r="A223" s="81"/>
      <c r="B223" s="82"/>
      <c r="C223" s="82"/>
      <c r="D223" s="82"/>
      <c r="E223" s="82"/>
      <c r="G223" s="100" t="s">
        <v>244</v>
      </c>
      <c r="H223" s="105"/>
      <c r="I223" s="82"/>
      <c r="J223" s="101" t="str">
        <f>J20</f>
        <v>Operating</v>
      </c>
      <c r="K223" s="101" t="str">
        <f t="shared" ref="K223:O223" si="67">K20</f>
        <v>SPED</v>
      </c>
      <c r="L223" s="101" t="str">
        <f t="shared" si="67"/>
        <v>NSLP</v>
      </c>
      <c r="M223" s="101" t="str">
        <f t="shared" si="67"/>
        <v>Title(s)</v>
      </c>
      <c r="N223" s="101" t="str">
        <f t="shared" si="67"/>
        <v>Other</v>
      </c>
      <c r="O223" s="101" t="str">
        <f t="shared" si="67"/>
        <v>Total</v>
      </c>
    </row>
    <row r="224" spans="1:15" x14ac:dyDescent="0.25">
      <c r="A224" s="106">
        <v>63114</v>
      </c>
      <c r="B224" s="114" t="s">
        <v>245</v>
      </c>
      <c r="C224" s="85">
        <f t="shared" ref="C224:C232" si="68">$C$1</f>
        <v>0</v>
      </c>
      <c r="D224" s="49" t="s">
        <v>9</v>
      </c>
      <c r="E224" s="114" t="s">
        <v>246</v>
      </c>
      <c r="I224" s="114" t="s">
        <v>247</v>
      </c>
      <c r="J224" s="102">
        <v>10000</v>
      </c>
      <c r="K224" s="102"/>
      <c r="L224" s="102"/>
      <c r="M224" s="102"/>
      <c r="N224" s="102"/>
      <c r="O224" s="102">
        <f>SUM(J224:N224)</f>
        <v>10000</v>
      </c>
    </row>
    <row r="225" spans="1:15" x14ac:dyDescent="0.25">
      <c r="A225" s="106">
        <v>63114</v>
      </c>
      <c r="B225" s="114" t="s">
        <v>245</v>
      </c>
      <c r="C225" s="85">
        <f t="shared" si="68"/>
        <v>0</v>
      </c>
      <c r="D225" s="52" t="s">
        <v>36</v>
      </c>
      <c r="E225" s="114" t="s">
        <v>246</v>
      </c>
      <c r="I225" s="114" t="s">
        <v>248</v>
      </c>
      <c r="J225" s="102"/>
      <c r="K225" s="102"/>
      <c r="L225" s="102"/>
      <c r="M225" s="102"/>
      <c r="N225" s="102"/>
      <c r="O225" s="102">
        <f t="shared" ref="O225:O232" si="69">SUM(J225:N225)</f>
        <v>0</v>
      </c>
    </row>
    <row r="226" spans="1:15" x14ac:dyDescent="0.25">
      <c r="A226" s="108">
        <v>63128</v>
      </c>
      <c r="B226" s="110" t="s">
        <v>245</v>
      </c>
      <c r="C226" s="85">
        <f t="shared" si="68"/>
        <v>0</v>
      </c>
      <c r="D226" s="52" t="s">
        <v>27</v>
      </c>
      <c r="E226" s="110" t="s">
        <v>135</v>
      </c>
      <c r="I226" s="110" t="s">
        <v>249</v>
      </c>
      <c r="J226" s="55">
        <v>0</v>
      </c>
      <c r="K226" s="55">
        <f>(425*J17)</f>
        <v>48875</v>
      </c>
      <c r="L226" s="55"/>
      <c r="M226" s="55"/>
      <c r="N226" s="55"/>
      <c r="O226" s="102">
        <f t="shared" si="69"/>
        <v>48875</v>
      </c>
    </row>
    <row r="227" spans="1:15" x14ac:dyDescent="0.25">
      <c r="A227" s="108">
        <v>63111</v>
      </c>
      <c r="B227" s="110" t="s">
        <v>245</v>
      </c>
      <c r="C227" s="85">
        <f t="shared" si="68"/>
        <v>0</v>
      </c>
      <c r="D227" s="49" t="s">
        <v>9</v>
      </c>
      <c r="E227" s="52" t="s">
        <v>186</v>
      </c>
      <c r="I227" s="110" t="s">
        <v>250</v>
      </c>
      <c r="J227" s="55">
        <f t="shared" ref="J227:K227" si="70">(185*11*J36)-J179</f>
        <v>16280</v>
      </c>
      <c r="K227" s="55">
        <f t="shared" si="70"/>
        <v>2035</v>
      </c>
      <c r="L227" s="55"/>
      <c r="M227" s="55"/>
      <c r="N227" s="55"/>
      <c r="O227" s="102">
        <f t="shared" si="69"/>
        <v>18315</v>
      </c>
    </row>
    <row r="228" spans="1:15" x14ac:dyDescent="0.25">
      <c r="A228" s="106">
        <v>63114</v>
      </c>
      <c r="B228" s="114" t="s">
        <v>245</v>
      </c>
      <c r="C228" s="85">
        <f t="shared" si="68"/>
        <v>0</v>
      </c>
      <c r="D228" s="49" t="s">
        <v>9</v>
      </c>
      <c r="E228" s="114" t="s">
        <v>246</v>
      </c>
      <c r="I228" s="110" t="s">
        <v>251</v>
      </c>
      <c r="J228" s="55">
        <v>0</v>
      </c>
      <c r="K228" s="55"/>
      <c r="L228" s="55"/>
      <c r="M228" s="55"/>
      <c r="N228" s="55"/>
      <c r="O228" s="102">
        <f t="shared" si="69"/>
        <v>0</v>
      </c>
    </row>
    <row r="229" spans="1:15" x14ac:dyDescent="0.25">
      <c r="A229" s="106">
        <v>63114</v>
      </c>
      <c r="B229" s="114" t="s">
        <v>245</v>
      </c>
      <c r="C229" s="85">
        <f t="shared" si="68"/>
        <v>0</v>
      </c>
      <c r="D229" s="52" t="s">
        <v>24</v>
      </c>
      <c r="E229" s="114" t="s">
        <v>246</v>
      </c>
      <c r="I229" s="110" t="s">
        <v>252</v>
      </c>
      <c r="J229" s="55">
        <v>0</v>
      </c>
      <c r="K229" s="55"/>
      <c r="L229" s="55"/>
      <c r="M229" s="55">
        <f>8000*10</f>
        <v>80000</v>
      </c>
      <c r="N229" s="55"/>
      <c r="O229" s="102">
        <f t="shared" si="69"/>
        <v>80000</v>
      </c>
    </row>
    <row r="230" spans="1:15" x14ac:dyDescent="0.25">
      <c r="A230" s="108">
        <v>63123</v>
      </c>
      <c r="B230" s="110" t="s">
        <v>253</v>
      </c>
      <c r="C230" s="85">
        <f t="shared" si="68"/>
        <v>0</v>
      </c>
      <c r="D230" s="49" t="s">
        <v>9</v>
      </c>
      <c r="E230" s="114" t="s">
        <v>254</v>
      </c>
      <c r="I230" s="110" t="s">
        <v>255</v>
      </c>
      <c r="J230" s="55">
        <v>0</v>
      </c>
      <c r="K230" s="55"/>
      <c r="L230" s="55"/>
      <c r="M230" s="55"/>
      <c r="N230" s="55"/>
      <c r="O230" s="102">
        <f t="shared" si="69"/>
        <v>0</v>
      </c>
    </row>
    <row r="231" spans="1:15" x14ac:dyDescent="0.25">
      <c r="A231" s="108">
        <v>63121</v>
      </c>
      <c r="B231" s="110" t="s">
        <v>256</v>
      </c>
      <c r="C231" s="85">
        <f t="shared" si="68"/>
        <v>0</v>
      </c>
      <c r="D231" s="49" t="s">
        <v>9</v>
      </c>
      <c r="E231" s="110" t="s">
        <v>257</v>
      </c>
      <c r="I231" s="110" t="s">
        <v>258</v>
      </c>
      <c r="J231" s="55">
        <v>0</v>
      </c>
      <c r="K231" s="55"/>
      <c r="L231" s="55"/>
      <c r="M231" s="55"/>
      <c r="N231" s="55"/>
      <c r="O231" s="102">
        <f t="shared" si="69"/>
        <v>0</v>
      </c>
    </row>
    <row r="232" spans="1:15" x14ac:dyDescent="0.25">
      <c r="A232" s="111">
        <v>63114</v>
      </c>
      <c r="B232" s="112" t="s">
        <v>245</v>
      </c>
      <c r="C232" s="85">
        <f t="shared" si="68"/>
        <v>0</v>
      </c>
      <c r="D232" s="52" t="s">
        <v>36</v>
      </c>
      <c r="E232" s="114" t="s">
        <v>246</v>
      </c>
      <c r="I232" s="112" t="s">
        <v>259</v>
      </c>
      <c r="J232" s="58">
        <f>J68*0.005</f>
        <v>5454.45</v>
      </c>
      <c r="K232" s="58"/>
      <c r="L232" s="58"/>
      <c r="M232" s="58">
        <f>2596.59+1446+3353</f>
        <v>7395.59</v>
      </c>
      <c r="N232" s="58"/>
      <c r="O232" s="102">
        <f t="shared" si="69"/>
        <v>12850.04</v>
      </c>
    </row>
    <row r="233" spans="1:15" x14ac:dyDescent="0.25">
      <c r="A233" s="98"/>
      <c r="B233" s="98"/>
      <c r="C233" s="98"/>
      <c r="D233" s="98"/>
      <c r="E233" s="98"/>
      <c r="H233" s="115" t="s">
        <v>47</v>
      </c>
      <c r="I233" s="113"/>
      <c r="J233" s="92">
        <f t="shared" ref="J233:O233" si="71">SUM(J224:J232)</f>
        <v>31734.45</v>
      </c>
      <c r="K233" s="92">
        <f t="shared" si="71"/>
        <v>50910</v>
      </c>
      <c r="L233" s="92">
        <f t="shared" si="71"/>
        <v>0</v>
      </c>
      <c r="M233" s="92">
        <f t="shared" si="71"/>
        <v>87395.59</v>
      </c>
      <c r="N233" s="92">
        <f t="shared" si="71"/>
        <v>0</v>
      </c>
      <c r="O233" s="92">
        <f t="shared" si="71"/>
        <v>170040.04</v>
      </c>
    </row>
    <row r="234" spans="1:15" x14ac:dyDescent="0.25">
      <c r="H234" s="116"/>
      <c r="J234" s="99"/>
      <c r="K234" s="99"/>
      <c r="L234" s="99"/>
      <c r="M234" s="99"/>
      <c r="N234" s="99"/>
      <c r="O234" s="99"/>
    </row>
    <row r="235" spans="1:15" x14ac:dyDescent="0.25">
      <c r="A235" s="81"/>
      <c r="B235" s="82"/>
      <c r="C235" s="82"/>
      <c r="D235" s="82"/>
      <c r="E235" s="82"/>
      <c r="G235" s="100" t="s">
        <v>260</v>
      </c>
      <c r="H235" s="105"/>
      <c r="I235" s="82"/>
      <c r="J235" s="101" t="str">
        <f>J20</f>
        <v>Operating</v>
      </c>
      <c r="K235" s="101" t="str">
        <f t="shared" ref="K235:O235" si="72">K20</f>
        <v>SPED</v>
      </c>
      <c r="L235" s="101" t="str">
        <f t="shared" si="72"/>
        <v>NSLP</v>
      </c>
      <c r="M235" s="101" t="str">
        <f t="shared" si="72"/>
        <v>Title(s)</v>
      </c>
      <c r="N235" s="101" t="str">
        <f t="shared" si="72"/>
        <v>Other</v>
      </c>
      <c r="O235" s="101" t="str">
        <f t="shared" si="72"/>
        <v>Total</v>
      </c>
    </row>
    <row r="236" spans="1:15" x14ac:dyDescent="0.25">
      <c r="A236" s="106">
        <v>63120</v>
      </c>
      <c r="B236" s="114" t="s">
        <v>261</v>
      </c>
      <c r="C236" s="85">
        <f t="shared" ref="C236:C244" si="73">$C$1</f>
        <v>0</v>
      </c>
      <c r="D236" s="49" t="s">
        <v>9</v>
      </c>
      <c r="E236" s="114" t="s">
        <v>242</v>
      </c>
      <c r="I236" s="114" t="s">
        <v>247</v>
      </c>
      <c r="J236" s="102">
        <v>50000</v>
      </c>
      <c r="K236" s="102"/>
      <c r="L236" s="102"/>
      <c r="M236" s="102"/>
      <c r="N236" s="102"/>
      <c r="O236" s="102">
        <f>SUM(J236:N236)</f>
        <v>50000</v>
      </c>
    </row>
    <row r="237" spans="1:15" x14ac:dyDescent="0.25">
      <c r="A237" s="108">
        <v>63120</v>
      </c>
      <c r="B237" s="110" t="s">
        <v>261</v>
      </c>
      <c r="C237" s="85">
        <f t="shared" si="73"/>
        <v>0</v>
      </c>
      <c r="D237" s="49" t="s">
        <v>9</v>
      </c>
      <c r="E237" s="114" t="s">
        <v>242</v>
      </c>
      <c r="I237" s="110" t="s">
        <v>262</v>
      </c>
      <c r="J237" s="55">
        <v>0</v>
      </c>
      <c r="K237" s="55"/>
      <c r="L237" s="55"/>
      <c r="M237" s="55"/>
      <c r="N237" s="55"/>
      <c r="O237" s="102">
        <f t="shared" ref="O237:O244" si="74">SUM(J237:N237)</f>
        <v>0</v>
      </c>
    </row>
    <row r="238" spans="1:15" x14ac:dyDescent="0.25">
      <c r="A238" s="108">
        <v>63126</v>
      </c>
      <c r="B238" s="110" t="s">
        <v>253</v>
      </c>
      <c r="C238" s="85">
        <f t="shared" si="73"/>
        <v>0</v>
      </c>
      <c r="D238" s="49" t="s">
        <v>9</v>
      </c>
      <c r="E238" s="114" t="s">
        <v>254</v>
      </c>
      <c r="I238" s="110" t="s">
        <v>263</v>
      </c>
      <c r="J238" s="55">
        <f>(495*1.0074)*J17</f>
        <v>57346.245000000003</v>
      </c>
      <c r="K238" s="55"/>
      <c r="L238" s="55"/>
      <c r="M238" s="55"/>
      <c r="N238" s="55"/>
      <c r="O238" s="102">
        <f t="shared" si="74"/>
        <v>57346.245000000003</v>
      </c>
    </row>
    <row r="239" spans="1:15" x14ac:dyDescent="0.25">
      <c r="A239" s="108">
        <v>63311</v>
      </c>
      <c r="B239" s="110" t="s">
        <v>253</v>
      </c>
      <c r="C239" s="85">
        <f t="shared" si="73"/>
        <v>0</v>
      </c>
      <c r="D239" s="49" t="s">
        <v>9</v>
      </c>
      <c r="E239" s="114" t="s">
        <v>254</v>
      </c>
      <c r="I239" s="110" t="s">
        <v>264</v>
      </c>
      <c r="J239" s="55">
        <v>6813</v>
      </c>
      <c r="K239" s="55"/>
      <c r="L239" s="55"/>
      <c r="M239" s="55"/>
      <c r="N239" s="55"/>
      <c r="O239" s="102">
        <f t="shared" si="74"/>
        <v>6813</v>
      </c>
    </row>
    <row r="240" spans="1:15" x14ac:dyDescent="0.25">
      <c r="A240" s="108">
        <v>63125</v>
      </c>
      <c r="B240" s="110" t="s">
        <v>261</v>
      </c>
      <c r="C240" s="85">
        <f t="shared" si="73"/>
        <v>0</v>
      </c>
      <c r="D240" s="49" t="s">
        <v>9</v>
      </c>
      <c r="E240" s="114" t="s">
        <v>254</v>
      </c>
      <c r="I240" s="110" t="s">
        <v>265</v>
      </c>
      <c r="J240" s="55">
        <v>33000</v>
      </c>
      <c r="K240" s="55"/>
      <c r="L240" s="55"/>
      <c r="M240" s="55"/>
      <c r="N240" s="55"/>
      <c r="O240" s="102">
        <f t="shared" si="74"/>
        <v>33000</v>
      </c>
    </row>
    <row r="241" spans="1:15" x14ac:dyDescent="0.25">
      <c r="A241" s="108">
        <v>63124</v>
      </c>
      <c r="B241" s="110" t="s">
        <v>261</v>
      </c>
      <c r="C241" s="85">
        <f t="shared" si="73"/>
        <v>0</v>
      </c>
      <c r="D241" s="49" t="s">
        <v>9</v>
      </c>
      <c r="E241" s="110" t="s">
        <v>266</v>
      </c>
      <c r="I241" s="110" t="s">
        <v>267</v>
      </c>
      <c r="J241" s="55">
        <v>12500</v>
      </c>
      <c r="K241" s="55"/>
      <c r="L241" s="55"/>
      <c r="M241" s="55"/>
      <c r="N241" s="55"/>
      <c r="O241" s="102">
        <f t="shared" si="74"/>
        <v>12500</v>
      </c>
    </row>
    <row r="242" spans="1:15" x14ac:dyDescent="0.25">
      <c r="A242" s="108">
        <v>63210</v>
      </c>
      <c r="B242" s="110" t="s">
        <v>268</v>
      </c>
      <c r="C242" s="85">
        <f t="shared" si="73"/>
        <v>0</v>
      </c>
      <c r="D242" s="49" t="s">
        <v>9</v>
      </c>
      <c r="E242" s="114" t="s">
        <v>254</v>
      </c>
      <c r="I242" s="110" t="s">
        <v>269</v>
      </c>
      <c r="J242" s="55">
        <f>(48*J17)+(60*12)</f>
        <v>6240</v>
      </c>
      <c r="K242" s="55"/>
      <c r="L242" s="55"/>
      <c r="M242" s="55"/>
      <c r="N242" s="55"/>
      <c r="O242" s="102">
        <f t="shared" si="74"/>
        <v>6240</v>
      </c>
    </row>
    <row r="243" spans="1:15" x14ac:dyDescent="0.25">
      <c r="A243" s="108">
        <v>63210</v>
      </c>
      <c r="B243" s="110" t="s">
        <v>268</v>
      </c>
      <c r="C243" s="85">
        <f t="shared" si="73"/>
        <v>0</v>
      </c>
      <c r="D243" s="49" t="s">
        <v>9</v>
      </c>
      <c r="E243" s="114" t="s">
        <v>254</v>
      </c>
      <c r="I243" s="110" t="s">
        <v>270</v>
      </c>
      <c r="J243" s="55">
        <v>15000</v>
      </c>
      <c r="K243" s="55"/>
      <c r="L243" s="55"/>
      <c r="M243" s="55"/>
      <c r="N243" s="55"/>
      <c r="O243" s="102">
        <f t="shared" si="74"/>
        <v>15000</v>
      </c>
    </row>
    <row r="244" spans="1:15" x14ac:dyDescent="0.25">
      <c r="A244" s="111">
        <v>63151</v>
      </c>
      <c r="B244" s="112" t="s">
        <v>271</v>
      </c>
      <c r="C244" s="85">
        <f t="shared" si="73"/>
        <v>0</v>
      </c>
      <c r="D244" s="49" t="s">
        <v>9</v>
      </c>
      <c r="E244" s="112" t="s">
        <v>272</v>
      </c>
      <c r="I244" s="112" t="s">
        <v>273</v>
      </c>
      <c r="J244" s="58">
        <f>(J68)*0.0125-8685.33</f>
        <v>4950.7950000000001</v>
      </c>
      <c r="K244" s="58"/>
      <c r="L244" s="58"/>
      <c r="M244" s="58"/>
      <c r="N244" s="58"/>
      <c r="O244" s="102">
        <f t="shared" si="74"/>
        <v>4950.7950000000001</v>
      </c>
    </row>
    <row r="245" spans="1:15" x14ac:dyDescent="0.25">
      <c r="A245" s="98"/>
      <c r="B245" s="98"/>
      <c r="C245" s="98"/>
      <c r="D245" s="98"/>
      <c r="E245" s="98"/>
      <c r="H245" s="93" t="s">
        <v>47</v>
      </c>
      <c r="I245" s="113"/>
      <c r="J245" s="92">
        <f t="shared" ref="J245:O245" si="75">SUM(J236:J244)</f>
        <v>185850.04</v>
      </c>
      <c r="K245" s="92">
        <f t="shared" si="75"/>
        <v>0</v>
      </c>
      <c r="L245" s="92">
        <f t="shared" si="75"/>
        <v>0</v>
      </c>
      <c r="M245" s="92">
        <f t="shared" si="75"/>
        <v>0</v>
      </c>
      <c r="N245" s="92">
        <f t="shared" si="75"/>
        <v>0</v>
      </c>
      <c r="O245" s="92">
        <f t="shared" si="75"/>
        <v>185850.04</v>
      </c>
    </row>
    <row r="246" spans="1:15" x14ac:dyDescent="0.25">
      <c r="J246" s="99"/>
      <c r="K246" s="99"/>
      <c r="L246" s="99"/>
      <c r="M246" s="99"/>
      <c r="N246" s="99"/>
      <c r="O246" s="99"/>
    </row>
    <row r="247" spans="1:15" x14ac:dyDescent="0.25">
      <c r="A247" s="81"/>
      <c r="B247" s="82"/>
      <c r="C247" s="82"/>
      <c r="D247" s="82"/>
      <c r="E247" s="82"/>
      <c r="G247" s="100" t="s">
        <v>274</v>
      </c>
      <c r="H247" s="105"/>
      <c r="I247" s="82"/>
      <c r="J247" s="101" t="str">
        <f>J20</f>
        <v>Operating</v>
      </c>
      <c r="K247" s="101" t="str">
        <f t="shared" ref="K247:O247" si="76">K20</f>
        <v>SPED</v>
      </c>
      <c r="L247" s="101" t="str">
        <f t="shared" si="76"/>
        <v>NSLP</v>
      </c>
      <c r="M247" s="101" t="str">
        <f t="shared" si="76"/>
        <v>Title(s)</v>
      </c>
      <c r="N247" s="101" t="str">
        <f t="shared" si="76"/>
        <v>Other</v>
      </c>
      <c r="O247" s="101" t="str">
        <f t="shared" si="76"/>
        <v>Total</v>
      </c>
    </row>
    <row r="248" spans="1:15" x14ac:dyDescent="0.25">
      <c r="A248" s="106">
        <v>63220</v>
      </c>
      <c r="B248" s="114" t="s">
        <v>275</v>
      </c>
      <c r="C248" s="85">
        <f t="shared" ref="C248:C265" si="77">$C$1</f>
        <v>0</v>
      </c>
      <c r="D248" s="49" t="s">
        <v>9</v>
      </c>
      <c r="E248" s="114" t="s">
        <v>254</v>
      </c>
      <c r="I248" s="114" t="s">
        <v>276</v>
      </c>
      <c r="J248" s="102">
        <f>'25-26'!J248*1.03</f>
        <v>3136.35</v>
      </c>
      <c r="K248" s="102"/>
      <c r="L248" s="102"/>
      <c r="M248" s="102"/>
      <c r="N248" s="102"/>
      <c r="O248" s="102">
        <f t="shared" ref="O248:O265" si="78">SUM(J248:N248)</f>
        <v>3136.35</v>
      </c>
    </row>
    <row r="249" spans="1:15" x14ac:dyDescent="0.25">
      <c r="A249" s="106">
        <v>63231</v>
      </c>
      <c r="B249" s="114" t="s">
        <v>277</v>
      </c>
      <c r="C249" s="85">
        <f t="shared" si="77"/>
        <v>0</v>
      </c>
      <c r="D249" s="49" t="s">
        <v>9</v>
      </c>
      <c r="E249" s="114" t="s">
        <v>278</v>
      </c>
      <c r="I249" s="114" t="s">
        <v>279</v>
      </c>
      <c r="J249" s="102">
        <f>'25-26'!J249*1.03</f>
        <v>4174.59</v>
      </c>
      <c r="K249" s="102"/>
      <c r="L249" s="102"/>
      <c r="M249" s="102"/>
      <c r="N249" s="102"/>
      <c r="O249" s="102">
        <f t="shared" si="78"/>
        <v>4174.59</v>
      </c>
    </row>
    <row r="250" spans="1:15" x14ac:dyDescent="0.25">
      <c r="A250" s="106">
        <v>63350</v>
      </c>
      <c r="B250" s="114" t="s">
        <v>280</v>
      </c>
      <c r="C250" s="85">
        <f t="shared" si="77"/>
        <v>0</v>
      </c>
      <c r="D250" s="49" t="s">
        <v>9</v>
      </c>
      <c r="E250" s="114" t="s">
        <v>114</v>
      </c>
      <c r="I250" s="110" t="s">
        <v>281</v>
      </c>
      <c r="J250" s="55">
        <v>2000</v>
      </c>
      <c r="K250" s="55"/>
      <c r="L250" s="55"/>
      <c r="M250" s="55"/>
      <c r="N250" s="55"/>
      <c r="O250" s="102">
        <f t="shared" si="78"/>
        <v>2000</v>
      </c>
    </row>
    <row r="251" spans="1:15" x14ac:dyDescent="0.25">
      <c r="A251" s="106">
        <v>63231</v>
      </c>
      <c r="B251" s="114" t="s">
        <v>277</v>
      </c>
      <c r="C251" s="85">
        <f t="shared" si="77"/>
        <v>0</v>
      </c>
      <c r="D251" s="49" t="s">
        <v>9</v>
      </c>
      <c r="E251" s="114" t="s">
        <v>278</v>
      </c>
      <c r="I251" s="110" t="s">
        <v>282</v>
      </c>
      <c r="J251" s="55">
        <v>5500</v>
      </c>
      <c r="K251" s="55"/>
      <c r="L251" s="55"/>
      <c r="M251" s="55"/>
      <c r="N251" s="55"/>
      <c r="O251" s="102">
        <f t="shared" si="78"/>
        <v>5500</v>
      </c>
    </row>
    <row r="252" spans="1:15" x14ac:dyDescent="0.25">
      <c r="A252" s="106">
        <v>64272</v>
      </c>
      <c r="B252" s="114" t="s">
        <v>283</v>
      </c>
      <c r="C252" s="85">
        <f t="shared" si="77"/>
        <v>0</v>
      </c>
      <c r="D252" s="49" t="s">
        <v>9</v>
      </c>
      <c r="E252" s="52" t="s">
        <v>186</v>
      </c>
      <c r="I252" s="110" t="s">
        <v>284</v>
      </c>
      <c r="J252" s="102">
        <f>'25-26'!J252*1.03</f>
        <v>13596</v>
      </c>
      <c r="K252" s="55"/>
      <c r="L252" s="55"/>
      <c r="M252" s="55"/>
      <c r="N252" s="55"/>
      <c r="O252" s="102">
        <f t="shared" si="78"/>
        <v>13596</v>
      </c>
    </row>
    <row r="253" spans="1:15" x14ac:dyDescent="0.25">
      <c r="A253" s="106">
        <v>62553</v>
      </c>
      <c r="B253" s="114" t="s">
        <v>285</v>
      </c>
      <c r="C253" s="85">
        <f t="shared" si="77"/>
        <v>0</v>
      </c>
      <c r="D253" s="49" t="s">
        <v>9</v>
      </c>
      <c r="E253" s="52" t="s">
        <v>186</v>
      </c>
      <c r="I253" s="110" t="s">
        <v>286</v>
      </c>
      <c r="J253" s="55">
        <f>((2+0.4+1.95)*J17)+7500</f>
        <v>8000.25</v>
      </c>
      <c r="K253" s="55"/>
      <c r="L253" s="55"/>
      <c r="M253" s="55"/>
      <c r="N253" s="55"/>
      <c r="O253" s="102">
        <f t="shared" si="78"/>
        <v>8000.25</v>
      </c>
    </row>
    <row r="254" spans="1:15" x14ac:dyDescent="0.25">
      <c r="A254" s="106">
        <v>65210</v>
      </c>
      <c r="B254" s="114" t="s">
        <v>287</v>
      </c>
      <c r="C254" s="85">
        <f t="shared" si="77"/>
        <v>0</v>
      </c>
      <c r="D254" s="49" t="s">
        <v>9</v>
      </c>
      <c r="E254" s="114" t="s">
        <v>242</v>
      </c>
      <c r="I254" s="110" t="s">
        <v>288</v>
      </c>
      <c r="J254" s="102">
        <f>'25-26'!J254*1.1</f>
        <v>40535</v>
      </c>
      <c r="K254" s="55"/>
      <c r="L254" s="55"/>
      <c r="M254" s="55"/>
      <c r="N254" s="55"/>
      <c r="O254" s="102">
        <f t="shared" si="78"/>
        <v>40535</v>
      </c>
    </row>
    <row r="255" spans="1:15" x14ac:dyDescent="0.25">
      <c r="A255" s="106">
        <v>64100</v>
      </c>
      <c r="B255" s="114" t="s">
        <v>289</v>
      </c>
      <c r="C255" s="85">
        <f t="shared" si="77"/>
        <v>0</v>
      </c>
      <c r="D255" s="52" t="s">
        <v>39</v>
      </c>
      <c r="E255" s="114" t="s">
        <v>160</v>
      </c>
      <c r="I255" s="110" t="s">
        <v>290</v>
      </c>
      <c r="J255" s="55"/>
      <c r="K255" s="55"/>
      <c r="L255" s="55">
        <f>(40*180*2.5)*1.015</f>
        <v>18270</v>
      </c>
      <c r="M255" s="55"/>
      <c r="N255" s="55"/>
      <c r="O255" s="102">
        <f t="shared" si="78"/>
        <v>18270</v>
      </c>
    </row>
    <row r="256" spans="1:15" x14ac:dyDescent="0.25">
      <c r="A256" s="106">
        <v>64100</v>
      </c>
      <c r="B256" s="114" t="s">
        <v>289</v>
      </c>
      <c r="C256" s="85">
        <f t="shared" si="77"/>
        <v>0</v>
      </c>
      <c r="D256" s="52" t="s">
        <v>39</v>
      </c>
      <c r="E256" s="114" t="s">
        <v>160</v>
      </c>
      <c r="I256" s="110" t="s">
        <v>291</v>
      </c>
      <c r="J256" s="55"/>
      <c r="K256" s="55"/>
      <c r="L256" s="55">
        <f>(60*3.86*180)*1.015</f>
        <v>42313.319999999992</v>
      </c>
      <c r="M256" s="55"/>
      <c r="N256" s="55"/>
      <c r="O256" s="102">
        <f t="shared" si="78"/>
        <v>42313.319999999992</v>
      </c>
    </row>
    <row r="257" spans="1:15" x14ac:dyDescent="0.25">
      <c r="A257" s="106">
        <v>63330</v>
      </c>
      <c r="B257" s="114" t="s">
        <v>292</v>
      </c>
      <c r="C257" s="85">
        <f t="shared" si="77"/>
        <v>0</v>
      </c>
      <c r="D257" s="49" t="s">
        <v>9</v>
      </c>
      <c r="E257" s="114" t="s">
        <v>293</v>
      </c>
      <c r="I257" s="110" t="s">
        <v>294</v>
      </c>
      <c r="J257" s="55">
        <v>30000</v>
      </c>
      <c r="K257" s="55"/>
      <c r="L257" s="55"/>
      <c r="M257" s="55"/>
      <c r="N257" s="55"/>
      <c r="O257" s="102">
        <f t="shared" si="78"/>
        <v>30000</v>
      </c>
    </row>
    <row r="258" spans="1:15" x14ac:dyDescent="0.25">
      <c r="A258" s="106">
        <v>61584</v>
      </c>
      <c r="B258" s="114" t="s">
        <v>295</v>
      </c>
      <c r="C258" s="85">
        <f t="shared" si="77"/>
        <v>0</v>
      </c>
      <c r="D258" s="49" t="s">
        <v>9</v>
      </c>
      <c r="E258" s="52" t="s">
        <v>114</v>
      </c>
      <c r="I258" s="110" t="s">
        <v>296</v>
      </c>
      <c r="J258" s="55">
        <v>5500</v>
      </c>
      <c r="K258" s="55"/>
      <c r="L258" s="55"/>
      <c r="M258" s="55">
        <v>2331</v>
      </c>
      <c r="N258" s="55"/>
      <c r="O258" s="102">
        <f t="shared" si="78"/>
        <v>7831</v>
      </c>
    </row>
    <row r="259" spans="1:15" x14ac:dyDescent="0.25">
      <c r="A259" s="106">
        <v>63127</v>
      </c>
      <c r="B259" s="114" t="s">
        <v>261</v>
      </c>
      <c r="C259" s="85">
        <f t="shared" si="77"/>
        <v>0</v>
      </c>
      <c r="D259" s="49" t="s">
        <v>9</v>
      </c>
      <c r="E259" s="114" t="s">
        <v>297</v>
      </c>
      <c r="I259" s="110" t="s">
        <v>298</v>
      </c>
      <c r="J259" s="55">
        <v>900</v>
      </c>
      <c r="K259" s="55"/>
      <c r="L259" s="55"/>
      <c r="M259" s="55"/>
      <c r="N259" s="55"/>
      <c r="O259" s="102">
        <f t="shared" si="78"/>
        <v>900</v>
      </c>
    </row>
    <row r="260" spans="1:15" x14ac:dyDescent="0.25">
      <c r="A260" s="108">
        <v>63610</v>
      </c>
      <c r="B260" s="110" t="s">
        <v>299</v>
      </c>
      <c r="C260" s="85">
        <f t="shared" si="77"/>
        <v>0</v>
      </c>
      <c r="D260" s="49" t="s">
        <v>9</v>
      </c>
      <c r="E260" s="110" t="s">
        <v>300</v>
      </c>
      <c r="I260" s="110" t="s">
        <v>301</v>
      </c>
      <c r="J260" s="55">
        <f>(6*J17)+1500+1000</f>
        <v>3190</v>
      </c>
      <c r="K260" s="55"/>
      <c r="L260" s="55"/>
      <c r="M260" s="55"/>
      <c r="N260" s="55"/>
      <c r="O260" s="102">
        <f t="shared" si="78"/>
        <v>3190</v>
      </c>
    </row>
    <row r="261" spans="1:15" x14ac:dyDescent="0.25">
      <c r="A261" s="108">
        <v>62670</v>
      </c>
      <c r="B261" s="110" t="s">
        <v>236</v>
      </c>
      <c r="C261" s="85">
        <f t="shared" si="77"/>
        <v>0</v>
      </c>
      <c r="D261" s="49" t="s">
        <v>9</v>
      </c>
      <c r="E261" s="110" t="s">
        <v>302</v>
      </c>
      <c r="I261" s="110" t="s">
        <v>303</v>
      </c>
      <c r="J261" s="55">
        <v>0</v>
      </c>
      <c r="K261" s="55"/>
      <c r="L261" s="55"/>
      <c r="M261" s="55"/>
      <c r="N261" s="55"/>
      <c r="O261" s="102">
        <f t="shared" si="78"/>
        <v>0</v>
      </c>
    </row>
    <row r="262" spans="1:15" x14ac:dyDescent="0.25">
      <c r="A262" s="108">
        <v>90002</v>
      </c>
      <c r="B262" s="110" t="s">
        <v>304</v>
      </c>
      <c r="C262" s="85">
        <f t="shared" si="77"/>
        <v>0</v>
      </c>
      <c r="D262" s="49" t="s">
        <v>9</v>
      </c>
      <c r="E262" s="110" t="s">
        <v>305</v>
      </c>
      <c r="I262" s="110" t="s">
        <v>306</v>
      </c>
      <c r="J262" s="55">
        <v>0</v>
      </c>
      <c r="K262" s="55"/>
      <c r="L262" s="55"/>
      <c r="M262" s="55"/>
      <c r="N262" s="55"/>
      <c r="O262" s="102">
        <f t="shared" si="78"/>
        <v>0</v>
      </c>
    </row>
    <row r="263" spans="1:15" x14ac:dyDescent="0.25">
      <c r="A263" s="108">
        <v>69990</v>
      </c>
      <c r="B263" s="110" t="s">
        <v>307</v>
      </c>
      <c r="C263" s="85">
        <f t="shared" si="77"/>
        <v>0</v>
      </c>
      <c r="D263" s="114" t="s">
        <v>33</v>
      </c>
      <c r="E263" s="110" t="s">
        <v>308</v>
      </c>
      <c r="I263" s="110" t="s">
        <v>309</v>
      </c>
      <c r="J263" s="55">
        <f>J80</f>
        <v>0</v>
      </c>
      <c r="K263" s="55"/>
      <c r="L263" s="55"/>
      <c r="M263" s="55"/>
      <c r="N263" s="55"/>
      <c r="O263" s="102">
        <f t="shared" si="78"/>
        <v>0</v>
      </c>
    </row>
    <row r="264" spans="1:15" x14ac:dyDescent="0.25">
      <c r="A264" s="108">
        <v>69900</v>
      </c>
      <c r="B264" s="110" t="s">
        <v>299</v>
      </c>
      <c r="C264" s="85">
        <f t="shared" si="77"/>
        <v>0</v>
      </c>
      <c r="D264" s="49" t="s">
        <v>9</v>
      </c>
      <c r="E264" s="110" t="s">
        <v>300</v>
      </c>
      <c r="I264" s="110" t="s">
        <v>310</v>
      </c>
      <c r="J264" s="55">
        <v>0</v>
      </c>
      <c r="K264" s="55"/>
      <c r="L264" s="55"/>
      <c r="M264" s="55"/>
      <c r="N264" s="55"/>
      <c r="O264" s="102">
        <f t="shared" si="78"/>
        <v>0</v>
      </c>
    </row>
    <row r="265" spans="1:15" x14ac:dyDescent="0.25">
      <c r="A265" s="111">
        <v>69900</v>
      </c>
      <c r="B265" s="112" t="s">
        <v>311</v>
      </c>
      <c r="C265" s="85">
        <f t="shared" si="77"/>
        <v>0</v>
      </c>
      <c r="D265" s="49" t="s">
        <v>9</v>
      </c>
      <c r="E265" s="112" t="s">
        <v>312</v>
      </c>
      <c r="I265" s="112" t="s">
        <v>313</v>
      </c>
      <c r="J265" s="58">
        <f>J68*0</f>
        <v>0</v>
      </c>
      <c r="K265" s="58"/>
      <c r="L265" s="58"/>
      <c r="M265" s="58"/>
      <c r="N265" s="58"/>
      <c r="O265" s="102">
        <f t="shared" si="78"/>
        <v>0</v>
      </c>
    </row>
    <row r="266" spans="1:15" x14ac:dyDescent="0.25">
      <c r="A266" s="98"/>
      <c r="B266" s="98"/>
      <c r="C266" s="98"/>
      <c r="D266" s="98"/>
      <c r="E266" s="98"/>
      <c r="H266" s="93" t="s">
        <v>47</v>
      </c>
      <c r="I266" s="113"/>
      <c r="J266" s="92">
        <f t="shared" ref="J266:K266" si="79">SUM(J248:J265)</f>
        <v>116532.19</v>
      </c>
      <c r="K266" s="92">
        <f t="shared" si="79"/>
        <v>0</v>
      </c>
      <c r="L266" s="92">
        <f t="shared" ref="L266:O266" si="80">SUM(L248:L265)</f>
        <v>60583.319999999992</v>
      </c>
      <c r="M266" s="92">
        <f t="shared" si="80"/>
        <v>2331</v>
      </c>
      <c r="N266" s="92">
        <f t="shared" si="80"/>
        <v>0</v>
      </c>
      <c r="O266" s="92">
        <f t="shared" si="80"/>
        <v>179446.51</v>
      </c>
    </row>
    <row r="267" spans="1:15" ht="16.5" thickBot="1" x14ac:dyDescent="0.3">
      <c r="J267" s="99"/>
      <c r="K267" s="99"/>
      <c r="L267" s="99"/>
      <c r="M267" s="99"/>
      <c r="N267" s="99"/>
      <c r="O267" s="99"/>
    </row>
    <row r="268" spans="1:15" ht="16.5" thickBot="1" x14ac:dyDescent="0.3">
      <c r="A268" s="68" t="s">
        <v>5</v>
      </c>
      <c r="B268" s="68" t="s">
        <v>91</v>
      </c>
      <c r="C268" s="68" t="s">
        <v>92</v>
      </c>
      <c r="D268" s="68" t="s">
        <v>4</v>
      </c>
      <c r="E268" s="68" t="s">
        <v>93</v>
      </c>
      <c r="G268" s="100" t="s">
        <v>314</v>
      </c>
      <c r="H268" s="105"/>
      <c r="I268" s="82"/>
      <c r="J268" s="101" t="str">
        <f>J20</f>
        <v>Operating</v>
      </c>
      <c r="K268" s="101" t="str">
        <f t="shared" ref="K268:O268" si="81">K20</f>
        <v>SPED</v>
      </c>
      <c r="L268" s="101" t="str">
        <f t="shared" si="81"/>
        <v>NSLP</v>
      </c>
      <c r="M268" s="101" t="str">
        <f t="shared" si="81"/>
        <v>Title(s)</v>
      </c>
      <c r="N268" s="101" t="str">
        <f t="shared" si="81"/>
        <v>Other</v>
      </c>
      <c r="O268" s="101" t="str">
        <f t="shared" si="81"/>
        <v>Total</v>
      </c>
    </row>
    <row r="269" spans="1:15" x14ac:dyDescent="0.25">
      <c r="A269" s="106">
        <v>65510</v>
      </c>
      <c r="B269" s="114" t="s">
        <v>315</v>
      </c>
      <c r="C269" s="85">
        <f t="shared" ref="C269:C279" si="82">$C$1</f>
        <v>0</v>
      </c>
      <c r="D269" s="49" t="s">
        <v>9</v>
      </c>
      <c r="E269" s="114" t="s">
        <v>242</v>
      </c>
      <c r="I269" s="114" t="s">
        <v>316</v>
      </c>
      <c r="J269" s="102">
        <f>'25-26'!J269*1.03</f>
        <v>45938</v>
      </c>
      <c r="K269" s="102"/>
      <c r="L269" s="102"/>
      <c r="M269" s="102"/>
      <c r="N269" s="102"/>
      <c r="O269" s="102">
        <f>SUM(J269:N269)</f>
        <v>45938</v>
      </c>
    </row>
    <row r="270" spans="1:15" x14ac:dyDescent="0.25">
      <c r="A270" s="106">
        <v>65530</v>
      </c>
      <c r="B270" s="114" t="s">
        <v>317</v>
      </c>
      <c r="C270" s="85">
        <f t="shared" si="82"/>
        <v>0</v>
      </c>
      <c r="D270" s="49" t="s">
        <v>9</v>
      </c>
      <c r="E270" s="114" t="s">
        <v>242</v>
      </c>
      <c r="I270" s="110" t="s">
        <v>318</v>
      </c>
      <c r="J270" s="102">
        <f>'25-26'!J270*1.03</f>
        <v>1854</v>
      </c>
      <c r="K270" s="55"/>
      <c r="L270" s="55"/>
      <c r="M270" s="55"/>
      <c r="N270" s="55"/>
      <c r="O270" s="102">
        <f t="shared" ref="O270:O279" si="83">SUM(J270:N270)</f>
        <v>1854</v>
      </c>
    </row>
    <row r="271" spans="1:15" x14ac:dyDescent="0.25">
      <c r="A271" s="106">
        <v>65540</v>
      </c>
      <c r="B271" s="114" t="s">
        <v>319</v>
      </c>
      <c r="C271" s="85">
        <f t="shared" si="82"/>
        <v>0</v>
      </c>
      <c r="D271" s="49" t="s">
        <v>9</v>
      </c>
      <c r="E271" s="114" t="s">
        <v>242</v>
      </c>
      <c r="I271" s="110" t="s">
        <v>320</v>
      </c>
      <c r="J271" s="102">
        <f>'25-26'!J271*1.03</f>
        <v>10918</v>
      </c>
      <c r="K271" s="55"/>
      <c r="L271" s="55"/>
      <c r="M271" s="55"/>
      <c r="N271" s="55"/>
      <c r="O271" s="102">
        <f t="shared" si="83"/>
        <v>10918</v>
      </c>
    </row>
    <row r="272" spans="1:15" x14ac:dyDescent="0.25">
      <c r="A272" s="106">
        <v>65550</v>
      </c>
      <c r="B272" s="114" t="s">
        <v>321</v>
      </c>
      <c r="C272" s="85">
        <f t="shared" si="82"/>
        <v>0</v>
      </c>
      <c r="D272" s="49" t="s">
        <v>9</v>
      </c>
      <c r="E272" s="114" t="s">
        <v>242</v>
      </c>
      <c r="I272" s="110" t="s">
        <v>322</v>
      </c>
      <c r="J272" s="102">
        <f>'25-26'!J272*1.03</f>
        <v>4120</v>
      </c>
      <c r="K272" s="55"/>
      <c r="L272" s="55"/>
      <c r="M272" s="55"/>
      <c r="N272" s="55"/>
      <c r="O272" s="102">
        <f t="shared" si="83"/>
        <v>4120</v>
      </c>
    </row>
    <row r="273" spans="1:15" x14ac:dyDescent="0.25">
      <c r="A273" s="106">
        <v>63632</v>
      </c>
      <c r="B273" s="114" t="s">
        <v>323</v>
      </c>
      <c r="C273" s="85">
        <f t="shared" si="82"/>
        <v>0</v>
      </c>
      <c r="D273" s="49" t="s">
        <v>9</v>
      </c>
      <c r="E273" s="114" t="s">
        <v>324</v>
      </c>
      <c r="I273" s="110" t="s">
        <v>325</v>
      </c>
      <c r="J273" s="102">
        <f>'25-26'!J273*1.03</f>
        <v>1030</v>
      </c>
      <c r="K273" s="55"/>
      <c r="L273" s="55"/>
      <c r="M273" s="55"/>
      <c r="N273" s="55"/>
      <c r="O273" s="102">
        <f t="shared" si="83"/>
        <v>1030</v>
      </c>
    </row>
    <row r="274" spans="1:15" x14ac:dyDescent="0.25">
      <c r="A274" s="106">
        <v>65100</v>
      </c>
      <c r="B274" s="114" t="s">
        <v>326</v>
      </c>
      <c r="C274" s="85">
        <f t="shared" si="82"/>
        <v>0</v>
      </c>
      <c r="D274" s="49" t="s">
        <v>9</v>
      </c>
      <c r="E274" s="114" t="s">
        <v>242</v>
      </c>
      <c r="I274" s="110" t="s">
        <v>327</v>
      </c>
      <c r="J274" s="102">
        <f>'25-26'!J274*1.03</f>
        <v>13853.5</v>
      </c>
      <c r="K274" s="55"/>
      <c r="L274" s="55"/>
      <c r="M274" s="55"/>
      <c r="N274" s="55"/>
      <c r="O274" s="102">
        <f t="shared" si="83"/>
        <v>13853.5</v>
      </c>
    </row>
    <row r="275" spans="1:15" x14ac:dyDescent="0.25">
      <c r="A275" s="106">
        <v>65310</v>
      </c>
      <c r="B275" s="114" t="s">
        <v>328</v>
      </c>
      <c r="C275" s="85">
        <f t="shared" si="82"/>
        <v>0</v>
      </c>
      <c r="D275" s="49" t="s">
        <v>9</v>
      </c>
      <c r="E275" s="114" t="s">
        <v>242</v>
      </c>
      <c r="I275" s="110" t="s">
        <v>329</v>
      </c>
      <c r="J275" s="55">
        <v>30000</v>
      </c>
      <c r="K275" s="55"/>
      <c r="L275" s="55"/>
      <c r="M275" s="55"/>
      <c r="N275" s="55"/>
      <c r="O275" s="102">
        <f t="shared" si="83"/>
        <v>30000</v>
      </c>
    </row>
    <row r="276" spans="1:15" x14ac:dyDescent="0.25">
      <c r="A276" s="106">
        <v>65310</v>
      </c>
      <c r="B276" s="114" t="s">
        <v>330</v>
      </c>
      <c r="C276" s="85">
        <f t="shared" si="82"/>
        <v>0</v>
      </c>
      <c r="D276" s="49" t="s">
        <v>9</v>
      </c>
      <c r="E276" s="114" t="s">
        <v>242</v>
      </c>
      <c r="I276" s="110" t="s">
        <v>331</v>
      </c>
      <c r="J276" s="55"/>
      <c r="K276" s="55"/>
      <c r="L276" s="55"/>
      <c r="M276" s="55"/>
      <c r="N276" s="55"/>
      <c r="O276" s="102">
        <f t="shared" si="83"/>
        <v>0</v>
      </c>
    </row>
    <row r="277" spans="1:15" x14ac:dyDescent="0.25">
      <c r="A277" s="106">
        <v>65112</v>
      </c>
      <c r="B277" s="114" t="s">
        <v>332</v>
      </c>
      <c r="C277" s="85">
        <f t="shared" si="82"/>
        <v>0</v>
      </c>
      <c r="D277" s="49" t="s">
        <v>9</v>
      </c>
      <c r="E277" s="114" t="s">
        <v>242</v>
      </c>
      <c r="I277" s="110" t="s">
        <v>333</v>
      </c>
      <c r="J277" s="55">
        <v>0</v>
      </c>
      <c r="K277" s="55"/>
      <c r="L277" s="55"/>
      <c r="M277" s="55"/>
      <c r="N277" s="55"/>
      <c r="O277" s="102">
        <f t="shared" si="83"/>
        <v>0</v>
      </c>
    </row>
    <row r="278" spans="1:15" x14ac:dyDescent="0.25">
      <c r="A278" s="106">
        <v>65111</v>
      </c>
      <c r="B278" s="114" t="s">
        <v>332</v>
      </c>
      <c r="C278" s="85">
        <f t="shared" si="82"/>
        <v>0</v>
      </c>
      <c r="D278" s="49" t="s">
        <v>9</v>
      </c>
      <c r="E278" s="114" t="s">
        <v>242</v>
      </c>
      <c r="I278" s="110" t="s">
        <v>334</v>
      </c>
      <c r="J278" s="55">
        <v>0</v>
      </c>
      <c r="K278" s="55"/>
      <c r="L278" s="55"/>
      <c r="M278" s="55"/>
      <c r="N278" s="55"/>
      <c r="O278" s="102">
        <f t="shared" si="83"/>
        <v>0</v>
      </c>
    </row>
    <row r="279" spans="1:15" x14ac:dyDescent="0.25">
      <c r="A279" s="117">
        <v>65311</v>
      </c>
      <c r="B279" s="118" t="s">
        <v>328</v>
      </c>
      <c r="C279" s="85">
        <f t="shared" si="82"/>
        <v>0</v>
      </c>
      <c r="D279" s="49" t="s">
        <v>9</v>
      </c>
      <c r="E279" s="114" t="s">
        <v>242</v>
      </c>
      <c r="I279" s="112" t="s">
        <v>335</v>
      </c>
      <c r="J279" s="58">
        <v>11000</v>
      </c>
      <c r="K279" s="58"/>
      <c r="L279" s="58"/>
      <c r="M279" s="58"/>
      <c r="N279" s="58"/>
      <c r="O279" s="102">
        <f t="shared" si="83"/>
        <v>11000</v>
      </c>
    </row>
    <row r="280" spans="1:15" x14ac:dyDescent="0.25">
      <c r="A280" s="98"/>
      <c r="B280" s="98"/>
      <c r="C280" s="98"/>
      <c r="D280" s="98"/>
      <c r="E280" s="98"/>
      <c r="H280" s="93" t="s">
        <v>47</v>
      </c>
      <c r="I280" s="113"/>
      <c r="J280" s="92">
        <f t="shared" ref="J280:O280" si="84">SUM(J269:J279)</f>
        <v>118713.5</v>
      </c>
      <c r="K280" s="92">
        <f t="shared" si="84"/>
        <v>0</v>
      </c>
      <c r="L280" s="92">
        <f t="shared" si="84"/>
        <v>0</v>
      </c>
      <c r="M280" s="92">
        <f t="shared" si="84"/>
        <v>0</v>
      </c>
      <c r="N280" s="92">
        <f t="shared" si="84"/>
        <v>0</v>
      </c>
      <c r="O280" s="92">
        <f t="shared" si="84"/>
        <v>118713.5</v>
      </c>
    </row>
    <row r="281" spans="1:15" ht="16.5" thickBot="1" x14ac:dyDescent="0.3">
      <c r="J281" s="99"/>
      <c r="K281" s="99"/>
      <c r="L281" s="99"/>
      <c r="M281" s="99"/>
      <c r="N281" s="99"/>
      <c r="O281" s="99"/>
    </row>
    <row r="282" spans="1:15" ht="16.149999999999999" customHeight="1" thickBot="1" x14ac:dyDescent="0.3">
      <c r="A282" s="81"/>
      <c r="B282" s="82"/>
      <c r="C282" s="82"/>
      <c r="D282" s="82"/>
      <c r="E282" s="82"/>
      <c r="G282" s="180" t="s">
        <v>336</v>
      </c>
      <c r="H282" s="181"/>
      <c r="I282" s="181"/>
      <c r="J282" s="119">
        <f t="shared" ref="J282:O282" si="85">J280+J266+J245+J233+J221+J212+J201+J180+J153+J134</f>
        <v>1563411.1412499999</v>
      </c>
      <c r="K282" s="119">
        <f t="shared" si="85"/>
        <v>170930.84256249998</v>
      </c>
      <c r="L282" s="119">
        <f t="shared" si="85"/>
        <v>134653.71999999997</v>
      </c>
      <c r="M282" s="119">
        <f t="shared" si="85"/>
        <v>123955.5975</v>
      </c>
      <c r="N282" s="119">
        <f t="shared" si="85"/>
        <v>0</v>
      </c>
      <c r="O282" s="119">
        <f t="shared" si="85"/>
        <v>1992951.3013125001</v>
      </c>
    </row>
    <row r="283" spans="1:15" ht="16.5" thickBot="1" x14ac:dyDescent="0.3">
      <c r="J283" s="99"/>
      <c r="K283" s="99"/>
      <c r="L283" s="99"/>
      <c r="M283" s="99"/>
      <c r="N283" s="99"/>
      <c r="O283" s="99"/>
    </row>
    <row r="284" spans="1:15" ht="16.5" thickBot="1" x14ac:dyDescent="0.3">
      <c r="A284" s="81"/>
      <c r="B284" s="82"/>
      <c r="C284" s="82"/>
      <c r="D284" s="82"/>
      <c r="E284" s="82"/>
      <c r="G284" s="69" t="s">
        <v>337</v>
      </c>
      <c r="H284" s="120"/>
      <c r="I284" s="121"/>
      <c r="J284" s="122"/>
      <c r="K284" s="122"/>
      <c r="L284" s="122"/>
      <c r="M284" s="122"/>
      <c r="N284" s="122"/>
      <c r="O284" s="122"/>
    </row>
    <row r="285" spans="1:15" x14ac:dyDescent="0.25">
      <c r="A285" s="123">
        <v>65400</v>
      </c>
      <c r="B285" s="124" t="s">
        <v>319</v>
      </c>
      <c r="C285" s="85">
        <f t="shared" ref="C285:C288" si="86">$C$1</f>
        <v>0</v>
      </c>
      <c r="D285" s="49" t="s">
        <v>9</v>
      </c>
      <c r="E285" s="114" t="s">
        <v>242</v>
      </c>
      <c r="I285" s="124" t="s">
        <v>338</v>
      </c>
      <c r="J285" s="125">
        <f>500*J17</f>
        <v>57500</v>
      </c>
      <c r="K285" s="125">
        <f>500*K17</f>
        <v>0</v>
      </c>
      <c r="L285" s="125">
        <f>500*L17</f>
        <v>0</v>
      </c>
      <c r="M285" s="125">
        <f>500*M17</f>
        <v>0</v>
      </c>
      <c r="N285" s="125">
        <f>500*N17</f>
        <v>0</v>
      </c>
      <c r="O285" s="102">
        <f>SUM(J285:N285)</f>
        <v>57500</v>
      </c>
    </row>
    <row r="286" spans="1:15" x14ac:dyDescent="0.25">
      <c r="A286" s="126">
        <v>90001</v>
      </c>
      <c r="B286" s="127" t="s">
        <v>304</v>
      </c>
      <c r="C286" s="85">
        <f t="shared" si="86"/>
        <v>0</v>
      </c>
      <c r="D286" s="49" t="s">
        <v>9</v>
      </c>
      <c r="E286" s="110" t="s">
        <v>305</v>
      </c>
      <c r="I286" s="127" t="s">
        <v>339</v>
      </c>
      <c r="J286" s="128">
        <v>0</v>
      </c>
      <c r="K286" s="128">
        <v>0</v>
      </c>
      <c r="L286" s="128">
        <v>0</v>
      </c>
      <c r="M286" s="128">
        <v>0</v>
      </c>
      <c r="N286" s="128">
        <v>0</v>
      </c>
      <c r="O286" s="102">
        <f t="shared" ref="O286:O288" si="87">SUM(J286:N286)</f>
        <v>0</v>
      </c>
    </row>
    <row r="287" spans="1:15" x14ac:dyDescent="0.25">
      <c r="A287" s="126">
        <v>68320</v>
      </c>
      <c r="B287" s="127" t="s">
        <v>340</v>
      </c>
      <c r="C287" s="85">
        <f t="shared" si="86"/>
        <v>0</v>
      </c>
      <c r="D287" s="49" t="s">
        <v>9</v>
      </c>
      <c r="E287" s="110" t="s">
        <v>305</v>
      </c>
      <c r="I287" s="127" t="s">
        <v>341</v>
      </c>
      <c r="J287" s="128">
        <v>0</v>
      </c>
      <c r="K287" s="128">
        <v>0</v>
      </c>
      <c r="L287" s="128">
        <v>0</v>
      </c>
      <c r="M287" s="128">
        <v>0</v>
      </c>
      <c r="N287" s="128">
        <v>0</v>
      </c>
      <c r="O287" s="102">
        <f t="shared" si="87"/>
        <v>0</v>
      </c>
    </row>
    <row r="288" spans="1:15" x14ac:dyDescent="0.25">
      <c r="A288" s="123">
        <v>65400</v>
      </c>
      <c r="B288" s="124" t="s">
        <v>319</v>
      </c>
      <c r="C288" s="85">
        <f t="shared" si="86"/>
        <v>0</v>
      </c>
      <c r="D288" s="49" t="s">
        <v>9</v>
      </c>
      <c r="E288" s="114" t="s">
        <v>242</v>
      </c>
      <c r="I288" s="129" t="s">
        <v>342</v>
      </c>
      <c r="J288" s="130">
        <v>0</v>
      </c>
      <c r="K288" s="130">
        <v>0</v>
      </c>
      <c r="L288" s="130">
        <v>0</v>
      </c>
      <c r="M288" s="130">
        <v>0</v>
      </c>
      <c r="N288" s="130">
        <v>0</v>
      </c>
      <c r="O288" s="102">
        <f t="shared" si="87"/>
        <v>0</v>
      </c>
    </row>
    <row r="289" spans="1:15" x14ac:dyDescent="0.25">
      <c r="A289" s="98"/>
      <c r="B289" s="98"/>
      <c r="C289" s="98"/>
      <c r="D289" s="98"/>
      <c r="E289" s="98"/>
      <c r="G289" s="2"/>
      <c r="H289" s="93" t="s">
        <v>343</v>
      </c>
      <c r="I289" s="94"/>
      <c r="J289" s="92">
        <f t="shared" ref="J289:O289" si="88">SUM(J285:J288)</f>
        <v>57500</v>
      </c>
      <c r="K289" s="92">
        <f t="shared" si="88"/>
        <v>0</v>
      </c>
      <c r="L289" s="92">
        <f t="shared" si="88"/>
        <v>0</v>
      </c>
      <c r="M289" s="92">
        <f t="shared" si="88"/>
        <v>0</v>
      </c>
      <c r="N289" s="92">
        <f t="shared" si="88"/>
        <v>0</v>
      </c>
      <c r="O289" s="92">
        <f t="shared" si="88"/>
        <v>57500</v>
      </c>
    </row>
    <row r="290" spans="1:15" ht="16.5" thickBot="1" x14ac:dyDescent="0.3">
      <c r="J290" s="99"/>
      <c r="K290" s="99"/>
      <c r="L290" s="99"/>
      <c r="M290" s="99"/>
      <c r="N290" s="99"/>
      <c r="O290" s="99"/>
    </row>
    <row r="291" spans="1:15" ht="16.5" thickBot="1" x14ac:dyDescent="0.3">
      <c r="A291" s="131"/>
      <c r="B291" s="132"/>
      <c r="C291" s="132"/>
      <c r="D291" s="132"/>
      <c r="E291" s="132"/>
      <c r="G291" s="133" t="s">
        <v>344</v>
      </c>
      <c r="H291" s="134"/>
      <c r="I291" s="135"/>
      <c r="J291" s="136">
        <f t="shared" ref="J291:O291" si="89">(J83+J89)-(J289+J282)</f>
        <v>88981.658750000177</v>
      </c>
      <c r="K291" s="136">
        <f t="shared" si="89"/>
        <v>7104.7975362013094</v>
      </c>
      <c r="L291" s="136">
        <f t="shared" si="89"/>
        <v>-64350.75999999998</v>
      </c>
      <c r="M291" s="136">
        <f t="shared" si="89"/>
        <v>-31736.007500000007</v>
      </c>
      <c r="N291" s="136">
        <f t="shared" si="89"/>
        <v>0</v>
      </c>
      <c r="O291" s="136">
        <f t="shared" si="89"/>
        <v>-0.31121379882097244</v>
      </c>
    </row>
    <row r="292" spans="1:15" x14ac:dyDescent="0.25">
      <c r="J292" s="99"/>
      <c r="K292" s="99"/>
      <c r="L292" s="99"/>
      <c r="M292" s="99"/>
      <c r="N292" s="99"/>
      <c r="O292" s="99"/>
    </row>
    <row r="293" spans="1:15" x14ac:dyDescent="0.25">
      <c r="I293" s="17" t="str">
        <f>I1</f>
        <v>CIVICA Nevada</v>
      </c>
      <c r="J293" s="137" t="str">
        <f t="shared" ref="J293:O293" si="90">J20</f>
        <v>Operating</v>
      </c>
      <c r="K293" s="137" t="str">
        <f t="shared" si="90"/>
        <v>SPED</v>
      </c>
      <c r="L293" s="137" t="str">
        <f t="shared" si="90"/>
        <v>NSLP</v>
      </c>
      <c r="M293" s="137" t="str">
        <f t="shared" si="90"/>
        <v>Title(s)</v>
      </c>
      <c r="N293" s="137" t="str">
        <f t="shared" si="90"/>
        <v>Other</v>
      </c>
      <c r="O293" s="137" t="str">
        <f t="shared" si="90"/>
        <v>Total</v>
      </c>
    </row>
    <row r="294" spans="1:15" x14ac:dyDescent="0.25">
      <c r="J294" s="99"/>
      <c r="K294" s="99"/>
      <c r="L294" s="99"/>
      <c r="M294" s="99"/>
      <c r="N294" s="99"/>
      <c r="O294" s="99"/>
    </row>
    <row r="295" spans="1:15" ht="16.5" thickBot="1" x14ac:dyDescent="0.3">
      <c r="I295" s="138"/>
      <c r="J295" s="137" t="s">
        <v>44</v>
      </c>
      <c r="K295" s="137" t="s">
        <v>44</v>
      </c>
      <c r="L295" s="137" t="s">
        <v>44</v>
      </c>
      <c r="M295" s="137" t="s">
        <v>44</v>
      </c>
      <c r="N295" s="137" t="s">
        <v>44</v>
      </c>
      <c r="O295" s="137" t="s">
        <v>44</v>
      </c>
    </row>
    <row r="296" spans="1:15" ht="16.5" thickBot="1" x14ac:dyDescent="0.3">
      <c r="G296" s="139" t="s">
        <v>345</v>
      </c>
      <c r="H296" s="140"/>
      <c r="I296" s="141"/>
      <c r="J296" s="142"/>
      <c r="K296" s="142"/>
      <c r="L296" s="142"/>
      <c r="M296" s="142"/>
      <c r="N296" s="142"/>
      <c r="O296" s="142"/>
    </row>
    <row r="297" spans="1:15" x14ac:dyDescent="0.25">
      <c r="I297" s="2" t="s">
        <v>98</v>
      </c>
      <c r="J297" s="143">
        <f>J73</f>
        <v>0</v>
      </c>
      <c r="K297" s="143">
        <f>K73</f>
        <v>122895</v>
      </c>
      <c r="L297" s="143">
        <f>L73</f>
        <v>0</v>
      </c>
      <c r="M297" s="143">
        <f>M73</f>
        <v>0</v>
      </c>
      <c r="N297" s="143">
        <f>N73</f>
        <v>0</v>
      </c>
      <c r="O297" s="143">
        <f>SUM(J297:N297)</f>
        <v>122895</v>
      </c>
    </row>
    <row r="298" spans="1:15" x14ac:dyDescent="0.25">
      <c r="I298" s="2" t="s">
        <v>99</v>
      </c>
      <c r="J298" s="143">
        <f>J74</f>
        <v>0</v>
      </c>
      <c r="K298" s="143">
        <f>K74</f>
        <v>43598.656098701278</v>
      </c>
      <c r="L298" s="143">
        <f t="shared" ref="L298:N299" si="91">L74</f>
        <v>0</v>
      </c>
      <c r="M298" s="143">
        <f t="shared" si="91"/>
        <v>0</v>
      </c>
      <c r="N298" s="143">
        <f t="shared" si="91"/>
        <v>0</v>
      </c>
      <c r="O298" s="143">
        <f>SUM(J298:N298)</f>
        <v>43598.656098701278</v>
      </c>
    </row>
    <row r="299" spans="1:15" ht="16.5" thickBot="1" x14ac:dyDescent="0.3">
      <c r="I299" s="2" t="s">
        <v>100</v>
      </c>
      <c r="J299" s="143">
        <f>J75</f>
        <v>0</v>
      </c>
      <c r="K299" s="143">
        <f>K75</f>
        <v>11541.984</v>
      </c>
      <c r="L299" s="143">
        <f t="shared" si="91"/>
        <v>0</v>
      </c>
      <c r="M299" s="143">
        <f t="shared" si="91"/>
        <v>0</v>
      </c>
      <c r="N299" s="143">
        <f t="shared" si="91"/>
        <v>0</v>
      </c>
      <c r="O299" s="143">
        <f>SUM(J299:N299)</f>
        <v>11541.984</v>
      </c>
    </row>
    <row r="300" spans="1:15" ht="16.5" thickBot="1" x14ac:dyDescent="0.3">
      <c r="G300" s="139" t="s">
        <v>346</v>
      </c>
      <c r="H300" s="140"/>
      <c r="I300" s="141"/>
      <c r="J300" s="142"/>
      <c r="K300" s="142"/>
      <c r="L300" s="142"/>
      <c r="M300" s="142"/>
      <c r="N300" s="142"/>
      <c r="O300" s="142"/>
    </row>
    <row r="301" spans="1:15" x14ac:dyDescent="0.25">
      <c r="I301" s="2" t="s">
        <v>347</v>
      </c>
      <c r="J301" s="143">
        <f>J98+J99+J111+J112+J114+J116+J169+J176</f>
        <v>0</v>
      </c>
      <c r="K301" s="143">
        <f>K134+K180</f>
        <v>77310.674999999988</v>
      </c>
      <c r="L301" s="143">
        <f>L98+L99+L111+L112+L114+L116+L169+L176</f>
        <v>0</v>
      </c>
      <c r="M301" s="143">
        <f>M98+M99+M111+M112+M114+M116+M169+M176</f>
        <v>0</v>
      </c>
      <c r="N301" s="143">
        <f>N98+N99+N111+N112+N114+N116+N169+N176</f>
        <v>0</v>
      </c>
      <c r="O301" s="143">
        <f t="shared" ref="O301:O306" si="92">SUM(J301:N301)</f>
        <v>77310.674999999988</v>
      </c>
    </row>
    <row r="302" spans="1:15" x14ac:dyDescent="0.25">
      <c r="I302" s="2" t="s">
        <v>348</v>
      </c>
      <c r="J302" s="143">
        <f>J139+J146+J187+J195</f>
        <v>0</v>
      </c>
      <c r="K302" s="143">
        <f>K153+K201</f>
        <v>40610.167562499999</v>
      </c>
      <c r="L302" s="143">
        <f>L139+L146+L187+L195</f>
        <v>0</v>
      </c>
      <c r="M302" s="143">
        <f>M139+M146+M187+M195</f>
        <v>0</v>
      </c>
      <c r="N302" s="143">
        <f>N139+N146+N187+N195</f>
        <v>0</v>
      </c>
      <c r="O302" s="143">
        <f t="shared" si="92"/>
        <v>40610.167562499999</v>
      </c>
    </row>
    <row r="303" spans="1:15" x14ac:dyDescent="0.25">
      <c r="I303" s="2" t="s">
        <v>349</v>
      </c>
      <c r="J303" s="143">
        <f>J211</f>
        <v>0</v>
      </c>
      <c r="K303" s="143">
        <f>K212+K221</f>
        <v>2100</v>
      </c>
      <c r="L303" s="143">
        <f>L211</f>
        <v>0</v>
      </c>
      <c r="M303" s="143">
        <f>M211</f>
        <v>0</v>
      </c>
      <c r="N303" s="143">
        <f>N211</f>
        <v>0</v>
      </c>
      <c r="O303" s="143">
        <f t="shared" si="92"/>
        <v>2100</v>
      </c>
    </row>
    <row r="304" spans="1:15" x14ac:dyDescent="0.25">
      <c r="I304" s="2" t="s">
        <v>350</v>
      </c>
      <c r="J304" s="143">
        <f>J226</f>
        <v>0</v>
      </c>
      <c r="K304" s="143">
        <f>K233+K245</f>
        <v>50910</v>
      </c>
      <c r="L304" s="143">
        <f>L226</f>
        <v>0</v>
      </c>
      <c r="M304" s="143">
        <f>M226</f>
        <v>0</v>
      </c>
      <c r="N304" s="143">
        <f>N226</f>
        <v>0</v>
      </c>
      <c r="O304" s="143">
        <f t="shared" si="92"/>
        <v>50910</v>
      </c>
    </row>
    <row r="305" spans="7:15" x14ac:dyDescent="0.25">
      <c r="I305" s="2" t="s">
        <v>351</v>
      </c>
      <c r="J305" s="143">
        <f>0</f>
        <v>0</v>
      </c>
      <c r="K305" s="143">
        <f>0</f>
        <v>0</v>
      </c>
      <c r="L305" s="143">
        <f>0</f>
        <v>0</v>
      </c>
      <c r="M305" s="143">
        <f>0</f>
        <v>0</v>
      </c>
      <c r="N305" s="143">
        <f>0</f>
        <v>0</v>
      </c>
      <c r="O305" s="143">
        <f t="shared" si="92"/>
        <v>0</v>
      </c>
    </row>
    <row r="306" spans="7:15" ht="16.5" thickBot="1" x14ac:dyDescent="0.3">
      <c r="I306" s="2" t="s">
        <v>352</v>
      </c>
      <c r="J306" s="143">
        <v>0</v>
      </c>
      <c r="K306" s="143">
        <v>0</v>
      </c>
      <c r="L306" s="143">
        <v>0</v>
      </c>
      <c r="M306" s="143">
        <v>0</v>
      </c>
      <c r="N306" s="143">
        <v>0</v>
      </c>
      <c r="O306" s="143">
        <f t="shared" si="92"/>
        <v>0</v>
      </c>
    </row>
    <row r="307" spans="7:15" ht="16.5" thickBot="1" x14ac:dyDescent="0.3">
      <c r="G307" s="139" t="s">
        <v>353</v>
      </c>
      <c r="H307" s="140"/>
      <c r="I307" s="141"/>
      <c r="J307" s="142">
        <f t="shared" ref="J307:O307" si="93">SUM(J297:J299)-SUM(J301:J306)</f>
        <v>0</v>
      </c>
      <c r="K307" s="142">
        <f t="shared" si="93"/>
        <v>7104.7975362013094</v>
      </c>
      <c r="L307" s="142">
        <f t="shared" si="93"/>
        <v>0</v>
      </c>
      <c r="M307" s="142">
        <f t="shared" si="93"/>
        <v>0</v>
      </c>
      <c r="N307" s="142">
        <f t="shared" si="93"/>
        <v>0</v>
      </c>
      <c r="O307" s="142">
        <f t="shared" si="93"/>
        <v>7104.7975362013094</v>
      </c>
    </row>
    <row r="308" spans="7:15" x14ac:dyDescent="0.25">
      <c r="I308" s="1"/>
    </row>
    <row r="309" spans="7:15" ht="16.5" thickBot="1" x14ac:dyDescent="0.3">
      <c r="I309" s="138"/>
      <c r="J309" s="137" t="s">
        <v>40</v>
      </c>
      <c r="K309" s="137" t="s">
        <v>40</v>
      </c>
      <c r="L309" s="137" t="s">
        <v>40</v>
      </c>
      <c r="M309" s="137" t="s">
        <v>40</v>
      </c>
      <c r="N309" s="137" t="s">
        <v>40</v>
      </c>
      <c r="O309" s="137" t="s">
        <v>40</v>
      </c>
    </row>
    <row r="310" spans="7:15" ht="16.5" thickBot="1" x14ac:dyDescent="0.3">
      <c r="G310" s="133" t="s">
        <v>354</v>
      </c>
      <c r="H310" s="134"/>
      <c r="I310" s="135"/>
      <c r="J310" s="136"/>
      <c r="K310" s="136"/>
      <c r="L310" s="136"/>
      <c r="M310" s="136"/>
      <c r="N310" s="136"/>
      <c r="O310" s="136"/>
    </row>
    <row r="311" spans="7:15" x14ac:dyDescent="0.25">
      <c r="I311" s="2" t="s">
        <v>103</v>
      </c>
      <c r="J311" s="143">
        <f t="shared" ref="J311:N312" si="94">J81</f>
        <v>0</v>
      </c>
      <c r="K311" s="143">
        <f t="shared" si="94"/>
        <v>0</v>
      </c>
      <c r="L311" s="143">
        <f t="shared" si="94"/>
        <v>20754.719999999998</v>
      </c>
      <c r="M311" s="143">
        <f t="shared" si="94"/>
        <v>0</v>
      </c>
      <c r="N311" s="143">
        <f t="shared" si="94"/>
        <v>0</v>
      </c>
      <c r="O311" s="143">
        <f>SUM(J311:N311)</f>
        <v>20754.719999999998</v>
      </c>
    </row>
    <row r="312" spans="7:15" ht="16.5" thickBot="1" x14ac:dyDescent="0.3">
      <c r="I312" s="2" t="s">
        <v>104</v>
      </c>
      <c r="J312" s="143">
        <f t="shared" si="94"/>
        <v>0</v>
      </c>
      <c r="K312" s="143">
        <f t="shared" si="94"/>
        <v>0</v>
      </c>
      <c r="L312" s="143">
        <f t="shared" si="94"/>
        <v>49548.24</v>
      </c>
      <c r="M312" s="143">
        <f t="shared" si="94"/>
        <v>0</v>
      </c>
      <c r="N312" s="143">
        <f t="shared" si="94"/>
        <v>0</v>
      </c>
      <c r="O312" s="143">
        <f>SUM(J312:N312)</f>
        <v>49548.24</v>
      </c>
    </row>
    <row r="313" spans="7:15" ht="16.5" thickBot="1" x14ac:dyDescent="0.3">
      <c r="G313" s="133" t="s">
        <v>355</v>
      </c>
      <c r="H313" s="134"/>
      <c r="I313" s="135"/>
      <c r="J313" s="136"/>
      <c r="K313" s="136"/>
      <c r="L313" s="136"/>
      <c r="M313" s="136"/>
      <c r="N313" s="136"/>
      <c r="O313" s="136"/>
    </row>
    <row r="314" spans="7:15" x14ac:dyDescent="0.25">
      <c r="I314" s="2" t="s">
        <v>347</v>
      </c>
      <c r="J314" s="143">
        <f>J132</f>
        <v>0</v>
      </c>
      <c r="K314" s="143">
        <f>K132</f>
        <v>0</v>
      </c>
      <c r="L314" s="143">
        <f>L134+L180</f>
        <v>48719.999999999993</v>
      </c>
      <c r="M314" s="143">
        <f>M132</f>
        <v>0</v>
      </c>
      <c r="N314" s="143">
        <f>N132</f>
        <v>0</v>
      </c>
      <c r="O314" s="143">
        <f t="shared" ref="O314:O319" si="95">SUM(J314:N314)</f>
        <v>48719.999999999993</v>
      </c>
    </row>
    <row r="315" spans="7:15" x14ac:dyDescent="0.25">
      <c r="I315" s="2" t="s">
        <v>348</v>
      </c>
      <c r="J315" s="143">
        <f>J141+J148</f>
        <v>0</v>
      </c>
      <c r="K315" s="143">
        <f>K141+K148</f>
        <v>0</v>
      </c>
      <c r="L315" s="143">
        <f>L201+L153</f>
        <v>25350.399999999998</v>
      </c>
      <c r="M315" s="143">
        <f>M141+M148</f>
        <v>0</v>
      </c>
      <c r="N315" s="143">
        <f>N141+N148</f>
        <v>0</v>
      </c>
      <c r="O315" s="143">
        <f t="shared" si="95"/>
        <v>25350.399999999998</v>
      </c>
    </row>
    <row r="316" spans="7:15" x14ac:dyDescent="0.25">
      <c r="I316" s="2" t="s">
        <v>349</v>
      </c>
      <c r="J316" s="143">
        <f>0</f>
        <v>0</v>
      </c>
      <c r="K316" s="143">
        <f>0</f>
        <v>0</v>
      </c>
      <c r="L316" s="143">
        <f>0</f>
        <v>0</v>
      </c>
      <c r="M316" s="143">
        <f>0</f>
        <v>0</v>
      </c>
      <c r="N316" s="143">
        <f>0</f>
        <v>0</v>
      </c>
      <c r="O316" s="143">
        <f t="shared" si="95"/>
        <v>0</v>
      </c>
    </row>
    <row r="317" spans="7:15" x14ac:dyDescent="0.25">
      <c r="I317" s="2" t="s">
        <v>350</v>
      </c>
      <c r="J317" s="143">
        <f>0</f>
        <v>0</v>
      </c>
      <c r="K317" s="143">
        <f>0</f>
        <v>0</v>
      </c>
      <c r="L317" s="143">
        <f>0</f>
        <v>0</v>
      </c>
      <c r="M317" s="143">
        <f>0</f>
        <v>0</v>
      </c>
      <c r="N317" s="143">
        <f>0</f>
        <v>0</v>
      </c>
      <c r="O317" s="143">
        <f t="shared" si="95"/>
        <v>0</v>
      </c>
    </row>
    <row r="318" spans="7:15" x14ac:dyDescent="0.25">
      <c r="I318" s="2" t="s">
        <v>351</v>
      </c>
      <c r="J318" s="143">
        <f>J255+J256</f>
        <v>0</v>
      </c>
      <c r="K318" s="143">
        <f>K255+K256</f>
        <v>0</v>
      </c>
      <c r="L318" s="143">
        <f>L255+L256</f>
        <v>60583.319999999992</v>
      </c>
      <c r="M318" s="143">
        <f>M255+M256</f>
        <v>0</v>
      </c>
      <c r="N318" s="143">
        <f>N255+N256</f>
        <v>0</v>
      </c>
      <c r="O318" s="143">
        <f t="shared" si="95"/>
        <v>60583.319999999992</v>
      </c>
    </row>
    <row r="319" spans="7:15" ht="16.5" thickBot="1" x14ac:dyDescent="0.3">
      <c r="I319" s="2" t="s">
        <v>352</v>
      </c>
      <c r="J319" s="143">
        <v>0</v>
      </c>
      <c r="K319" s="143">
        <v>0</v>
      </c>
      <c r="L319" s="143">
        <v>0</v>
      </c>
      <c r="M319" s="143">
        <v>0</v>
      </c>
      <c r="N319" s="143">
        <v>0</v>
      </c>
      <c r="O319" s="143">
        <f t="shared" si="95"/>
        <v>0</v>
      </c>
    </row>
    <row r="320" spans="7:15" ht="16.5" thickBot="1" x14ac:dyDescent="0.3">
      <c r="G320" s="133" t="s">
        <v>356</v>
      </c>
      <c r="H320" s="134"/>
      <c r="I320" s="135"/>
      <c r="J320" s="136">
        <f t="shared" ref="J320:O320" si="96">SUM(J311:J312)-SUM(J314:J319)</f>
        <v>0</v>
      </c>
      <c r="K320" s="136">
        <f t="shared" si="96"/>
        <v>0</v>
      </c>
      <c r="L320" s="136">
        <f t="shared" si="96"/>
        <v>-64350.75999999998</v>
      </c>
      <c r="M320" s="136">
        <f t="shared" si="96"/>
        <v>0</v>
      </c>
      <c r="N320" s="136">
        <f t="shared" si="96"/>
        <v>0</v>
      </c>
      <c r="O320" s="136">
        <f t="shared" si="96"/>
        <v>-64350.75999999998</v>
      </c>
    </row>
  </sheetData>
  <mergeCells count="1">
    <mergeCell ref="G282:I282"/>
  </mergeCells>
  <pageMargins left="0.7" right="0.7" top="0.75" bottom="0.75" header="0.3" footer="0.3"/>
  <pageSetup scale="34" fitToHeight="0" orientation="portrait" r:id="rId1"/>
  <rowBreaks count="2" manualBreakCount="2">
    <brk id="90" min="6" max="19" man="1"/>
    <brk id="201" min="6" max="1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4764-4B89-4518-9277-811CC382445E}">
  <sheetPr>
    <pageSetUpPr fitToPage="1"/>
  </sheetPr>
  <dimension ref="A1:P320"/>
  <sheetViews>
    <sheetView topLeftCell="F1" zoomScale="75" zoomScaleNormal="75" workbookViewId="0">
      <pane xSplit="4" ySplit="1" topLeftCell="J79" activePane="bottomRight" state="frozen"/>
      <selection activeCell="J80" sqref="J80"/>
      <selection pane="topRight" activeCell="J80" sqref="J80"/>
      <selection pane="bottomLeft" activeCell="J80" sqref="J80"/>
      <selection pane="bottomRight" activeCell="J80" sqref="J80"/>
    </sheetView>
  </sheetViews>
  <sheetFormatPr defaultColWidth="8.7109375" defaultRowHeight="15.75" x14ac:dyDescent="0.25"/>
  <cols>
    <col min="1" max="1" width="46.7109375" style="1" customWidth="1"/>
    <col min="2" max="2" width="24.5703125" style="1" customWidth="1"/>
    <col min="3" max="3" width="31.28515625" style="1" customWidth="1"/>
    <col min="4" max="4" width="41.7109375" style="1" customWidth="1"/>
    <col min="5" max="5" width="57.28515625" style="1" bestFit="1" customWidth="1"/>
    <col min="6" max="8" width="1.7109375" style="1" customWidth="1"/>
    <col min="9" max="9" width="53.85546875" style="11" bestFit="1" customWidth="1"/>
    <col min="10" max="15" width="18.5703125" style="1" customWidth="1"/>
    <col min="16" max="16" width="6.28515625" style="1" bestFit="1" customWidth="1"/>
    <col min="17" max="16384" width="8.7109375" style="1"/>
  </cols>
  <sheetData>
    <row r="1" spans="1:16" x14ac:dyDescent="0.25">
      <c r="B1" s="2" t="s">
        <v>0</v>
      </c>
      <c r="C1" s="2"/>
      <c r="G1" s="3"/>
      <c r="I1" s="4" t="s">
        <v>400</v>
      </c>
      <c r="J1" s="4" t="s">
        <v>10</v>
      </c>
      <c r="K1" s="144" t="s">
        <v>44</v>
      </c>
      <c r="L1" s="144" t="s">
        <v>40</v>
      </c>
      <c r="M1" s="144" t="s">
        <v>45</v>
      </c>
      <c r="N1" s="144" t="s">
        <v>46</v>
      </c>
      <c r="O1" s="144" t="s">
        <v>381</v>
      </c>
    </row>
    <row r="2" spans="1:16" x14ac:dyDescent="0.25">
      <c r="B2" s="2" t="s">
        <v>1</v>
      </c>
      <c r="C2" s="2"/>
      <c r="I2" s="5" t="s">
        <v>2</v>
      </c>
      <c r="J2" s="6">
        <f>ROUND(9486*1.015,0)</f>
        <v>9628</v>
      </c>
      <c r="K2" s="6"/>
      <c r="L2" s="6"/>
      <c r="M2" s="6"/>
      <c r="N2" s="6"/>
      <c r="O2" s="6">
        <f>SUM(J2:N2)</f>
        <v>9628</v>
      </c>
    </row>
    <row r="3" spans="1:16" x14ac:dyDescent="0.25">
      <c r="I3" s="7" t="s">
        <v>3</v>
      </c>
      <c r="J3" s="8">
        <f>J4+J5+J6+J7+J8+J9+J10+J11+J12+J13+J14+J15+J16</f>
        <v>130</v>
      </c>
      <c r="K3" s="8"/>
      <c r="L3" s="8"/>
      <c r="M3" s="8"/>
      <c r="N3" s="8"/>
      <c r="O3" s="8">
        <f t="shared" ref="O3" si="0">O4+O5+O6+O7+O8+O9+O10+O11+O12+O13+O14+O15+O16</f>
        <v>130</v>
      </c>
    </row>
    <row r="4" spans="1:16" x14ac:dyDescent="0.25">
      <c r="A4" s="4" t="s">
        <v>4</v>
      </c>
      <c r="C4" s="4" t="s">
        <v>5</v>
      </c>
      <c r="D4" s="4" t="s">
        <v>6</v>
      </c>
      <c r="E4" s="4" t="s">
        <v>7</v>
      </c>
      <c r="I4" s="9" t="s">
        <v>8</v>
      </c>
      <c r="J4" s="10">
        <v>0</v>
      </c>
      <c r="K4" s="10"/>
      <c r="L4" s="10"/>
      <c r="M4" s="10"/>
      <c r="N4" s="10"/>
      <c r="O4" s="10">
        <f>SUM(J4:N4)</f>
        <v>0</v>
      </c>
    </row>
    <row r="5" spans="1:16" x14ac:dyDescent="0.25">
      <c r="A5" s="11" t="s">
        <v>9</v>
      </c>
      <c r="B5" s="11" t="s">
        <v>10</v>
      </c>
      <c r="C5" s="12" t="e">
        <f>SUMIF('27-28'!$D$68:$D$88,A5,'27-28'!#REF!)</f>
        <v>#REF!</v>
      </c>
      <c r="D5" s="12" t="e">
        <f>SUMIF('27-28'!$D$92:$D$289,A5,'27-28'!#REF!)</f>
        <v>#REF!</v>
      </c>
      <c r="E5" s="13" t="e">
        <f t="shared" ref="E5:E12" si="1">C5-D5</f>
        <v>#REF!</v>
      </c>
      <c r="I5" s="7" t="s">
        <v>11</v>
      </c>
      <c r="J5" s="10">
        <v>0</v>
      </c>
      <c r="K5" s="10"/>
      <c r="L5" s="10"/>
      <c r="M5" s="10"/>
      <c r="N5" s="10"/>
      <c r="O5" s="10">
        <f t="shared" ref="O5:O16" si="2">SUM(J5:N5)</f>
        <v>0</v>
      </c>
    </row>
    <row r="6" spans="1:16" x14ac:dyDescent="0.25">
      <c r="A6" s="11" t="s">
        <v>12</v>
      </c>
      <c r="B6" s="11" t="s">
        <v>13</v>
      </c>
      <c r="C6" s="12" t="e">
        <f>SUMIF('27-28'!$D$68:$D$88,A6,'27-28'!#REF!)</f>
        <v>#REF!</v>
      </c>
      <c r="D6" s="12" t="e">
        <f>SUMIF('27-28'!$D$92:$D$289,A6,'27-28'!#REF!)</f>
        <v>#REF!</v>
      </c>
      <c r="E6" s="13" t="e">
        <f t="shared" si="1"/>
        <v>#REF!</v>
      </c>
      <c r="I6" s="7" t="s">
        <v>14</v>
      </c>
      <c r="J6" s="10">
        <v>0</v>
      </c>
      <c r="K6" s="10"/>
      <c r="L6" s="10"/>
      <c r="M6" s="10"/>
      <c r="N6" s="10"/>
      <c r="O6" s="10">
        <f t="shared" si="2"/>
        <v>0</v>
      </c>
    </row>
    <row r="7" spans="1:16" x14ac:dyDescent="0.25">
      <c r="A7" s="11" t="s">
        <v>15</v>
      </c>
      <c r="B7" s="11" t="s">
        <v>16</v>
      </c>
      <c r="C7" s="12" t="e">
        <f>SUMIF('27-28'!$D$68:$D$88,A7,'27-28'!#REF!)</f>
        <v>#REF!</v>
      </c>
      <c r="D7" s="12" t="e">
        <f>SUMIF('27-28'!$D$92:$D$289,A7,'27-28'!#REF!)</f>
        <v>#REF!</v>
      </c>
      <c r="E7" s="13" t="e">
        <f t="shared" si="1"/>
        <v>#REF!</v>
      </c>
      <c r="I7" s="14" t="s">
        <v>17</v>
      </c>
      <c r="J7" s="10">
        <v>0</v>
      </c>
      <c r="K7" s="10"/>
      <c r="L7" s="10"/>
      <c r="M7" s="10"/>
      <c r="N7" s="10"/>
      <c r="O7" s="10">
        <f t="shared" si="2"/>
        <v>0</v>
      </c>
    </row>
    <row r="8" spans="1:16" x14ac:dyDescent="0.25">
      <c r="A8" s="11" t="s">
        <v>18</v>
      </c>
      <c r="B8" s="11" t="s">
        <v>19</v>
      </c>
      <c r="C8" s="12" t="e">
        <f>SUMIF('27-28'!$D$68:$D$88,A8,'27-28'!#REF!)</f>
        <v>#REF!</v>
      </c>
      <c r="D8" s="12" t="e">
        <f>SUMIF('27-28'!$D$92:$D$289,A8,'27-28'!#REF!)</f>
        <v>#REF!</v>
      </c>
      <c r="E8" s="13" t="e">
        <f t="shared" si="1"/>
        <v>#REF!</v>
      </c>
      <c r="I8" s="14" t="s">
        <v>20</v>
      </c>
      <c r="J8" s="10">
        <v>0</v>
      </c>
      <c r="K8" s="10"/>
      <c r="L8" s="10"/>
      <c r="M8" s="10"/>
      <c r="N8" s="10"/>
      <c r="O8" s="10">
        <f t="shared" si="2"/>
        <v>0</v>
      </c>
    </row>
    <row r="9" spans="1:16" x14ac:dyDescent="0.25">
      <c r="A9" s="11" t="s">
        <v>21</v>
      </c>
      <c r="B9" s="11" t="s">
        <v>22</v>
      </c>
      <c r="C9" s="12" t="e">
        <f>SUMIF('27-28'!$D$68:$D$88,A9,'27-28'!#REF!)</f>
        <v>#REF!</v>
      </c>
      <c r="D9" s="12" t="e">
        <f>SUMIF('27-28'!$D$92:$D$289,A9,'27-28'!#REF!)</f>
        <v>#REF!</v>
      </c>
      <c r="E9" s="13" t="e">
        <f t="shared" si="1"/>
        <v>#REF!</v>
      </c>
      <c r="I9" s="14" t="s">
        <v>23</v>
      </c>
      <c r="J9" s="10">
        <v>0</v>
      </c>
      <c r="K9" s="10"/>
      <c r="L9" s="10"/>
      <c r="M9" s="10"/>
      <c r="N9" s="10"/>
      <c r="O9" s="10">
        <f t="shared" si="2"/>
        <v>0</v>
      </c>
    </row>
    <row r="10" spans="1:16" x14ac:dyDescent="0.25">
      <c r="A10" s="11" t="s">
        <v>24</v>
      </c>
      <c r="B10" s="11" t="s">
        <v>25</v>
      </c>
      <c r="C10" s="12" t="e">
        <f>SUMIF('27-28'!$D$68:$D$88,A10,'27-28'!#REF!)</f>
        <v>#REF!</v>
      </c>
      <c r="D10" s="12" t="e">
        <f>SUMIF('27-28'!$D$92:$D$289,A10,'27-28'!#REF!)</f>
        <v>#REF!</v>
      </c>
      <c r="E10" s="13" t="e">
        <f t="shared" si="1"/>
        <v>#REF!</v>
      </c>
      <c r="I10" s="14" t="s">
        <v>26</v>
      </c>
      <c r="J10" s="15">
        <v>20</v>
      </c>
      <c r="K10" s="15"/>
      <c r="L10" s="15"/>
      <c r="M10" s="15"/>
      <c r="N10" s="15"/>
      <c r="O10" s="10">
        <f t="shared" si="2"/>
        <v>20</v>
      </c>
      <c r="P10" s="157">
        <v>1</v>
      </c>
    </row>
    <row r="11" spans="1:16" x14ac:dyDescent="0.25">
      <c r="A11" s="11" t="s">
        <v>27</v>
      </c>
      <c r="B11" s="11" t="s">
        <v>28</v>
      </c>
      <c r="C11" s="12" t="e">
        <f>SUMIF('27-28'!$D$68:$D$88,A11,'27-28'!#REF!)</f>
        <v>#REF!</v>
      </c>
      <c r="D11" s="12" t="e">
        <f>SUMIF('27-28'!$D$92:$D$289,A11,'27-28'!#REF!)</f>
        <v>#REF!</v>
      </c>
      <c r="E11" s="13" t="e">
        <f t="shared" si="1"/>
        <v>#REF!</v>
      </c>
      <c r="I11" s="14" t="s">
        <v>29</v>
      </c>
      <c r="J11" s="15">
        <v>30</v>
      </c>
      <c r="K11" s="15"/>
      <c r="L11" s="15"/>
      <c r="M11" s="15"/>
      <c r="N11" s="15"/>
      <c r="O11" s="10">
        <f t="shared" si="2"/>
        <v>30</v>
      </c>
      <c r="P11" s="157">
        <v>1</v>
      </c>
    </row>
    <row r="12" spans="1:16" x14ac:dyDescent="0.25">
      <c r="A12" s="11" t="s">
        <v>30</v>
      </c>
      <c r="B12" s="11" t="s">
        <v>31</v>
      </c>
      <c r="C12" s="12" t="e">
        <f>SUMIF('27-28'!$D$68:$D$88,A12,'27-28'!#REF!)</f>
        <v>#REF!</v>
      </c>
      <c r="D12" s="12" t="e">
        <f>SUMIF('27-28'!$D$92:$D$289,A12,'27-28'!#REF!)</f>
        <v>#REF!</v>
      </c>
      <c r="E12" s="13" t="e">
        <f t="shared" si="1"/>
        <v>#REF!</v>
      </c>
      <c r="I12" s="14" t="s">
        <v>32</v>
      </c>
      <c r="J12" s="15">
        <v>20</v>
      </c>
      <c r="K12" s="15"/>
      <c r="L12" s="15"/>
      <c r="M12" s="15"/>
      <c r="N12" s="15"/>
      <c r="O12" s="10">
        <f t="shared" si="2"/>
        <v>20</v>
      </c>
      <c r="P12" s="157">
        <v>1</v>
      </c>
    </row>
    <row r="13" spans="1:16" x14ac:dyDescent="0.25">
      <c r="A13" s="16" t="s">
        <v>33</v>
      </c>
      <c r="B13" s="11" t="s">
        <v>34</v>
      </c>
      <c r="C13" s="12" t="e">
        <f>SUMIF('27-28'!$D$68:$D$88,A13,'27-28'!#REF!)</f>
        <v>#REF!</v>
      </c>
      <c r="D13" s="12" t="e">
        <f>SUMIF('27-28'!$D$92:$D$289,A13,'27-28'!#REF!)</f>
        <v>#REF!</v>
      </c>
      <c r="E13" s="13" t="e">
        <f>C13-D13</f>
        <v>#REF!</v>
      </c>
      <c r="I13" s="14" t="s">
        <v>35</v>
      </c>
      <c r="J13" s="15">
        <v>15</v>
      </c>
      <c r="K13" s="15"/>
      <c r="L13" s="15"/>
      <c r="M13" s="15"/>
      <c r="N13" s="15"/>
      <c r="O13" s="10">
        <f t="shared" si="2"/>
        <v>15</v>
      </c>
      <c r="P13" s="157">
        <v>1</v>
      </c>
    </row>
    <row r="14" spans="1:16" x14ac:dyDescent="0.25">
      <c r="A14" s="11" t="s">
        <v>36</v>
      </c>
      <c r="B14" s="11" t="s">
        <v>37</v>
      </c>
      <c r="C14" s="12" t="e">
        <f>SUMIF('27-28'!$D$68:$D$88,A14,'27-28'!#REF!)</f>
        <v>#REF!</v>
      </c>
      <c r="D14" s="12" t="e">
        <f>SUMIF('27-28'!$D$92:$D$289,A14,'27-28'!#REF!)</f>
        <v>#REF!</v>
      </c>
      <c r="E14" s="13" t="e">
        <f>C14-D14</f>
        <v>#REF!</v>
      </c>
      <c r="I14" s="14" t="s">
        <v>38</v>
      </c>
      <c r="J14" s="15">
        <v>15</v>
      </c>
      <c r="K14" s="15"/>
      <c r="L14" s="15"/>
      <c r="M14" s="15"/>
      <c r="N14" s="15"/>
      <c r="O14" s="10">
        <f t="shared" si="2"/>
        <v>15</v>
      </c>
      <c r="P14" s="157">
        <v>1</v>
      </c>
    </row>
    <row r="15" spans="1:16" x14ac:dyDescent="0.25">
      <c r="A15" s="11" t="s">
        <v>39</v>
      </c>
      <c r="B15" s="11" t="s">
        <v>40</v>
      </c>
      <c r="C15" s="12" t="e">
        <f>SUMIF('27-28'!$D$68:$D$88,A15,'27-28'!#REF!)</f>
        <v>#REF!</v>
      </c>
      <c r="D15" s="12" t="e">
        <f>SUMIF('27-28'!$D$92:$D$289,A15,'27-28'!#REF!)</f>
        <v>#REF!</v>
      </c>
      <c r="E15" s="13" t="e">
        <f>C15-D15</f>
        <v>#REF!</v>
      </c>
      <c r="I15" s="14" t="s">
        <v>41</v>
      </c>
      <c r="J15" s="15">
        <v>15</v>
      </c>
      <c r="K15" s="15"/>
      <c r="L15" s="15"/>
      <c r="M15" s="15"/>
      <c r="N15" s="15"/>
      <c r="O15" s="10">
        <f t="shared" si="2"/>
        <v>15</v>
      </c>
      <c r="P15" s="157">
        <v>1</v>
      </c>
    </row>
    <row r="16" spans="1:16" x14ac:dyDescent="0.25">
      <c r="A16" s="17"/>
      <c r="C16" s="4"/>
      <c r="D16" s="4"/>
      <c r="E16" s="4"/>
      <c r="I16" s="14" t="s">
        <v>42</v>
      </c>
      <c r="J16" s="10">
        <v>15</v>
      </c>
      <c r="K16" s="10"/>
      <c r="L16" s="10"/>
      <c r="M16" s="10"/>
      <c r="N16" s="10"/>
      <c r="O16" s="10">
        <f t="shared" si="2"/>
        <v>15</v>
      </c>
      <c r="P16" s="157">
        <v>1</v>
      </c>
    </row>
    <row r="17" spans="1:16" x14ac:dyDescent="0.25">
      <c r="A17" s="4"/>
      <c r="C17" s="18" t="e">
        <f>SUM(C5:C16)</f>
        <v>#REF!</v>
      </c>
      <c r="D17" s="18" t="e">
        <f>SUM(D5:D16)</f>
        <v>#REF!</v>
      </c>
      <c r="E17" s="18" t="e">
        <f>SUM(E5:E16)</f>
        <v>#REF!</v>
      </c>
      <c r="I17" s="19" t="s">
        <v>3</v>
      </c>
      <c r="J17" s="8">
        <f>SUM(J4:J16)</f>
        <v>130</v>
      </c>
      <c r="K17" s="8">
        <f t="shared" ref="K17:O17" si="3">SUM(K4:K16)</f>
        <v>0</v>
      </c>
      <c r="L17" s="8">
        <f t="shared" si="3"/>
        <v>0</v>
      </c>
      <c r="M17" s="8">
        <f t="shared" si="3"/>
        <v>0</v>
      </c>
      <c r="N17" s="8">
        <f t="shared" si="3"/>
        <v>0</v>
      </c>
      <c r="O17" s="8">
        <f t="shared" si="3"/>
        <v>130</v>
      </c>
      <c r="P17" s="157">
        <f>SUM(P4:P16)</f>
        <v>7</v>
      </c>
    </row>
    <row r="18" spans="1:16" x14ac:dyDescent="0.25">
      <c r="A18" s="11"/>
      <c r="C18" s="20" t="e">
        <f>C17=('27-28'!#REF!+'27-28'!#REF!)</f>
        <v>#REF!</v>
      </c>
      <c r="D18" s="1" t="e">
        <f>D17=('27-28'!#REF!+'27-28'!#REF!)</f>
        <v>#REF!</v>
      </c>
      <c r="E18" s="20" t="e">
        <f>ROUND(E17,2)=ROUND('27-28'!#REF!,2)</f>
        <v>#REF!</v>
      </c>
    </row>
    <row r="20" spans="1:16" x14ac:dyDescent="0.25">
      <c r="I20" s="21" t="s">
        <v>43</v>
      </c>
      <c r="J20" s="22" t="s">
        <v>10</v>
      </c>
      <c r="K20" s="22" t="s">
        <v>44</v>
      </c>
      <c r="L20" s="22" t="s">
        <v>40</v>
      </c>
      <c r="M20" s="22" t="s">
        <v>45</v>
      </c>
      <c r="N20" s="22" t="s">
        <v>46</v>
      </c>
      <c r="O20" s="22" t="s">
        <v>47</v>
      </c>
    </row>
    <row r="21" spans="1:16" x14ac:dyDescent="0.25">
      <c r="I21" s="14" t="s">
        <v>49</v>
      </c>
      <c r="J21" s="10"/>
      <c r="K21" s="10">
        <f>ROUND(('26-27'!K21/'26-27'!J17)*'27-28'!J17,0)</f>
        <v>14</v>
      </c>
      <c r="L21" s="10"/>
      <c r="M21" s="10"/>
      <c r="N21" s="10"/>
      <c r="O21" s="10">
        <f>SUM(J21:N21)</f>
        <v>14</v>
      </c>
    </row>
    <row r="22" spans="1:16" x14ac:dyDescent="0.25">
      <c r="I22" s="14" t="s">
        <v>50</v>
      </c>
      <c r="J22" s="10">
        <f>ROUND(('26-27'!J22/'26-27'!J17)*'27-28'!J17,0)</f>
        <v>18</v>
      </c>
      <c r="K22" s="10"/>
      <c r="L22" s="10"/>
      <c r="M22" s="10"/>
      <c r="N22" s="10"/>
      <c r="O22" s="10">
        <f t="shared" ref="O22:O25" si="4">SUM(J22:N22)</f>
        <v>18</v>
      </c>
    </row>
    <row r="23" spans="1:16" x14ac:dyDescent="0.25">
      <c r="I23" s="14" t="s">
        <v>51</v>
      </c>
      <c r="J23" s="15">
        <v>0</v>
      </c>
      <c r="K23" s="15"/>
      <c r="L23" s="15"/>
      <c r="M23" s="15"/>
      <c r="N23" s="15"/>
      <c r="O23" s="10">
        <f t="shared" si="4"/>
        <v>0</v>
      </c>
    </row>
    <row r="24" spans="1:16" x14ac:dyDescent="0.25">
      <c r="I24" s="14" t="s">
        <v>52</v>
      </c>
      <c r="J24" s="15">
        <v>3</v>
      </c>
      <c r="K24" s="15"/>
      <c r="L24" s="15"/>
      <c r="M24" s="15"/>
      <c r="N24" s="15"/>
      <c r="O24" s="10">
        <f t="shared" si="4"/>
        <v>3</v>
      </c>
    </row>
    <row r="25" spans="1:16" x14ac:dyDescent="0.25">
      <c r="I25" s="14" t="s">
        <v>53</v>
      </c>
      <c r="J25" s="23"/>
      <c r="K25" s="23"/>
      <c r="L25" s="23">
        <v>1</v>
      </c>
      <c r="M25" s="23"/>
      <c r="N25" s="23"/>
      <c r="O25" s="24">
        <f t="shared" si="4"/>
        <v>1</v>
      </c>
    </row>
    <row r="26" spans="1:16" x14ac:dyDescent="0.25">
      <c r="I26" s="25" t="s">
        <v>54</v>
      </c>
      <c r="J26" s="22" t="str">
        <f>J20</f>
        <v>Operating</v>
      </c>
      <c r="K26" s="22" t="str">
        <f t="shared" ref="K26:O26" si="5">K20</f>
        <v>SPED</v>
      </c>
      <c r="L26" s="22" t="str">
        <f t="shared" si="5"/>
        <v>NSLP</v>
      </c>
      <c r="M26" s="22" t="str">
        <f t="shared" si="5"/>
        <v>Title(s)</v>
      </c>
      <c r="N26" s="22" t="str">
        <f t="shared" si="5"/>
        <v>Other</v>
      </c>
      <c r="O26" s="22" t="str">
        <f t="shared" si="5"/>
        <v>Total</v>
      </c>
    </row>
    <row r="27" spans="1:16" x14ac:dyDescent="0.25">
      <c r="I27" s="26" t="s">
        <v>55</v>
      </c>
      <c r="J27" s="27">
        <v>7</v>
      </c>
      <c r="K27" s="27"/>
      <c r="L27" s="27"/>
      <c r="M27" s="27"/>
      <c r="N27" s="27"/>
      <c r="O27" s="27">
        <f>SUM(J27:N27)</f>
        <v>7</v>
      </c>
    </row>
    <row r="28" spans="1:16" x14ac:dyDescent="0.25">
      <c r="I28" s="26" t="s">
        <v>56</v>
      </c>
      <c r="J28" s="28"/>
      <c r="K28" s="28">
        <v>1</v>
      </c>
      <c r="L28" s="28"/>
      <c r="M28" s="28"/>
      <c r="N28" s="28"/>
      <c r="O28" s="27">
        <f t="shared" ref="O28:O35" si="6">SUM(J28:N28)</f>
        <v>1</v>
      </c>
    </row>
    <row r="29" spans="1:16" x14ac:dyDescent="0.25">
      <c r="I29" s="26" t="s">
        <v>57</v>
      </c>
      <c r="J29" s="27">
        <v>0</v>
      </c>
      <c r="K29" s="27"/>
      <c r="L29" s="27"/>
      <c r="M29" s="27"/>
      <c r="N29" s="27"/>
      <c r="O29" s="27">
        <f t="shared" si="6"/>
        <v>0</v>
      </c>
    </row>
    <row r="30" spans="1:16" x14ac:dyDescent="0.25">
      <c r="I30" s="26" t="s">
        <v>58</v>
      </c>
      <c r="J30" s="27">
        <v>0</v>
      </c>
      <c r="K30" s="27"/>
      <c r="L30" s="27"/>
      <c r="M30" s="27"/>
      <c r="N30" s="27"/>
      <c r="O30" s="27">
        <f t="shared" si="6"/>
        <v>0</v>
      </c>
    </row>
    <row r="31" spans="1:16" x14ac:dyDescent="0.25">
      <c r="I31" s="26" t="s">
        <v>59</v>
      </c>
      <c r="J31" s="27">
        <v>0</v>
      </c>
      <c r="K31" s="27"/>
      <c r="L31" s="27"/>
      <c r="M31" s="27"/>
      <c r="N31" s="27"/>
      <c r="O31" s="27">
        <f t="shared" si="6"/>
        <v>0</v>
      </c>
    </row>
    <row r="32" spans="1:16" x14ac:dyDescent="0.25">
      <c r="I32" s="29" t="s">
        <v>60</v>
      </c>
      <c r="J32" s="27">
        <v>0</v>
      </c>
      <c r="K32" s="27"/>
      <c r="L32" s="27"/>
      <c r="M32" s="27"/>
      <c r="N32" s="27"/>
      <c r="O32" s="27">
        <f t="shared" si="6"/>
        <v>0</v>
      </c>
    </row>
    <row r="33" spans="9:15" x14ac:dyDescent="0.25">
      <c r="I33" s="29" t="s">
        <v>61</v>
      </c>
      <c r="J33" s="27">
        <v>0</v>
      </c>
      <c r="K33" s="27"/>
      <c r="L33" s="27"/>
      <c r="M33" s="27"/>
      <c r="N33" s="27"/>
      <c r="O33" s="27">
        <f t="shared" si="6"/>
        <v>0</v>
      </c>
    </row>
    <row r="34" spans="9:15" x14ac:dyDescent="0.25">
      <c r="I34" s="29" t="s">
        <v>62</v>
      </c>
      <c r="J34" s="27">
        <v>1</v>
      </c>
      <c r="K34" s="27"/>
      <c r="L34" s="27"/>
      <c r="M34" s="27"/>
      <c r="N34" s="27"/>
      <c r="O34" s="27">
        <f t="shared" si="6"/>
        <v>1</v>
      </c>
    </row>
    <row r="35" spans="9:15" x14ac:dyDescent="0.25">
      <c r="I35" s="30" t="s">
        <v>63</v>
      </c>
      <c r="J35" s="27">
        <v>0</v>
      </c>
      <c r="K35" s="27"/>
      <c r="L35" s="27"/>
      <c r="M35" s="27"/>
      <c r="N35" s="27"/>
      <c r="O35" s="27">
        <f t="shared" si="6"/>
        <v>0</v>
      </c>
    </row>
    <row r="36" spans="9:15" x14ac:dyDescent="0.25">
      <c r="I36" s="25" t="s">
        <v>64</v>
      </c>
      <c r="J36" s="31">
        <f t="shared" ref="J36:O36" si="7">SUM(J27:J35)</f>
        <v>8</v>
      </c>
      <c r="K36" s="31">
        <f t="shared" si="7"/>
        <v>1</v>
      </c>
      <c r="L36" s="31">
        <f t="shared" si="7"/>
        <v>0</v>
      </c>
      <c r="M36" s="31">
        <f t="shared" si="7"/>
        <v>0</v>
      </c>
      <c r="N36" s="31">
        <f t="shared" si="7"/>
        <v>0</v>
      </c>
      <c r="O36" s="31">
        <f t="shared" si="7"/>
        <v>9</v>
      </c>
    </row>
    <row r="37" spans="9:15" x14ac:dyDescent="0.25">
      <c r="I37" s="32"/>
      <c r="J37" s="10"/>
      <c r="K37" s="10"/>
      <c r="L37" s="10"/>
      <c r="M37" s="10"/>
      <c r="N37" s="10"/>
      <c r="O37" s="10"/>
    </row>
    <row r="38" spans="9:15" x14ac:dyDescent="0.25">
      <c r="I38" s="25" t="s">
        <v>65</v>
      </c>
      <c r="J38" s="22" t="str">
        <f>J20</f>
        <v>Operating</v>
      </c>
      <c r="K38" s="22" t="str">
        <f t="shared" ref="K38:N38" si="8">K20</f>
        <v>SPED</v>
      </c>
      <c r="L38" s="22" t="str">
        <f t="shared" si="8"/>
        <v>NSLP</v>
      </c>
      <c r="M38" s="22" t="str">
        <f t="shared" si="8"/>
        <v>Title(s)</v>
      </c>
      <c r="N38" s="22" t="str">
        <f t="shared" si="8"/>
        <v>Other</v>
      </c>
      <c r="O38" s="22" t="str">
        <f>O20</f>
        <v>Total</v>
      </c>
    </row>
    <row r="39" spans="9:15" x14ac:dyDescent="0.25">
      <c r="I39" s="29" t="s">
        <v>402</v>
      </c>
      <c r="J39" s="28">
        <v>0</v>
      </c>
      <c r="K39" s="28"/>
      <c r="L39" s="28"/>
      <c r="M39" s="28"/>
      <c r="N39" s="28"/>
      <c r="O39" s="27">
        <f>SUM(J39:N39)</f>
        <v>0</v>
      </c>
    </row>
    <row r="40" spans="9:15" x14ac:dyDescent="0.25">
      <c r="I40" s="29" t="s">
        <v>66</v>
      </c>
      <c r="J40" s="28">
        <v>1</v>
      </c>
      <c r="K40" s="28"/>
      <c r="L40" s="28"/>
      <c r="M40" s="28"/>
      <c r="N40" s="28"/>
      <c r="O40" s="27">
        <f t="shared" ref="O40:O60" si="9">SUM(J40:N40)</f>
        <v>1</v>
      </c>
    </row>
    <row r="41" spans="9:15" x14ac:dyDescent="0.25">
      <c r="I41" s="33" t="s">
        <v>67</v>
      </c>
      <c r="J41" s="28"/>
      <c r="K41" s="28"/>
      <c r="L41" s="28"/>
      <c r="M41" s="28">
        <v>0</v>
      </c>
      <c r="N41" s="28"/>
      <c r="O41" s="27">
        <f t="shared" si="9"/>
        <v>0</v>
      </c>
    </row>
    <row r="42" spans="9:15" x14ac:dyDescent="0.25">
      <c r="I42" s="29" t="s">
        <v>68</v>
      </c>
      <c r="J42" s="28">
        <v>0</v>
      </c>
      <c r="K42" s="28"/>
      <c r="L42" s="28"/>
      <c r="M42" s="28"/>
      <c r="N42" s="28"/>
      <c r="O42" s="27">
        <f t="shared" si="9"/>
        <v>0</v>
      </c>
    </row>
    <row r="43" spans="9:15" x14ac:dyDescent="0.25">
      <c r="I43" s="29" t="s">
        <v>69</v>
      </c>
      <c r="J43" s="28">
        <v>0</v>
      </c>
      <c r="K43" s="28"/>
      <c r="L43" s="28"/>
      <c r="M43" s="28"/>
      <c r="N43" s="28"/>
      <c r="O43" s="27">
        <f t="shared" si="9"/>
        <v>0</v>
      </c>
    </row>
    <row r="44" spans="9:15" x14ac:dyDescent="0.25">
      <c r="I44" s="29" t="s">
        <v>70</v>
      </c>
      <c r="J44" s="28">
        <v>1</v>
      </c>
      <c r="K44" s="28"/>
      <c r="L44" s="28"/>
      <c r="M44" s="28"/>
      <c r="N44" s="28"/>
      <c r="O44" s="27">
        <f t="shared" si="9"/>
        <v>1</v>
      </c>
    </row>
    <row r="45" spans="9:15" x14ac:dyDescent="0.25">
      <c r="I45" s="29" t="s">
        <v>71</v>
      </c>
      <c r="J45" s="28">
        <v>0</v>
      </c>
      <c r="K45" s="28"/>
      <c r="L45" s="28"/>
      <c r="M45" s="28"/>
      <c r="N45" s="28"/>
      <c r="O45" s="27">
        <f t="shared" si="9"/>
        <v>0</v>
      </c>
    </row>
    <row r="46" spans="9:15" x14ac:dyDescent="0.25">
      <c r="I46" s="29" t="s">
        <v>72</v>
      </c>
      <c r="J46" s="28">
        <v>1</v>
      </c>
      <c r="K46" s="28"/>
      <c r="L46" s="28"/>
      <c r="M46" s="28"/>
      <c r="N46" s="28"/>
      <c r="O46" s="27">
        <f t="shared" si="9"/>
        <v>1</v>
      </c>
    </row>
    <row r="47" spans="9:15" x14ac:dyDescent="0.25">
      <c r="I47" s="29" t="s">
        <v>73</v>
      </c>
      <c r="J47" s="28">
        <v>0</v>
      </c>
      <c r="K47" s="28"/>
      <c r="L47" s="28"/>
      <c r="M47" s="28"/>
      <c r="N47" s="28"/>
      <c r="O47" s="27">
        <f t="shared" si="9"/>
        <v>0</v>
      </c>
    </row>
    <row r="48" spans="9:15" x14ac:dyDescent="0.25">
      <c r="I48" s="29" t="s">
        <v>74</v>
      </c>
      <c r="J48" s="28">
        <v>0</v>
      </c>
      <c r="K48" s="28"/>
      <c r="L48" s="28"/>
      <c r="M48" s="28"/>
      <c r="N48" s="28"/>
      <c r="O48" s="27">
        <f t="shared" si="9"/>
        <v>0</v>
      </c>
    </row>
    <row r="49" spans="9:15" x14ac:dyDescent="0.25">
      <c r="I49" s="29" t="s">
        <v>75</v>
      </c>
      <c r="J49" s="28">
        <v>0</v>
      </c>
      <c r="K49" s="28"/>
      <c r="L49" s="28"/>
      <c r="M49" s="28"/>
      <c r="N49" s="28"/>
      <c r="O49" s="27">
        <f t="shared" si="9"/>
        <v>0</v>
      </c>
    </row>
    <row r="50" spans="9:15" x14ac:dyDescent="0.25">
      <c r="I50" s="29" t="s">
        <v>76</v>
      </c>
      <c r="J50" s="28">
        <v>0</v>
      </c>
      <c r="K50" s="28"/>
      <c r="L50" s="28"/>
      <c r="M50" s="28">
        <v>1</v>
      </c>
      <c r="N50" s="28"/>
      <c r="O50" s="27">
        <f t="shared" si="9"/>
        <v>1</v>
      </c>
    </row>
    <row r="51" spans="9:15" x14ac:dyDescent="0.25">
      <c r="I51" s="29" t="s">
        <v>77</v>
      </c>
      <c r="J51" s="28">
        <v>0</v>
      </c>
      <c r="K51" s="28"/>
      <c r="L51" s="28"/>
      <c r="M51" s="28"/>
      <c r="N51" s="28"/>
      <c r="O51" s="27">
        <f t="shared" si="9"/>
        <v>0</v>
      </c>
    </row>
    <row r="52" spans="9:15" x14ac:dyDescent="0.25">
      <c r="I52" s="29" t="s">
        <v>78</v>
      </c>
      <c r="J52" s="28"/>
      <c r="K52" s="28"/>
      <c r="L52" s="28">
        <v>1</v>
      </c>
      <c r="M52" s="28"/>
      <c r="N52" s="28"/>
      <c r="O52" s="27">
        <f t="shared" si="9"/>
        <v>1</v>
      </c>
    </row>
    <row r="53" spans="9:15" x14ac:dyDescent="0.25">
      <c r="I53" s="29" t="s">
        <v>79</v>
      </c>
      <c r="J53" s="28">
        <v>0</v>
      </c>
      <c r="K53" s="28"/>
      <c r="L53" s="28"/>
      <c r="M53" s="28"/>
      <c r="N53" s="28"/>
      <c r="O53" s="27">
        <f t="shared" si="9"/>
        <v>0</v>
      </c>
    </row>
    <row r="54" spans="9:15" x14ac:dyDescent="0.25">
      <c r="I54" s="33" t="s">
        <v>80</v>
      </c>
      <c r="J54" s="28">
        <v>0</v>
      </c>
      <c r="K54" s="28"/>
      <c r="L54" s="28"/>
      <c r="M54" s="28"/>
      <c r="N54" s="28"/>
      <c r="O54" s="27">
        <f t="shared" si="9"/>
        <v>0</v>
      </c>
    </row>
    <row r="55" spans="9:15" x14ac:dyDescent="0.25">
      <c r="I55" s="33" t="s">
        <v>81</v>
      </c>
      <c r="J55" s="28">
        <v>0</v>
      </c>
      <c r="K55" s="28"/>
      <c r="L55" s="28"/>
      <c r="M55" s="28"/>
      <c r="N55" s="28"/>
      <c r="O55" s="27">
        <f t="shared" si="9"/>
        <v>0</v>
      </c>
    </row>
    <row r="56" spans="9:15" x14ac:dyDescent="0.25">
      <c r="I56" s="33" t="s">
        <v>82</v>
      </c>
      <c r="J56" s="28">
        <v>0</v>
      </c>
      <c r="K56" s="28"/>
      <c r="L56" s="28"/>
      <c r="M56" s="28"/>
      <c r="N56" s="28"/>
      <c r="O56" s="27">
        <f t="shared" si="9"/>
        <v>0</v>
      </c>
    </row>
    <row r="57" spans="9:15" x14ac:dyDescent="0.25">
      <c r="I57" s="33" t="s">
        <v>83</v>
      </c>
      <c r="J57" s="28">
        <v>0</v>
      </c>
      <c r="K57" s="28"/>
      <c r="L57" s="28"/>
      <c r="M57" s="28"/>
      <c r="N57" s="28"/>
      <c r="O57" s="27">
        <f t="shared" si="9"/>
        <v>0</v>
      </c>
    </row>
    <row r="58" spans="9:15" x14ac:dyDescent="0.25">
      <c r="I58" s="33" t="s">
        <v>84</v>
      </c>
      <c r="J58" s="28">
        <v>0</v>
      </c>
      <c r="K58" s="28"/>
      <c r="L58" s="28"/>
      <c r="M58" s="28"/>
      <c r="N58" s="28"/>
      <c r="O58" s="27">
        <f t="shared" si="9"/>
        <v>0</v>
      </c>
    </row>
    <row r="59" spans="9:15" x14ac:dyDescent="0.25">
      <c r="I59" s="33" t="s">
        <v>85</v>
      </c>
      <c r="J59" s="28">
        <v>0</v>
      </c>
      <c r="K59" s="28"/>
      <c r="L59" s="28"/>
      <c r="M59" s="28"/>
      <c r="N59" s="28"/>
      <c r="O59" s="27">
        <f t="shared" si="9"/>
        <v>0</v>
      </c>
    </row>
    <row r="60" spans="9:15" x14ac:dyDescent="0.25">
      <c r="I60" s="29" t="s">
        <v>86</v>
      </c>
      <c r="J60" s="27">
        <v>0</v>
      </c>
      <c r="K60" s="27"/>
      <c r="L60" s="27"/>
      <c r="M60" s="27"/>
      <c r="N60" s="27"/>
      <c r="O60" s="27">
        <f t="shared" si="9"/>
        <v>0</v>
      </c>
    </row>
    <row r="61" spans="9:15" x14ac:dyDescent="0.25">
      <c r="I61" s="25" t="s">
        <v>87</v>
      </c>
      <c r="J61" s="31">
        <f t="shared" ref="J61:O61" si="10">SUM(J39:J60)</f>
        <v>3</v>
      </c>
      <c r="K61" s="31">
        <f t="shared" si="10"/>
        <v>0</v>
      </c>
      <c r="L61" s="31">
        <f t="shared" si="10"/>
        <v>1</v>
      </c>
      <c r="M61" s="31">
        <f t="shared" si="10"/>
        <v>1</v>
      </c>
      <c r="N61" s="31">
        <f t="shared" si="10"/>
        <v>0</v>
      </c>
      <c r="O61" s="31">
        <f t="shared" si="10"/>
        <v>5</v>
      </c>
    </row>
    <row r="62" spans="9:15" ht="16.5" thickBot="1" x14ac:dyDescent="0.3">
      <c r="I62" s="34"/>
      <c r="J62" s="35"/>
      <c r="K62" s="35"/>
      <c r="L62" s="35"/>
      <c r="M62" s="35"/>
      <c r="N62" s="35"/>
      <c r="O62" s="35"/>
    </row>
    <row r="63" spans="9:15" x14ac:dyDescent="0.25">
      <c r="I63" s="36" t="s">
        <v>88</v>
      </c>
      <c r="J63" s="37">
        <f t="shared" ref="J63:O63" si="11">J36</f>
        <v>8</v>
      </c>
      <c r="K63" s="37">
        <f t="shared" si="11"/>
        <v>1</v>
      </c>
      <c r="L63" s="37">
        <f t="shared" si="11"/>
        <v>0</v>
      </c>
      <c r="M63" s="37">
        <f t="shared" si="11"/>
        <v>0</v>
      </c>
      <c r="N63" s="37">
        <f t="shared" si="11"/>
        <v>0</v>
      </c>
      <c r="O63" s="37">
        <f t="shared" si="11"/>
        <v>9</v>
      </c>
    </row>
    <row r="64" spans="9:15" x14ac:dyDescent="0.25">
      <c r="I64" s="38" t="s">
        <v>89</v>
      </c>
      <c r="J64" s="39">
        <f t="shared" ref="J64:O64" si="12">J61</f>
        <v>3</v>
      </c>
      <c r="K64" s="39">
        <f t="shared" si="12"/>
        <v>0</v>
      </c>
      <c r="L64" s="39">
        <f t="shared" si="12"/>
        <v>1</v>
      </c>
      <c r="M64" s="39">
        <f t="shared" si="12"/>
        <v>1</v>
      </c>
      <c r="N64" s="39">
        <f t="shared" si="12"/>
        <v>0</v>
      </c>
      <c r="O64" s="39">
        <f t="shared" si="12"/>
        <v>5</v>
      </c>
    </row>
    <row r="65" spans="1:15" ht="16.5" thickBot="1" x14ac:dyDescent="0.3">
      <c r="I65" s="40" t="s">
        <v>90</v>
      </c>
      <c r="J65" s="41">
        <f t="shared" ref="J65:O65" si="13">SUM(J63:J64)</f>
        <v>11</v>
      </c>
      <c r="K65" s="41">
        <f t="shared" si="13"/>
        <v>1</v>
      </c>
      <c r="L65" s="41">
        <f t="shared" si="13"/>
        <v>1</v>
      </c>
      <c r="M65" s="41">
        <f t="shared" si="13"/>
        <v>1</v>
      </c>
      <c r="N65" s="41">
        <f t="shared" si="13"/>
        <v>0</v>
      </c>
      <c r="O65" s="41">
        <f t="shared" si="13"/>
        <v>14</v>
      </c>
    </row>
    <row r="66" spans="1:15" ht="16.5" thickBot="1" x14ac:dyDescent="0.3"/>
    <row r="67" spans="1:15" ht="16.5" thickBot="1" x14ac:dyDescent="0.3">
      <c r="A67" s="42" t="s">
        <v>5</v>
      </c>
      <c r="B67" s="42" t="s">
        <v>91</v>
      </c>
      <c r="C67" s="42" t="s">
        <v>92</v>
      </c>
      <c r="D67" s="42" t="s">
        <v>4</v>
      </c>
      <c r="E67" s="42" t="s">
        <v>93</v>
      </c>
      <c r="G67" s="43" t="s">
        <v>94</v>
      </c>
      <c r="H67" s="43"/>
      <c r="I67" s="44"/>
      <c r="J67" s="45" t="str">
        <f>J20</f>
        <v>Operating</v>
      </c>
      <c r="K67" s="45" t="str">
        <f t="shared" ref="K67:O67" si="14">K20</f>
        <v>SPED</v>
      </c>
      <c r="L67" s="45" t="str">
        <f t="shared" si="14"/>
        <v>NSLP</v>
      </c>
      <c r="M67" s="45" t="str">
        <f t="shared" si="14"/>
        <v>Title(s)</v>
      </c>
      <c r="N67" s="45" t="str">
        <f t="shared" si="14"/>
        <v>Other</v>
      </c>
      <c r="O67" s="45" t="str">
        <f t="shared" si="14"/>
        <v>Total</v>
      </c>
    </row>
    <row r="68" spans="1:15" x14ac:dyDescent="0.25">
      <c r="A68" s="46">
        <v>40010</v>
      </c>
      <c r="B68" s="47" t="s">
        <v>95</v>
      </c>
      <c r="C68" s="48">
        <f t="shared" ref="C68:C82" si="15">$C$1</f>
        <v>0</v>
      </c>
      <c r="D68" s="49" t="s">
        <v>9</v>
      </c>
      <c r="E68" s="47" t="s">
        <v>96</v>
      </c>
      <c r="I68" s="49" t="s">
        <v>97</v>
      </c>
      <c r="J68" s="50">
        <f>J17*J2</f>
        <v>1251640</v>
      </c>
      <c r="K68" s="50"/>
      <c r="L68" s="50"/>
      <c r="M68" s="50"/>
      <c r="N68" s="50"/>
      <c r="O68" s="50">
        <f>SUM(J68:N68)</f>
        <v>1251640</v>
      </c>
    </row>
    <row r="69" spans="1:15" x14ac:dyDescent="0.25">
      <c r="A69" s="51">
        <v>40012</v>
      </c>
      <c r="B69" s="47" t="s">
        <v>95</v>
      </c>
      <c r="C69" s="48">
        <f t="shared" si="15"/>
        <v>0</v>
      </c>
      <c r="D69" s="52" t="s">
        <v>12</v>
      </c>
      <c r="E69" s="47" t="s">
        <v>96</v>
      </c>
      <c r="I69" s="52" t="s">
        <v>13</v>
      </c>
      <c r="J69" s="53">
        <f>J22*(0.45*J2)</f>
        <v>77986.8</v>
      </c>
      <c r="K69" s="53"/>
      <c r="L69" s="53"/>
      <c r="M69" s="53"/>
      <c r="N69" s="53"/>
      <c r="O69" s="50">
        <f t="shared" ref="O69:O82" si="16">SUM(J69:N69)</f>
        <v>77986.8</v>
      </c>
    </row>
    <row r="70" spans="1:15" x14ac:dyDescent="0.25">
      <c r="A70" s="51">
        <v>40014</v>
      </c>
      <c r="B70" s="47" t="s">
        <v>95</v>
      </c>
      <c r="C70" s="48">
        <f t="shared" si="15"/>
        <v>0</v>
      </c>
      <c r="D70" s="52" t="s">
        <v>15</v>
      </c>
      <c r="E70" s="47" t="s">
        <v>96</v>
      </c>
      <c r="I70" s="52" t="s">
        <v>16</v>
      </c>
      <c r="J70" s="53">
        <f>J23*(0.12*J2)</f>
        <v>0</v>
      </c>
      <c r="K70" s="53"/>
      <c r="L70" s="53"/>
      <c r="M70" s="53"/>
      <c r="N70" s="53"/>
      <c r="O70" s="50">
        <f t="shared" si="16"/>
        <v>0</v>
      </c>
    </row>
    <row r="71" spans="1:15" x14ac:dyDescent="0.25">
      <c r="A71" s="51">
        <v>40013</v>
      </c>
      <c r="B71" s="47" t="s">
        <v>95</v>
      </c>
      <c r="C71" s="48">
        <f t="shared" si="15"/>
        <v>0</v>
      </c>
      <c r="D71" s="52" t="s">
        <v>18</v>
      </c>
      <c r="E71" s="47" t="s">
        <v>96</v>
      </c>
      <c r="I71" s="52" t="s">
        <v>19</v>
      </c>
      <c r="J71" s="53">
        <f>J24*(0.35*J2)</f>
        <v>10109.4</v>
      </c>
      <c r="K71" s="53"/>
      <c r="L71" s="53"/>
      <c r="M71" s="53"/>
      <c r="N71" s="53"/>
      <c r="O71" s="50">
        <f t="shared" si="16"/>
        <v>10109.4</v>
      </c>
    </row>
    <row r="72" spans="1:15" x14ac:dyDescent="0.25">
      <c r="A72" s="51">
        <v>40015</v>
      </c>
      <c r="B72" s="47" t="s">
        <v>95</v>
      </c>
      <c r="C72" s="48">
        <f t="shared" si="15"/>
        <v>0</v>
      </c>
      <c r="D72" s="52" t="s">
        <v>21</v>
      </c>
      <c r="E72" s="47" t="s">
        <v>96</v>
      </c>
      <c r="I72" s="52" t="s">
        <v>22</v>
      </c>
      <c r="J72" s="53">
        <v>49722.3</v>
      </c>
      <c r="K72" s="53"/>
      <c r="L72" s="53"/>
      <c r="M72" s="53"/>
      <c r="N72" s="53"/>
      <c r="O72" s="50">
        <f t="shared" si="16"/>
        <v>49722.3</v>
      </c>
    </row>
    <row r="73" spans="1:15" x14ac:dyDescent="0.25">
      <c r="A73" s="51">
        <v>40011</v>
      </c>
      <c r="B73" s="47" t="s">
        <v>95</v>
      </c>
      <c r="C73" s="48">
        <f t="shared" si="15"/>
        <v>0</v>
      </c>
      <c r="D73" s="54" t="s">
        <v>27</v>
      </c>
      <c r="E73" s="47" t="s">
        <v>96</v>
      </c>
      <c r="I73" s="52" t="s">
        <v>98</v>
      </c>
      <c r="J73" s="53"/>
      <c r="K73" s="53">
        <v>122895</v>
      </c>
      <c r="L73" s="53"/>
      <c r="M73" s="53"/>
      <c r="N73" s="53"/>
      <c r="O73" s="50">
        <f t="shared" si="16"/>
        <v>122895</v>
      </c>
    </row>
    <row r="74" spans="1:15" x14ac:dyDescent="0.25">
      <c r="A74" s="51">
        <v>40020</v>
      </c>
      <c r="B74" s="47" t="s">
        <v>95</v>
      </c>
      <c r="C74" s="48">
        <f t="shared" si="15"/>
        <v>0</v>
      </c>
      <c r="D74" s="52" t="s">
        <v>27</v>
      </c>
      <c r="E74" s="47" t="s">
        <v>96</v>
      </c>
      <c r="I74" s="52" t="s">
        <v>99</v>
      </c>
      <c r="J74" s="55"/>
      <c r="K74" s="55">
        <f>3633.22134155844*K21</f>
        <v>50865.09878181816</v>
      </c>
      <c r="L74" s="55"/>
      <c r="M74" s="55"/>
      <c r="N74" s="55"/>
      <c r="O74" s="50">
        <f t="shared" si="16"/>
        <v>50865.09878181816</v>
      </c>
    </row>
    <row r="75" spans="1:15" x14ac:dyDescent="0.25">
      <c r="A75" s="51">
        <v>42010</v>
      </c>
      <c r="B75" s="47" t="s">
        <v>95</v>
      </c>
      <c r="C75" s="48">
        <f t="shared" si="15"/>
        <v>0</v>
      </c>
      <c r="D75" s="52" t="s">
        <v>36</v>
      </c>
      <c r="E75" s="47" t="s">
        <v>96</v>
      </c>
      <c r="I75" s="52" t="s">
        <v>100</v>
      </c>
      <c r="J75" s="55"/>
      <c r="K75" s="55">
        <f>961.832*K21</f>
        <v>13465.647999999999</v>
      </c>
      <c r="L75" s="55"/>
      <c r="M75" s="55"/>
      <c r="N75" s="55"/>
      <c r="O75" s="50">
        <f t="shared" si="16"/>
        <v>13465.647999999999</v>
      </c>
    </row>
    <row r="76" spans="1:15" x14ac:dyDescent="0.25">
      <c r="A76" s="51">
        <v>70200</v>
      </c>
      <c r="B76" s="47" t="s">
        <v>95</v>
      </c>
      <c r="C76" s="48">
        <f t="shared" si="15"/>
        <v>0</v>
      </c>
      <c r="D76" s="49" t="s">
        <v>9</v>
      </c>
      <c r="E76" s="47" t="s">
        <v>96</v>
      </c>
      <c r="I76" s="52" t="s">
        <v>101</v>
      </c>
      <c r="J76" s="55">
        <v>0</v>
      </c>
      <c r="K76" s="55"/>
      <c r="L76" s="55"/>
      <c r="M76" s="55"/>
      <c r="N76" s="55"/>
      <c r="O76" s="50">
        <f t="shared" si="16"/>
        <v>0</v>
      </c>
    </row>
    <row r="77" spans="1:15" x14ac:dyDescent="0.25">
      <c r="A77" s="51">
        <v>40020</v>
      </c>
      <c r="B77" s="47" t="s">
        <v>95</v>
      </c>
      <c r="C77" s="48">
        <f t="shared" si="15"/>
        <v>0</v>
      </c>
      <c r="D77" s="52" t="s">
        <v>24</v>
      </c>
      <c r="E77" s="47" t="s">
        <v>96</v>
      </c>
      <c r="I77" s="52" t="s">
        <v>25</v>
      </c>
      <c r="J77" s="55"/>
      <c r="K77" s="55"/>
      <c r="L77" s="55"/>
      <c r="M77" s="55"/>
      <c r="N77" s="55"/>
      <c r="O77" s="50">
        <f t="shared" si="16"/>
        <v>0</v>
      </c>
    </row>
    <row r="78" spans="1:15" x14ac:dyDescent="0.25">
      <c r="A78" s="51">
        <v>42010</v>
      </c>
      <c r="B78" s="47" t="s">
        <v>95</v>
      </c>
      <c r="C78" s="48">
        <f t="shared" si="15"/>
        <v>0</v>
      </c>
      <c r="D78" s="52" t="s">
        <v>36</v>
      </c>
      <c r="E78" s="47" t="s">
        <v>96</v>
      </c>
      <c r="I78" s="52" t="s">
        <v>37</v>
      </c>
      <c r="J78" s="55"/>
      <c r="K78" s="55"/>
      <c r="L78" s="55"/>
      <c r="M78" s="55">
        <f>37760+2596.59+1446+3353+2331+44733</f>
        <v>92219.59</v>
      </c>
      <c r="N78" s="55"/>
      <c r="O78" s="50">
        <f t="shared" si="16"/>
        <v>92219.59</v>
      </c>
    </row>
    <row r="79" spans="1:15" x14ac:dyDescent="0.25">
      <c r="A79" s="51">
        <v>44000</v>
      </c>
      <c r="B79" s="47" t="s">
        <v>95</v>
      </c>
      <c r="C79" s="48">
        <f t="shared" si="15"/>
        <v>0</v>
      </c>
      <c r="D79" s="52" t="s">
        <v>30</v>
      </c>
      <c r="E79" s="47" t="s">
        <v>96</v>
      </c>
      <c r="I79" s="52" t="s">
        <v>31</v>
      </c>
      <c r="J79" s="55">
        <v>379047</v>
      </c>
      <c r="K79" s="55"/>
      <c r="L79" s="55"/>
      <c r="M79" s="55"/>
      <c r="N79" s="55"/>
      <c r="O79" s="50">
        <f t="shared" si="16"/>
        <v>379047</v>
      </c>
    </row>
    <row r="80" spans="1:15" x14ac:dyDescent="0.25">
      <c r="A80" s="51">
        <v>43040</v>
      </c>
      <c r="B80" s="47" t="s">
        <v>95</v>
      </c>
      <c r="C80" s="48">
        <f t="shared" si="15"/>
        <v>0</v>
      </c>
      <c r="D80" s="52" t="s">
        <v>33</v>
      </c>
      <c r="E80" s="47" t="s">
        <v>96</v>
      </c>
      <c r="I80" s="52" t="s">
        <v>102</v>
      </c>
      <c r="J80" s="55">
        <v>0</v>
      </c>
      <c r="K80" s="55"/>
      <c r="L80" s="55"/>
      <c r="M80" s="55"/>
      <c r="N80" s="55"/>
      <c r="O80" s="50">
        <f t="shared" si="16"/>
        <v>0</v>
      </c>
    </row>
    <row r="81" spans="1:15" x14ac:dyDescent="0.25">
      <c r="A81" s="51">
        <v>43020</v>
      </c>
      <c r="B81" s="47" t="s">
        <v>95</v>
      </c>
      <c r="C81" s="48">
        <f t="shared" si="15"/>
        <v>0</v>
      </c>
      <c r="D81" s="52" t="s">
        <v>39</v>
      </c>
      <c r="E81" s="47" t="s">
        <v>96</v>
      </c>
      <c r="I81" s="52" t="s">
        <v>103</v>
      </c>
      <c r="J81" s="55"/>
      <c r="K81" s="55"/>
      <c r="L81" s="55">
        <f>(40*2.84*180)*1.015*1.015</f>
        <v>21066.040799999995</v>
      </c>
      <c r="M81" s="55"/>
      <c r="N81" s="55"/>
      <c r="O81" s="50">
        <f t="shared" si="16"/>
        <v>21066.040799999995</v>
      </c>
    </row>
    <row r="82" spans="1:15" x14ac:dyDescent="0.25">
      <c r="A82" s="56">
        <v>43020</v>
      </c>
      <c r="B82" s="47" t="s">
        <v>95</v>
      </c>
      <c r="C82" s="48">
        <f t="shared" si="15"/>
        <v>0</v>
      </c>
      <c r="D82" s="57" t="s">
        <v>39</v>
      </c>
      <c r="E82" s="47" t="s">
        <v>96</v>
      </c>
      <c r="I82" s="57" t="s">
        <v>104</v>
      </c>
      <c r="J82" s="58"/>
      <c r="K82" s="58"/>
      <c r="L82" s="58">
        <f>(60*4.52*180)*1.015*1.015</f>
        <v>50291.463599999995</v>
      </c>
      <c r="M82" s="58"/>
      <c r="N82" s="58"/>
      <c r="O82" s="50">
        <f t="shared" si="16"/>
        <v>50291.463599999995</v>
      </c>
    </row>
    <row r="83" spans="1:15" x14ac:dyDescent="0.25">
      <c r="A83" s="59"/>
      <c r="B83" s="60"/>
      <c r="C83" s="60"/>
      <c r="D83" s="60"/>
      <c r="E83" s="60"/>
      <c r="H83" s="61" t="s">
        <v>105</v>
      </c>
      <c r="I83" s="62"/>
      <c r="J83" s="63">
        <f t="shared" ref="J83:O83" si="17">SUM(J68:J82)</f>
        <v>1768505.5</v>
      </c>
      <c r="K83" s="63">
        <f t="shared" si="17"/>
        <v>187225.74678181816</v>
      </c>
      <c r="L83" s="63">
        <f t="shared" si="17"/>
        <v>71357.504399999991</v>
      </c>
      <c r="M83" s="63">
        <f t="shared" si="17"/>
        <v>92219.59</v>
      </c>
      <c r="N83" s="63">
        <f t="shared" si="17"/>
        <v>0</v>
      </c>
      <c r="O83" s="63">
        <f t="shared" si="17"/>
        <v>2119308.3411818184</v>
      </c>
    </row>
    <row r="85" spans="1:15" x14ac:dyDescent="0.25">
      <c r="A85" s="59"/>
      <c r="B85" s="60"/>
      <c r="C85" s="60"/>
      <c r="D85" s="60"/>
      <c r="E85" s="60"/>
      <c r="G85" s="61" t="s">
        <v>106</v>
      </c>
      <c r="H85" s="64"/>
      <c r="I85" s="65"/>
      <c r="J85" s="66" t="str">
        <f>J20</f>
        <v>Operating</v>
      </c>
      <c r="K85" s="66" t="str">
        <f t="shared" ref="K85:O85" si="18">K20</f>
        <v>SPED</v>
      </c>
      <c r="L85" s="66" t="str">
        <f t="shared" si="18"/>
        <v>NSLP</v>
      </c>
      <c r="M85" s="66" t="str">
        <f t="shared" si="18"/>
        <v>Title(s)</v>
      </c>
      <c r="N85" s="66" t="str">
        <f t="shared" si="18"/>
        <v>Other</v>
      </c>
      <c r="O85" s="66" t="str">
        <f t="shared" si="18"/>
        <v>Total</v>
      </c>
    </row>
    <row r="86" spans="1:15" x14ac:dyDescent="0.25">
      <c r="A86" s="67">
        <v>45000</v>
      </c>
      <c r="B86" s="47" t="s">
        <v>95</v>
      </c>
      <c r="C86" s="48">
        <f>$C$1</f>
        <v>0</v>
      </c>
      <c r="D86" s="49" t="s">
        <v>9</v>
      </c>
      <c r="E86" s="47" t="s">
        <v>96</v>
      </c>
      <c r="I86" s="49" t="s">
        <v>107</v>
      </c>
      <c r="J86" s="177"/>
      <c r="K86" s="177"/>
      <c r="L86" s="177"/>
      <c r="M86" s="177"/>
      <c r="N86" s="177"/>
      <c r="O86" s="50">
        <f t="shared" ref="O86:O88" si="19">SUM(J86:N86)</f>
        <v>0</v>
      </c>
    </row>
    <row r="87" spans="1:15" x14ac:dyDescent="0.25">
      <c r="A87" s="67">
        <v>45000</v>
      </c>
      <c r="B87" s="47" t="s">
        <v>95</v>
      </c>
      <c r="C87" s="48">
        <f>$C$1</f>
        <v>0</v>
      </c>
      <c r="D87" s="49" t="s">
        <v>9</v>
      </c>
      <c r="E87" s="47" t="s">
        <v>96</v>
      </c>
      <c r="I87" s="52" t="s">
        <v>108</v>
      </c>
      <c r="J87" s="55"/>
      <c r="K87" s="55"/>
      <c r="L87" s="55"/>
      <c r="M87" s="55"/>
      <c r="N87" s="55"/>
      <c r="O87" s="50">
        <f t="shared" si="19"/>
        <v>0</v>
      </c>
    </row>
    <row r="88" spans="1:15" x14ac:dyDescent="0.25">
      <c r="A88" s="67">
        <v>45000</v>
      </c>
      <c r="B88" s="47" t="s">
        <v>95</v>
      </c>
      <c r="C88" s="48">
        <f>$C$1</f>
        <v>0</v>
      </c>
      <c r="D88" s="49" t="s">
        <v>9</v>
      </c>
      <c r="E88" s="47" t="s">
        <v>96</v>
      </c>
      <c r="I88" s="57" t="s">
        <v>109</v>
      </c>
      <c r="J88" s="178"/>
      <c r="K88" s="178"/>
      <c r="L88" s="178"/>
      <c r="M88" s="178"/>
      <c r="N88" s="178"/>
      <c r="O88" s="50">
        <f t="shared" si="19"/>
        <v>0</v>
      </c>
    </row>
    <row r="89" spans="1:15" x14ac:dyDescent="0.25">
      <c r="A89" s="59"/>
      <c r="B89" s="60"/>
      <c r="C89" s="60"/>
      <c r="D89" s="60"/>
      <c r="E89" s="60"/>
      <c r="H89" s="61" t="s">
        <v>110</v>
      </c>
      <c r="I89" s="65"/>
      <c r="J89" s="63">
        <f t="shared" ref="J89:O89" si="20">SUM(J86:J88)</f>
        <v>0</v>
      </c>
      <c r="K89" s="63">
        <f t="shared" si="20"/>
        <v>0</v>
      </c>
      <c r="L89" s="63">
        <f t="shared" si="20"/>
        <v>0</v>
      </c>
      <c r="M89" s="63">
        <f t="shared" si="20"/>
        <v>0</v>
      </c>
      <c r="N89" s="63">
        <f t="shared" si="20"/>
        <v>0</v>
      </c>
      <c r="O89" s="63">
        <f t="shared" si="20"/>
        <v>0</v>
      </c>
    </row>
    <row r="91" spans="1:15" ht="16.5" thickBot="1" x14ac:dyDescent="0.3"/>
    <row r="92" spans="1:15" ht="16.5" thickBot="1" x14ac:dyDescent="0.3">
      <c r="A92" s="68" t="s">
        <v>5</v>
      </c>
      <c r="B92" s="68" t="s">
        <v>91</v>
      </c>
      <c r="C92" s="68" t="s">
        <v>92</v>
      </c>
      <c r="D92" s="68" t="s">
        <v>4</v>
      </c>
      <c r="E92" s="68" t="s">
        <v>93</v>
      </c>
      <c r="G92" s="69" t="s">
        <v>111</v>
      </c>
      <c r="H92" s="70"/>
      <c r="I92" s="71"/>
      <c r="J92" s="72" t="str">
        <f>J20</f>
        <v>Operating</v>
      </c>
      <c r="K92" s="72" t="str">
        <f t="shared" ref="K92:O92" si="21">K20</f>
        <v>SPED</v>
      </c>
      <c r="L92" s="72" t="str">
        <f t="shared" si="21"/>
        <v>NSLP</v>
      </c>
      <c r="M92" s="72" t="str">
        <f t="shared" si="21"/>
        <v>Title(s)</v>
      </c>
      <c r="N92" s="72" t="str">
        <f t="shared" si="21"/>
        <v>Other</v>
      </c>
      <c r="O92" s="72" t="str">
        <f t="shared" si="21"/>
        <v>Total</v>
      </c>
    </row>
    <row r="93" spans="1:15" x14ac:dyDescent="0.25">
      <c r="A93" s="73"/>
      <c r="B93" s="74"/>
      <c r="C93" s="75"/>
      <c r="D93" s="76"/>
      <c r="E93" s="74"/>
      <c r="H93" s="77" t="s">
        <v>112</v>
      </c>
      <c r="I93" s="78"/>
      <c r="J93" s="79"/>
      <c r="K93" s="79"/>
      <c r="L93" s="79"/>
      <c r="M93" s="79"/>
      <c r="N93" s="79"/>
      <c r="O93" s="79"/>
    </row>
    <row r="94" spans="1:15" x14ac:dyDescent="0.25">
      <c r="A94" s="51">
        <v>60036</v>
      </c>
      <c r="B94" s="80" t="s">
        <v>113</v>
      </c>
      <c r="C94" s="48">
        <f>$C$1</f>
        <v>0</v>
      </c>
      <c r="D94" s="49" t="s">
        <v>9</v>
      </c>
      <c r="E94" s="52" t="s">
        <v>114</v>
      </c>
      <c r="I94" s="49" t="s">
        <v>402</v>
      </c>
      <c r="J94" s="50">
        <v>0</v>
      </c>
      <c r="K94" s="50"/>
      <c r="L94" s="50"/>
      <c r="M94" s="50"/>
      <c r="N94" s="50"/>
      <c r="O94" s="50">
        <f t="shared" ref="O94:O152" si="22">SUM(J94:N94)</f>
        <v>0</v>
      </c>
    </row>
    <row r="95" spans="1:15" x14ac:dyDescent="0.25">
      <c r="A95" s="51">
        <v>60036</v>
      </c>
      <c r="B95" s="80" t="s">
        <v>113</v>
      </c>
      <c r="C95" s="48">
        <f>$C$1</f>
        <v>0</v>
      </c>
      <c r="D95" s="49" t="s">
        <v>9</v>
      </c>
      <c r="E95" s="52" t="s">
        <v>114</v>
      </c>
      <c r="I95" s="52" t="s">
        <v>66</v>
      </c>
      <c r="J95" s="55">
        <f>'26-27'!J95*1.015</f>
        <v>131353.68749999997</v>
      </c>
      <c r="K95" s="55"/>
      <c r="L95" s="55"/>
      <c r="M95" s="55"/>
      <c r="N95" s="55"/>
      <c r="O95" s="50">
        <f t="shared" si="22"/>
        <v>131353.68749999997</v>
      </c>
    </row>
    <row r="96" spans="1:15" x14ac:dyDescent="0.25">
      <c r="A96" s="51">
        <v>60036</v>
      </c>
      <c r="B96" s="80" t="s">
        <v>113</v>
      </c>
      <c r="C96" s="48">
        <f>$C$1</f>
        <v>0</v>
      </c>
      <c r="D96" s="52" t="s">
        <v>36</v>
      </c>
      <c r="E96" s="52" t="s">
        <v>114</v>
      </c>
      <c r="I96" s="52" t="s">
        <v>115</v>
      </c>
      <c r="J96" s="55"/>
      <c r="K96" s="55"/>
      <c r="L96" s="55"/>
      <c r="M96" s="55"/>
      <c r="N96" s="55"/>
      <c r="O96" s="50">
        <f t="shared" si="22"/>
        <v>0</v>
      </c>
    </row>
    <row r="97" spans="1:15" x14ac:dyDescent="0.25">
      <c r="A97" s="81"/>
      <c r="B97" s="82"/>
      <c r="C97" s="82"/>
      <c r="D97" s="82"/>
      <c r="E97" s="82"/>
      <c r="H97" s="83" t="s">
        <v>116</v>
      </c>
      <c r="I97" s="84"/>
      <c r="J97" s="79"/>
      <c r="K97" s="79"/>
      <c r="L97" s="79"/>
      <c r="M97" s="79"/>
      <c r="N97" s="79"/>
      <c r="O97" s="79"/>
    </row>
    <row r="98" spans="1:15" x14ac:dyDescent="0.25">
      <c r="A98" s="51">
        <v>60036</v>
      </c>
      <c r="B98" s="80" t="s">
        <v>113</v>
      </c>
      <c r="C98" s="85">
        <f>$C$1</f>
        <v>0</v>
      </c>
      <c r="D98" s="52" t="s">
        <v>27</v>
      </c>
      <c r="E98" s="52" t="s">
        <v>114</v>
      </c>
      <c r="I98" s="52" t="s">
        <v>117</v>
      </c>
      <c r="J98" s="50">
        <v>0</v>
      </c>
      <c r="K98" s="50">
        <v>0</v>
      </c>
      <c r="L98" s="50"/>
      <c r="M98" s="50"/>
      <c r="N98" s="50"/>
      <c r="O98" s="50">
        <f t="shared" si="22"/>
        <v>0</v>
      </c>
    </row>
    <row r="99" spans="1:15" x14ac:dyDescent="0.25">
      <c r="A99" s="51">
        <v>60036</v>
      </c>
      <c r="B99" s="80" t="s">
        <v>113</v>
      </c>
      <c r="C99" s="85">
        <f>$C$1</f>
        <v>0</v>
      </c>
      <c r="D99" s="52" t="s">
        <v>27</v>
      </c>
      <c r="E99" s="52" t="s">
        <v>114</v>
      </c>
      <c r="I99" s="52" t="s">
        <v>118</v>
      </c>
      <c r="J99" s="50">
        <v>0</v>
      </c>
      <c r="K99" s="50"/>
      <c r="L99" s="50"/>
      <c r="M99" s="50"/>
      <c r="N99" s="50"/>
      <c r="O99" s="50">
        <f t="shared" si="22"/>
        <v>0</v>
      </c>
    </row>
    <row r="100" spans="1:15" x14ac:dyDescent="0.25">
      <c r="A100" s="81"/>
      <c r="B100" s="82"/>
      <c r="C100" s="82"/>
      <c r="D100" s="82"/>
      <c r="E100" s="82"/>
      <c r="H100" s="83" t="s">
        <v>119</v>
      </c>
      <c r="I100" s="84"/>
      <c r="J100" s="79"/>
      <c r="K100" s="79"/>
      <c r="L100" s="79"/>
      <c r="M100" s="79"/>
      <c r="N100" s="79"/>
      <c r="O100" s="79"/>
    </row>
    <row r="101" spans="1:15" x14ac:dyDescent="0.25">
      <c r="A101" s="51">
        <v>60036</v>
      </c>
      <c r="B101" s="80" t="s">
        <v>113</v>
      </c>
      <c r="C101" s="48">
        <f t="shared" ref="C101:C119" si="23">$C$1</f>
        <v>0</v>
      </c>
      <c r="D101" s="49" t="s">
        <v>9</v>
      </c>
      <c r="E101" s="52" t="s">
        <v>120</v>
      </c>
      <c r="I101" s="52" t="s">
        <v>70</v>
      </c>
      <c r="J101" s="55">
        <f>(70000*1.015*1.015)-J103</f>
        <v>70141.75</v>
      </c>
      <c r="K101" s="55"/>
      <c r="L101" s="55"/>
      <c r="M101" s="55"/>
      <c r="N101" s="55"/>
      <c r="O101" s="50">
        <f t="shared" si="22"/>
        <v>70141.75</v>
      </c>
    </row>
    <row r="102" spans="1:15" x14ac:dyDescent="0.25">
      <c r="A102" s="86">
        <v>60036</v>
      </c>
      <c r="B102" s="87" t="s">
        <v>113</v>
      </c>
      <c r="C102" s="88">
        <f t="shared" si="23"/>
        <v>0</v>
      </c>
      <c r="D102" s="89" t="s">
        <v>18</v>
      </c>
      <c r="E102" s="89" t="s">
        <v>120</v>
      </c>
      <c r="I102" s="52" t="s">
        <v>121</v>
      </c>
      <c r="J102" s="55">
        <v>0</v>
      </c>
      <c r="K102" s="55"/>
      <c r="L102" s="55"/>
      <c r="M102" s="55"/>
      <c r="N102" s="55"/>
      <c r="O102" s="50">
        <f t="shared" si="22"/>
        <v>0</v>
      </c>
    </row>
    <row r="103" spans="1:15" x14ac:dyDescent="0.25">
      <c r="A103" s="86">
        <v>60036</v>
      </c>
      <c r="B103" s="87" t="s">
        <v>113</v>
      </c>
      <c r="C103" s="88">
        <f t="shared" si="23"/>
        <v>0</v>
      </c>
      <c r="D103" s="89" t="s">
        <v>21</v>
      </c>
      <c r="E103" s="89" t="s">
        <v>120</v>
      </c>
      <c r="I103" s="52" t="s">
        <v>122</v>
      </c>
      <c r="J103" s="55">
        <v>1974</v>
      </c>
      <c r="K103" s="55"/>
      <c r="L103" s="55"/>
      <c r="M103" s="55"/>
      <c r="N103" s="55"/>
      <c r="O103" s="50">
        <f t="shared" si="22"/>
        <v>1974</v>
      </c>
    </row>
    <row r="104" spans="1:15" x14ac:dyDescent="0.25">
      <c r="A104" s="51">
        <v>60036</v>
      </c>
      <c r="B104" s="80" t="s">
        <v>113</v>
      </c>
      <c r="C104" s="48">
        <f t="shared" si="23"/>
        <v>0</v>
      </c>
      <c r="D104" s="52" t="s">
        <v>36</v>
      </c>
      <c r="E104" s="52" t="s">
        <v>120</v>
      </c>
      <c r="I104" s="52" t="s">
        <v>123</v>
      </c>
      <c r="J104" s="55">
        <v>0</v>
      </c>
      <c r="K104" s="55"/>
      <c r="L104" s="55"/>
      <c r="M104" s="55"/>
      <c r="N104" s="55"/>
      <c r="O104" s="50">
        <f t="shared" si="22"/>
        <v>0</v>
      </c>
    </row>
    <row r="105" spans="1:15" ht="17.649999999999999" customHeight="1" x14ac:dyDescent="0.25">
      <c r="A105" s="51">
        <v>60036</v>
      </c>
      <c r="B105" s="80" t="s">
        <v>113</v>
      </c>
      <c r="C105" s="48">
        <f t="shared" si="23"/>
        <v>0</v>
      </c>
      <c r="D105" s="49" t="s">
        <v>9</v>
      </c>
      <c r="E105" s="52" t="s">
        <v>124</v>
      </c>
      <c r="I105" s="52" t="s">
        <v>125</v>
      </c>
      <c r="J105" s="55">
        <v>0</v>
      </c>
      <c r="K105" s="55"/>
      <c r="L105" s="55"/>
      <c r="M105" s="55"/>
      <c r="N105" s="55"/>
      <c r="O105" s="50">
        <f t="shared" si="22"/>
        <v>0</v>
      </c>
    </row>
    <row r="106" spans="1:15" ht="17.649999999999999" customHeight="1" x14ac:dyDescent="0.25">
      <c r="A106" s="86">
        <v>60036</v>
      </c>
      <c r="B106" s="87" t="s">
        <v>113</v>
      </c>
      <c r="C106" s="88">
        <f t="shared" si="23"/>
        <v>0</v>
      </c>
      <c r="D106" s="89" t="s">
        <v>21</v>
      </c>
      <c r="E106" s="89" t="s">
        <v>124</v>
      </c>
      <c r="I106" s="52" t="s">
        <v>126</v>
      </c>
      <c r="J106" s="55">
        <v>0</v>
      </c>
      <c r="K106" s="55"/>
      <c r="L106" s="55"/>
      <c r="M106" s="55"/>
      <c r="N106" s="55"/>
      <c r="O106" s="50">
        <f t="shared" si="22"/>
        <v>0</v>
      </c>
    </row>
    <row r="107" spans="1:15" ht="17.649999999999999" customHeight="1" x14ac:dyDescent="0.25">
      <c r="A107" s="51">
        <v>60036</v>
      </c>
      <c r="B107" s="80" t="s">
        <v>113</v>
      </c>
      <c r="C107" s="48">
        <f t="shared" si="23"/>
        <v>0</v>
      </c>
      <c r="D107" s="52" t="s">
        <v>36</v>
      </c>
      <c r="E107" s="52" t="s">
        <v>124</v>
      </c>
      <c r="I107" s="52" t="s">
        <v>127</v>
      </c>
      <c r="J107" s="55">
        <v>0</v>
      </c>
      <c r="K107" s="55"/>
      <c r="L107" s="55"/>
      <c r="M107" s="55"/>
      <c r="N107" s="55"/>
      <c r="O107" s="50">
        <f t="shared" si="22"/>
        <v>0</v>
      </c>
    </row>
    <row r="108" spans="1:15" x14ac:dyDescent="0.25">
      <c r="A108" s="51">
        <v>60036</v>
      </c>
      <c r="B108" s="80" t="s">
        <v>113</v>
      </c>
      <c r="C108" s="48">
        <f t="shared" si="23"/>
        <v>0</v>
      </c>
      <c r="D108" s="49" t="s">
        <v>9</v>
      </c>
      <c r="E108" s="52" t="s">
        <v>114</v>
      </c>
      <c r="I108" s="52" t="s">
        <v>128</v>
      </c>
      <c r="J108" s="55">
        <v>0</v>
      </c>
      <c r="K108" s="55"/>
      <c r="L108" s="55"/>
      <c r="M108" s="55"/>
      <c r="N108" s="55"/>
      <c r="O108" s="50">
        <f t="shared" si="22"/>
        <v>0</v>
      </c>
    </row>
    <row r="109" spans="1:15" x14ac:dyDescent="0.25">
      <c r="A109" s="86">
        <v>60036</v>
      </c>
      <c r="B109" s="87" t="s">
        <v>113</v>
      </c>
      <c r="C109" s="88">
        <f t="shared" si="23"/>
        <v>0</v>
      </c>
      <c r="D109" s="89" t="s">
        <v>21</v>
      </c>
      <c r="E109" s="89" t="s">
        <v>114</v>
      </c>
      <c r="I109" s="52" t="s">
        <v>129</v>
      </c>
      <c r="J109" s="55">
        <v>0</v>
      </c>
      <c r="K109" s="55"/>
      <c r="L109" s="55"/>
      <c r="M109" s="55"/>
      <c r="N109" s="55"/>
      <c r="O109" s="50">
        <f t="shared" si="22"/>
        <v>0</v>
      </c>
    </row>
    <row r="110" spans="1:15" x14ac:dyDescent="0.25">
      <c r="A110" s="51">
        <v>60036</v>
      </c>
      <c r="B110" s="80" t="s">
        <v>113</v>
      </c>
      <c r="C110" s="48">
        <f t="shared" si="23"/>
        <v>0</v>
      </c>
      <c r="D110" s="52" t="s">
        <v>36</v>
      </c>
      <c r="E110" s="52" t="s">
        <v>114</v>
      </c>
      <c r="I110" s="52" t="s">
        <v>130</v>
      </c>
      <c r="J110" s="55">
        <v>0</v>
      </c>
      <c r="K110" s="55"/>
      <c r="L110" s="55"/>
      <c r="M110" s="55"/>
      <c r="N110" s="55"/>
      <c r="O110" s="50">
        <f t="shared" si="22"/>
        <v>0</v>
      </c>
    </row>
    <row r="111" spans="1:15" x14ac:dyDescent="0.25">
      <c r="A111" s="51">
        <v>60070</v>
      </c>
      <c r="B111" s="52" t="s">
        <v>131</v>
      </c>
      <c r="C111" s="48">
        <f t="shared" si="23"/>
        <v>0</v>
      </c>
      <c r="D111" s="52" t="s">
        <v>27</v>
      </c>
      <c r="E111" s="52" t="s">
        <v>132</v>
      </c>
      <c r="I111" s="52" t="s">
        <v>133</v>
      </c>
      <c r="J111" s="55"/>
      <c r="K111" s="55"/>
      <c r="L111" s="55"/>
      <c r="M111" s="55"/>
      <c r="N111" s="55"/>
      <c r="O111" s="50">
        <f t="shared" si="22"/>
        <v>0</v>
      </c>
    </row>
    <row r="112" spans="1:15" x14ac:dyDescent="0.25">
      <c r="A112" s="51">
        <v>60041</v>
      </c>
      <c r="B112" s="52" t="s">
        <v>134</v>
      </c>
      <c r="C112" s="48">
        <f t="shared" si="23"/>
        <v>0</v>
      </c>
      <c r="D112" s="52" t="s">
        <v>27</v>
      </c>
      <c r="E112" s="52" t="s">
        <v>135</v>
      </c>
      <c r="I112" s="52" t="s">
        <v>80</v>
      </c>
      <c r="J112" s="55">
        <v>0</v>
      </c>
      <c r="K112" s="55"/>
      <c r="L112" s="55"/>
      <c r="M112" s="55"/>
      <c r="N112" s="55"/>
      <c r="O112" s="50">
        <f t="shared" si="22"/>
        <v>0</v>
      </c>
    </row>
    <row r="113" spans="1:15" x14ac:dyDescent="0.25">
      <c r="A113" s="86">
        <v>60041</v>
      </c>
      <c r="B113" s="89" t="s">
        <v>134</v>
      </c>
      <c r="C113" s="88">
        <f t="shared" si="23"/>
        <v>0</v>
      </c>
      <c r="D113" s="89" t="s">
        <v>21</v>
      </c>
      <c r="E113" s="89" t="s">
        <v>135</v>
      </c>
      <c r="I113" s="52" t="s">
        <v>136</v>
      </c>
      <c r="J113" s="55">
        <v>0</v>
      </c>
      <c r="K113" s="55"/>
      <c r="L113" s="55"/>
      <c r="M113" s="55"/>
      <c r="N113" s="55"/>
      <c r="O113" s="50">
        <f t="shared" si="22"/>
        <v>0</v>
      </c>
    </row>
    <row r="114" spans="1:15" x14ac:dyDescent="0.25">
      <c r="A114" s="51">
        <v>60070</v>
      </c>
      <c r="B114" s="52" t="s">
        <v>131</v>
      </c>
      <c r="C114" s="48">
        <f t="shared" si="23"/>
        <v>0</v>
      </c>
      <c r="D114" s="52" t="s">
        <v>27</v>
      </c>
      <c r="E114" s="52" t="s">
        <v>137</v>
      </c>
      <c r="I114" s="52" t="s">
        <v>138</v>
      </c>
      <c r="J114" s="55"/>
      <c r="K114" s="55"/>
      <c r="L114" s="55"/>
      <c r="M114" s="55"/>
      <c r="N114" s="55"/>
      <c r="O114" s="50">
        <f t="shared" si="22"/>
        <v>0</v>
      </c>
    </row>
    <row r="115" spans="1:15" x14ac:dyDescent="0.25">
      <c r="A115" s="86">
        <v>60070</v>
      </c>
      <c r="B115" s="89" t="s">
        <v>131</v>
      </c>
      <c r="C115" s="88">
        <f t="shared" si="23"/>
        <v>0</v>
      </c>
      <c r="D115" s="89" t="s">
        <v>21</v>
      </c>
      <c r="E115" s="89" t="s">
        <v>137</v>
      </c>
      <c r="I115" s="52" t="s">
        <v>139</v>
      </c>
      <c r="J115" s="55">
        <v>0</v>
      </c>
      <c r="K115" s="55"/>
      <c r="L115" s="55"/>
      <c r="M115" s="55"/>
      <c r="N115" s="55"/>
      <c r="O115" s="50">
        <f t="shared" si="22"/>
        <v>0</v>
      </c>
    </row>
    <row r="116" spans="1:15" x14ac:dyDescent="0.25">
      <c r="A116" s="51">
        <v>60070</v>
      </c>
      <c r="B116" s="52" t="s">
        <v>131</v>
      </c>
      <c r="C116" s="48">
        <f t="shared" si="23"/>
        <v>0</v>
      </c>
      <c r="D116" s="52" t="s">
        <v>27</v>
      </c>
      <c r="E116" s="52" t="s">
        <v>140</v>
      </c>
      <c r="I116" s="52" t="s">
        <v>141</v>
      </c>
      <c r="J116" s="55"/>
      <c r="K116" s="55"/>
      <c r="L116" s="55"/>
      <c r="M116" s="55"/>
      <c r="N116" s="55"/>
      <c r="O116" s="50">
        <f t="shared" si="22"/>
        <v>0</v>
      </c>
    </row>
    <row r="117" spans="1:15" x14ac:dyDescent="0.25">
      <c r="A117" s="86">
        <v>60070</v>
      </c>
      <c r="B117" s="89" t="s">
        <v>131</v>
      </c>
      <c r="C117" s="88">
        <f t="shared" si="23"/>
        <v>0</v>
      </c>
      <c r="D117" s="89" t="s">
        <v>21</v>
      </c>
      <c r="E117" s="89" t="s">
        <v>140</v>
      </c>
      <c r="I117" s="52" t="s">
        <v>142</v>
      </c>
      <c r="J117" s="55">
        <v>0</v>
      </c>
      <c r="K117" s="55"/>
      <c r="L117" s="55"/>
      <c r="M117" s="55"/>
      <c r="N117" s="55"/>
      <c r="O117" s="50">
        <f t="shared" si="22"/>
        <v>0</v>
      </c>
    </row>
    <row r="118" spans="1:15" x14ac:dyDescent="0.25">
      <c r="A118" s="51">
        <v>60070</v>
      </c>
      <c r="B118" s="52" t="s">
        <v>131</v>
      </c>
      <c r="C118" s="48">
        <f t="shared" si="23"/>
        <v>0</v>
      </c>
      <c r="D118" s="49" t="s">
        <v>9</v>
      </c>
      <c r="E118" s="52" t="s">
        <v>143</v>
      </c>
      <c r="I118" s="52" t="s">
        <v>84</v>
      </c>
      <c r="J118" s="55">
        <v>0</v>
      </c>
      <c r="K118" s="55"/>
      <c r="L118" s="55"/>
      <c r="M118" s="55"/>
      <c r="N118" s="55"/>
      <c r="O118" s="50">
        <f t="shared" si="22"/>
        <v>0</v>
      </c>
    </row>
    <row r="119" spans="1:15" x14ac:dyDescent="0.25">
      <c r="A119" s="86">
        <v>60070</v>
      </c>
      <c r="B119" s="89" t="s">
        <v>131</v>
      </c>
      <c r="C119" s="88">
        <f t="shared" si="23"/>
        <v>0</v>
      </c>
      <c r="D119" s="89" t="s">
        <v>21</v>
      </c>
      <c r="E119" s="89" t="s">
        <v>143</v>
      </c>
      <c r="I119" s="52" t="s">
        <v>144</v>
      </c>
      <c r="J119" s="55">
        <v>0</v>
      </c>
      <c r="K119" s="55"/>
      <c r="L119" s="55"/>
      <c r="M119" s="55"/>
      <c r="N119" s="55"/>
      <c r="O119" s="50">
        <f t="shared" si="22"/>
        <v>0</v>
      </c>
    </row>
    <row r="120" spans="1:15" x14ac:dyDescent="0.25">
      <c r="A120" s="81"/>
      <c r="B120" s="82"/>
      <c r="C120" s="82"/>
      <c r="D120" s="82"/>
      <c r="E120" s="82"/>
      <c r="H120" s="83" t="s">
        <v>145</v>
      </c>
      <c r="I120" s="84"/>
      <c r="J120" s="79"/>
      <c r="K120" s="79"/>
      <c r="L120" s="79"/>
      <c r="M120" s="79"/>
      <c r="N120" s="79"/>
      <c r="O120" s="79"/>
    </row>
    <row r="121" spans="1:15" x14ac:dyDescent="0.25">
      <c r="A121" s="51">
        <v>60043</v>
      </c>
      <c r="B121" s="90" t="s">
        <v>146</v>
      </c>
      <c r="C121" s="85">
        <f t="shared" ref="C121:C126" si="24">$C$1</f>
        <v>0</v>
      </c>
      <c r="D121" s="49" t="s">
        <v>9</v>
      </c>
      <c r="E121" s="52" t="s">
        <v>147</v>
      </c>
      <c r="I121" s="52" t="s">
        <v>148</v>
      </c>
      <c r="J121" s="55">
        <f>(65000*1.015*1.015)-J123</f>
        <v>60989.625</v>
      </c>
      <c r="K121" s="55"/>
      <c r="L121" s="55"/>
      <c r="M121" s="55"/>
      <c r="N121" s="55"/>
      <c r="O121" s="50">
        <f t="shared" si="22"/>
        <v>60989.625</v>
      </c>
    </row>
    <row r="122" spans="1:15" x14ac:dyDescent="0.25">
      <c r="A122" s="51">
        <v>60043</v>
      </c>
      <c r="B122" s="52" t="s">
        <v>146</v>
      </c>
      <c r="C122" s="85">
        <f t="shared" si="24"/>
        <v>0</v>
      </c>
      <c r="D122" s="49" t="s">
        <v>9</v>
      </c>
      <c r="E122" s="52" t="s">
        <v>147</v>
      </c>
      <c r="I122" s="52" t="s">
        <v>149</v>
      </c>
      <c r="J122" s="55">
        <f>(22.25*8*190)*(J48+J49)</f>
        <v>0</v>
      </c>
      <c r="K122" s="55"/>
      <c r="L122" s="55"/>
      <c r="M122" s="55"/>
      <c r="N122" s="55"/>
      <c r="O122" s="50">
        <f t="shared" si="22"/>
        <v>0</v>
      </c>
    </row>
    <row r="123" spans="1:15" x14ac:dyDescent="0.25">
      <c r="A123" s="86">
        <v>60043</v>
      </c>
      <c r="B123" s="91" t="s">
        <v>146</v>
      </c>
      <c r="C123" s="89">
        <f t="shared" si="24"/>
        <v>0</v>
      </c>
      <c r="D123" s="89" t="s">
        <v>21</v>
      </c>
      <c r="E123" s="89" t="s">
        <v>147</v>
      </c>
      <c r="I123" s="52" t="s">
        <v>150</v>
      </c>
      <c r="J123" s="55">
        <v>5975</v>
      </c>
      <c r="K123" s="55"/>
      <c r="L123" s="55"/>
      <c r="M123" s="55"/>
      <c r="N123" s="55"/>
      <c r="O123" s="50">
        <f t="shared" si="22"/>
        <v>5975</v>
      </c>
    </row>
    <row r="124" spans="1:15" x14ac:dyDescent="0.25">
      <c r="A124" s="51">
        <v>60043</v>
      </c>
      <c r="B124" s="52" t="s">
        <v>146</v>
      </c>
      <c r="C124" s="85">
        <f t="shared" si="24"/>
        <v>0</v>
      </c>
      <c r="D124" s="52" t="s">
        <v>24</v>
      </c>
      <c r="E124" s="52" t="s">
        <v>147</v>
      </c>
      <c r="I124" s="52" t="s">
        <v>151</v>
      </c>
      <c r="J124" s="55"/>
      <c r="K124" s="55"/>
      <c r="L124" s="55"/>
      <c r="M124" s="55"/>
      <c r="N124" s="55"/>
      <c r="O124" s="50">
        <f t="shared" si="22"/>
        <v>0</v>
      </c>
    </row>
    <row r="125" spans="1:15" x14ac:dyDescent="0.25">
      <c r="A125" s="51">
        <v>60043</v>
      </c>
      <c r="B125" s="52" t="s">
        <v>146</v>
      </c>
      <c r="C125" s="85">
        <f t="shared" si="24"/>
        <v>0</v>
      </c>
      <c r="D125" s="49" t="s">
        <v>9</v>
      </c>
      <c r="E125" s="52" t="s">
        <v>147</v>
      </c>
      <c r="I125" s="52" t="s">
        <v>152</v>
      </c>
      <c r="J125" s="55"/>
      <c r="K125" s="55"/>
      <c r="L125" s="55"/>
      <c r="M125" s="55"/>
      <c r="N125" s="55"/>
      <c r="O125" s="50">
        <f t="shared" si="22"/>
        <v>0</v>
      </c>
    </row>
    <row r="126" spans="1:15" x14ac:dyDescent="0.25">
      <c r="A126" s="51">
        <v>60043</v>
      </c>
      <c r="B126" s="52" t="s">
        <v>146</v>
      </c>
      <c r="C126" s="85">
        <f t="shared" si="24"/>
        <v>0</v>
      </c>
      <c r="D126" s="52" t="s">
        <v>36</v>
      </c>
      <c r="E126" s="52" t="s">
        <v>147</v>
      </c>
      <c r="I126" s="52" t="s">
        <v>153</v>
      </c>
      <c r="J126" s="55">
        <v>0</v>
      </c>
      <c r="K126" s="55"/>
      <c r="L126" s="55"/>
      <c r="M126" s="55"/>
      <c r="N126" s="55"/>
      <c r="O126" s="50">
        <f t="shared" si="22"/>
        <v>0</v>
      </c>
    </row>
    <row r="127" spans="1:15" x14ac:dyDescent="0.25">
      <c r="A127" s="81"/>
      <c r="B127" s="82"/>
      <c r="C127" s="82"/>
      <c r="D127" s="82"/>
      <c r="E127" s="82"/>
      <c r="H127" s="83" t="s">
        <v>154</v>
      </c>
      <c r="I127" s="84"/>
      <c r="J127" s="79"/>
      <c r="K127" s="79"/>
      <c r="L127" s="79"/>
      <c r="M127" s="79"/>
      <c r="N127" s="79"/>
      <c r="O127" s="79"/>
    </row>
    <row r="128" spans="1:15" x14ac:dyDescent="0.25">
      <c r="A128" s="51">
        <v>60043</v>
      </c>
      <c r="B128" s="52" t="s">
        <v>146</v>
      </c>
      <c r="C128" s="85">
        <f>$C$1</f>
        <v>0</v>
      </c>
      <c r="D128" s="49" t="s">
        <v>9</v>
      </c>
      <c r="E128" s="52" t="s">
        <v>147</v>
      </c>
      <c r="I128" s="52" t="s">
        <v>155</v>
      </c>
      <c r="J128" s="55">
        <f>(20*8*240)*J51</f>
        <v>0</v>
      </c>
      <c r="K128" s="55"/>
      <c r="L128" s="55"/>
      <c r="M128" s="55"/>
      <c r="N128" s="55"/>
      <c r="O128" s="50">
        <f t="shared" si="22"/>
        <v>0</v>
      </c>
    </row>
    <row r="129" spans="1:15" x14ac:dyDescent="0.25">
      <c r="A129" s="51">
        <v>60070</v>
      </c>
      <c r="B129" s="52" t="s">
        <v>131</v>
      </c>
      <c r="C129" s="85">
        <f>$C$1</f>
        <v>0</v>
      </c>
      <c r="D129" s="49" t="s">
        <v>9</v>
      </c>
      <c r="E129" s="52" t="s">
        <v>156</v>
      </c>
      <c r="I129" s="57" t="s">
        <v>157</v>
      </c>
      <c r="J129" s="58"/>
      <c r="K129" s="58"/>
      <c r="L129" s="58"/>
      <c r="M129" s="58"/>
      <c r="N129" s="58"/>
      <c r="O129" s="50">
        <f t="shared" si="22"/>
        <v>0</v>
      </c>
    </row>
    <row r="130" spans="1:15" x14ac:dyDescent="0.25">
      <c r="A130" s="86">
        <v>60070</v>
      </c>
      <c r="B130" s="89" t="s">
        <v>131</v>
      </c>
      <c r="C130" s="89">
        <f>$C$1</f>
        <v>0</v>
      </c>
      <c r="D130" s="89" t="s">
        <v>21</v>
      </c>
      <c r="E130" s="89" t="s">
        <v>156</v>
      </c>
      <c r="I130" s="57" t="s">
        <v>158</v>
      </c>
      <c r="J130" s="55">
        <v>0</v>
      </c>
      <c r="K130" s="55"/>
      <c r="L130" s="55"/>
      <c r="M130" s="55"/>
      <c r="N130" s="55"/>
      <c r="O130" s="50">
        <f t="shared" si="22"/>
        <v>0</v>
      </c>
    </row>
    <row r="131" spans="1:15" x14ac:dyDescent="0.25">
      <c r="A131" s="81"/>
      <c r="B131" s="82"/>
      <c r="C131" s="82"/>
      <c r="D131" s="82"/>
      <c r="E131" s="82"/>
      <c r="H131" s="83" t="s">
        <v>159</v>
      </c>
      <c r="I131" s="84"/>
      <c r="J131" s="79"/>
      <c r="K131" s="79"/>
      <c r="L131" s="79"/>
      <c r="M131" s="79"/>
      <c r="N131" s="79"/>
      <c r="O131" s="79"/>
    </row>
    <row r="132" spans="1:15" x14ac:dyDescent="0.25">
      <c r="A132" s="51">
        <v>60070</v>
      </c>
      <c r="B132" s="52" t="s">
        <v>131</v>
      </c>
      <c r="C132" s="85">
        <f>$C$1</f>
        <v>0</v>
      </c>
      <c r="D132" s="52" t="s">
        <v>39</v>
      </c>
      <c r="E132" s="52" t="s">
        <v>160</v>
      </c>
      <c r="I132" s="52" t="s">
        <v>161</v>
      </c>
      <c r="J132" s="55">
        <f>(24*8*200)*J52</f>
        <v>0</v>
      </c>
      <c r="K132" s="55"/>
      <c r="L132" s="55">
        <f>(48000*1.015*1.015)-L133</f>
        <v>46279.799999999988</v>
      </c>
      <c r="M132" s="55"/>
      <c r="N132" s="55"/>
      <c r="O132" s="50">
        <f t="shared" si="22"/>
        <v>46279.799999999988</v>
      </c>
    </row>
    <row r="133" spans="1:15" x14ac:dyDescent="0.25">
      <c r="A133" s="86">
        <v>60070</v>
      </c>
      <c r="B133" s="89" t="s">
        <v>131</v>
      </c>
      <c r="C133" s="89">
        <f>$C$1</f>
        <v>0</v>
      </c>
      <c r="D133" s="89" t="s">
        <v>21</v>
      </c>
      <c r="E133" s="89" t="s">
        <v>160</v>
      </c>
      <c r="I133" s="52" t="s">
        <v>162</v>
      </c>
      <c r="J133" s="55">
        <v>0</v>
      </c>
      <c r="K133" s="55"/>
      <c r="L133" s="55">
        <v>3171</v>
      </c>
      <c r="M133" s="55"/>
      <c r="N133" s="55"/>
      <c r="O133" s="50">
        <f t="shared" si="22"/>
        <v>3171</v>
      </c>
    </row>
    <row r="134" spans="1:15" x14ac:dyDescent="0.25">
      <c r="A134" s="92" t="s">
        <v>5</v>
      </c>
      <c r="B134" s="92" t="s">
        <v>91</v>
      </c>
      <c r="C134" s="92" t="s">
        <v>92</v>
      </c>
      <c r="D134" s="92" t="s">
        <v>4</v>
      </c>
      <c r="E134" s="92" t="s">
        <v>93</v>
      </c>
      <c r="H134" s="115" t="s">
        <v>163</v>
      </c>
      <c r="I134" s="94"/>
      <c r="J134" s="92">
        <f>SUM(J94:J133)</f>
        <v>270434.0625</v>
      </c>
      <c r="K134" s="92">
        <f t="shared" ref="K134:O134" si="25">SUM(K94:K133)</f>
        <v>0</v>
      </c>
      <c r="L134" s="92">
        <f t="shared" si="25"/>
        <v>49450.799999999988</v>
      </c>
      <c r="M134" s="92">
        <f t="shared" si="25"/>
        <v>0</v>
      </c>
      <c r="N134" s="92">
        <f t="shared" si="25"/>
        <v>0</v>
      </c>
      <c r="O134" s="92">
        <f t="shared" si="25"/>
        <v>319884.86249999999</v>
      </c>
    </row>
    <row r="135" spans="1:15" x14ac:dyDescent="0.25">
      <c r="A135" s="46">
        <v>60503</v>
      </c>
      <c r="B135" s="49" t="s">
        <v>164</v>
      </c>
      <c r="C135" s="85">
        <f t="shared" ref="C135:C152" si="26">$C$1</f>
        <v>0</v>
      </c>
      <c r="D135" s="49" t="s">
        <v>9</v>
      </c>
      <c r="E135" s="49" t="s">
        <v>165</v>
      </c>
      <c r="I135" s="49" t="s">
        <v>166</v>
      </c>
      <c r="J135" s="55">
        <f>SUMIF($D$94:$D$133,D135,$J$94:$J$133)*0.3775</f>
        <v>99088.111093750005</v>
      </c>
      <c r="K135" s="55">
        <f>SUMIF($D$94:$D$133,D135,$K$94:$K$133)*0.3675</f>
        <v>0</v>
      </c>
      <c r="L135" s="55">
        <f>SUMIF($D$94:$D$133,D135,$L$94:$L$133)*0.3675</f>
        <v>0</v>
      </c>
      <c r="M135" s="55">
        <f>SUMIF($D$94:$D$133,D135,$M$94:$M$133)*0.3675</f>
        <v>0</v>
      </c>
      <c r="N135" s="55">
        <f>SUMIF($D$94:$D$133,D135,$N$94:$N$133)*0.3675</f>
        <v>0</v>
      </c>
      <c r="O135" s="50">
        <f>SUM(J135:N135)</f>
        <v>99088.111093750005</v>
      </c>
    </row>
    <row r="136" spans="1:15" x14ac:dyDescent="0.25">
      <c r="A136" s="97">
        <v>60503</v>
      </c>
      <c r="B136" s="88" t="s">
        <v>164</v>
      </c>
      <c r="C136" s="89">
        <f t="shared" si="26"/>
        <v>0</v>
      </c>
      <c r="D136" s="89" t="s">
        <v>18</v>
      </c>
      <c r="E136" s="88" t="s">
        <v>165</v>
      </c>
      <c r="I136" s="52" t="s">
        <v>167</v>
      </c>
      <c r="J136" s="55">
        <f t="shared" ref="J136:J141" si="27">SUMIF($D$94:$D$133,D136,$J$94:$J$133)*0.3675</f>
        <v>0</v>
      </c>
      <c r="K136" s="55">
        <f t="shared" ref="K136:K141" si="28">SUMIF($D$94:$D$133,D136,$K$94:$K$133)*0.3675</f>
        <v>0</v>
      </c>
      <c r="L136" s="55">
        <f t="shared" ref="L136:L140" si="29">SUMIF($D$94:$D$133,D136,$L$94:$L$133)*0.3675</f>
        <v>0</v>
      </c>
      <c r="M136" s="55">
        <f t="shared" ref="M136:M141" si="30">SUMIF($D$94:$D$133,D136,$M$94:$M$133)*0.3675</f>
        <v>0</v>
      </c>
      <c r="N136" s="55">
        <f t="shared" ref="N136:N141" si="31">SUMIF($D$94:$D$133,D136,$N$94:$N$133)*0.3675</f>
        <v>0</v>
      </c>
      <c r="O136" s="50">
        <f t="shared" si="22"/>
        <v>0</v>
      </c>
    </row>
    <row r="137" spans="1:15" x14ac:dyDescent="0.25">
      <c r="A137" s="97">
        <v>60503</v>
      </c>
      <c r="B137" s="88" t="s">
        <v>164</v>
      </c>
      <c r="C137" s="89">
        <f t="shared" si="26"/>
        <v>0</v>
      </c>
      <c r="D137" s="89" t="s">
        <v>21</v>
      </c>
      <c r="E137" s="88" t="s">
        <v>165</v>
      </c>
      <c r="I137" s="52" t="s">
        <v>168</v>
      </c>
      <c r="J137" s="55">
        <f>SUMIF($D$94:$D$133,D137,$J$94:$J$133)*0.3775</f>
        <v>3000.7474999999999</v>
      </c>
      <c r="K137" s="55">
        <f t="shared" si="28"/>
        <v>0</v>
      </c>
      <c r="L137" s="55">
        <f>SUMIF($D$94:$D$133,D137,$L$94:$L$133)*0.3775</f>
        <v>1197.0525</v>
      </c>
      <c r="M137" s="55">
        <f t="shared" si="30"/>
        <v>0</v>
      </c>
      <c r="N137" s="55">
        <f t="shared" si="31"/>
        <v>0</v>
      </c>
      <c r="O137" s="50">
        <f t="shared" si="22"/>
        <v>4197.8</v>
      </c>
    </row>
    <row r="138" spans="1:15" x14ac:dyDescent="0.25">
      <c r="A138" s="46">
        <v>60503</v>
      </c>
      <c r="B138" s="49" t="s">
        <v>164</v>
      </c>
      <c r="C138" s="85">
        <f t="shared" si="26"/>
        <v>0</v>
      </c>
      <c r="D138" s="52" t="s">
        <v>24</v>
      </c>
      <c r="E138" s="49" t="s">
        <v>165</v>
      </c>
      <c r="I138" s="49" t="s">
        <v>169</v>
      </c>
      <c r="J138" s="55">
        <f t="shared" si="27"/>
        <v>0</v>
      </c>
      <c r="K138" s="55">
        <f t="shared" si="28"/>
        <v>0</v>
      </c>
      <c r="L138" s="55">
        <f t="shared" si="29"/>
        <v>0</v>
      </c>
      <c r="M138" s="55">
        <f t="shared" si="30"/>
        <v>0</v>
      </c>
      <c r="N138" s="55">
        <f t="shared" si="31"/>
        <v>0</v>
      </c>
      <c r="O138" s="50">
        <f t="shared" si="22"/>
        <v>0</v>
      </c>
    </row>
    <row r="139" spans="1:15" x14ac:dyDescent="0.25">
      <c r="A139" s="46">
        <v>60503</v>
      </c>
      <c r="B139" s="49" t="s">
        <v>164</v>
      </c>
      <c r="C139" s="85">
        <f t="shared" si="26"/>
        <v>0</v>
      </c>
      <c r="D139" s="52" t="s">
        <v>27</v>
      </c>
      <c r="E139" s="49" t="s">
        <v>165</v>
      </c>
      <c r="I139" s="49" t="s">
        <v>170</v>
      </c>
      <c r="J139" s="55">
        <f t="shared" si="27"/>
        <v>0</v>
      </c>
      <c r="K139" s="55">
        <f t="shared" si="28"/>
        <v>0</v>
      </c>
      <c r="L139" s="55">
        <f t="shared" si="29"/>
        <v>0</v>
      </c>
      <c r="M139" s="55">
        <f t="shared" si="30"/>
        <v>0</v>
      </c>
      <c r="N139" s="55">
        <f t="shared" si="31"/>
        <v>0</v>
      </c>
      <c r="O139" s="50">
        <f t="shared" si="22"/>
        <v>0</v>
      </c>
    </row>
    <row r="140" spans="1:15" x14ac:dyDescent="0.25">
      <c r="A140" s="46">
        <v>60503</v>
      </c>
      <c r="B140" s="49" t="s">
        <v>164</v>
      </c>
      <c r="C140" s="85">
        <f t="shared" si="26"/>
        <v>0</v>
      </c>
      <c r="D140" s="52" t="s">
        <v>36</v>
      </c>
      <c r="E140" s="49" t="s">
        <v>165</v>
      </c>
      <c r="I140" s="49" t="s">
        <v>171</v>
      </c>
      <c r="J140" s="55">
        <f t="shared" si="27"/>
        <v>0</v>
      </c>
      <c r="K140" s="55">
        <f t="shared" si="28"/>
        <v>0</v>
      </c>
      <c r="L140" s="55">
        <f t="shared" si="29"/>
        <v>0</v>
      </c>
      <c r="M140" s="55">
        <f t="shared" si="30"/>
        <v>0</v>
      </c>
      <c r="N140" s="55">
        <f t="shared" si="31"/>
        <v>0</v>
      </c>
      <c r="O140" s="50">
        <f t="shared" si="22"/>
        <v>0</v>
      </c>
    </row>
    <row r="141" spans="1:15" x14ac:dyDescent="0.25">
      <c r="A141" s="46">
        <v>60503</v>
      </c>
      <c r="B141" s="49" t="s">
        <v>164</v>
      </c>
      <c r="C141" s="85">
        <f t="shared" si="26"/>
        <v>0</v>
      </c>
      <c r="D141" s="52" t="s">
        <v>39</v>
      </c>
      <c r="E141" s="49" t="s">
        <v>165</v>
      </c>
      <c r="I141" s="49" t="s">
        <v>172</v>
      </c>
      <c r="J141" s="55">
        <f t="shared" si="27"/>
        <v>0</v>
      </c>
      <c r="K141" s="55">
        <f t="shared" si="28"/>
        <v>0</v>
      </c>
      <c r="L141" s="55">
        <f>SUMIF($D$94:$D$133,D141,$L$94:$L$133)*0.3775</f>
        <v>17470.624499999994</v>
      </c>
      <c r="M141" s="55">
        <f t="shared" si="30"/>
        <v>0</v>
      </c>
      <c r="N141" s="55">
        <f t="shared" si="31"/>
        <v>0</v>
      </c>
      <c r="O141" s="50">
        <f t="shared" si="22"/>
        <v>17470.624499999994</v>
      </c>
    </row>
    <row r="142" spans="1:15" x14ac:dyDescent="0.25">
      <c r="A142" s="51">
        <v>61012</v>
      </c>
      <c r="B142" s="49" t="s">
        <v>173</v>
      </c>
      <c r="C142" s="85">
        <f t="shared" si="26"/>
        <v>0</v>
      </c>
      <c r="D142" s="49" t="s">
        <v>9</v>
      </c>
      <c r="E142" s="49" t="s">
        <v>165</v>
      </c>
      <c r="I142" s="52" t="s">
        <v>174</v>
      </c>
      <c r="J142" s="55">
        <f>SUMIF($D$94:$D$132,D142,$J$94:$J$133)*0.14+SUMIF($D$94:$D$132,D144,$J$94:$J$133)*0.14</f>
        <v>37860.768750000003</v>
      </c>
      <c r="K142" s="55">
        <f>SUMIF($D$94:$D$132,D142,$K$94:$K$133)*0.13</f>
        <v>0</v>
      </c>
      <c r="L142" s="55">
        <f>SUMIF($D$94:$D$133,D142,$L$94:$L$133)*0.13</f>
        <v>0</v>
      </c>
      <c r="M142" s="55">
        <f>SUMIF($D$94:$D$132,D142,$M$94:$M$133)*0.13</f>
        <v>0</v>
      </c>
      <c r="N142" s="55">
        <f>SUMIF($D$94:$D$132,D142,$N$94:$N$133)*0.13</f>
        <v>0</v>
      </c>
      <c r="O142" s="50">
        <f t="shared" si="22"/>
        <v>37860.768750000003</v>
      </c>
    </row>
    <row r="143" spans="1:15" x14ac:dyDescent="0.25">
      <c r="A143" s="86">
        <v>61012</v>
      </c>
      <c r="B143" s="89" t="s">
        <v>173</v>
      </c>
      <c r="C143" s="89">
        <f>$C$1</f>
        <v>0</v>
      </c>
      <c r="D143" s="89" t="s">
        <v>18</v>
      </c>
      <c r="E143" s="89" t="s">
        <v>165</v>
      </c>
      <c r="I143" s="52" t="s">
        <v>175</v>
      </c>
      <c r="J143" s="55">
        <f t="shared" ref="J143:J148" si="32">SUMIF($D$94:$D$132,D143,$J$94:$J$133)*0.13</f>
        <v>0</v>
      </c>
      <c r="K143" s="55">
        <f t="shared" ref="K143:K148" si="33">SUMIF($D$94:$D$132,D143,$K$94:$K$133)*0.13</f>
        <v>0</v>
      </c>
      <c r="L143" s="55">
        <f t="shared" ref="L143:L147" si="34">SUMIF($D$94:$D$132,D143,$L$94:$L$133)*0.13</f>
        <v>0</v>
      </c>
      <c r="M143" s="55">
        <f t="shared" ref="M143:M148" si="35">SUMIF($D$94:$D$132,D143,$M$94:$M$133)*0.13</f>
        <v>0</v>
      </c>
      <c r="N143" s="55">
        <f t="shared" ref="N143:N148" si="36">SUMIF($D$94:$D$132,D143,$N$94:$N$133)*0.13</f>
        <v>0</v>
      </c>
      <c r="O143" s="50">
        <f t="shared" si="22"/>
        <v>0</v>
      </c>
    </row>
    <row r="144" spans="1:15" x14ac:dyDescent="0.25">
      <c r="A144" s="86">
        <v>61012</v>
      </c>
      <c r="B144" s="89" t="s">
        <v>173</v>
      </c>
      <c r="C144" s="89">
        <f>$C$1</f>
        <v>0</v>
      </c>
      <c r="D144" s="89" t="s">
        <v>21</v>
      </c>
      <c r="E144" s="89" t="s">
        <v>165</v>
      </c>
      <c r="I144" s="52" t="s">
        <v>176</v>
      </c>
      <c r="J144" s="55">
        <f>SUMIF($D$94:$D$133,D144,$J$94:$J$133)*0.13*0</f>
        <v>0</v>
      </c>
      <c r="K144" s="55">
        <f>SUMIF($D$94:$D$133,D144,$K$94:$K$133)*0.13</f>
        <v>0</v>
      </c>
      <c r="L144" s="55">
        <f>SUMIF($D$94:$D$133,D144,$L$94:$L$133)*0.13*0</f>
        <v>0</v>
      </c>
      <c r="M144" s="55">
        <f>SUMIF($D$94:$D$133,D144,$M$94:$M$133)*0.13</f>
        <v>0</v>
      </c>
      <c r="N144" s="55">
        <f>SUMIF($D$94:$D$133,D144,$N$94:$N$133)*0.13</f>
        <v>0</v>
      </c>
      <c r="O144" s="50">
        <f t="shared" si="22"/>
        <v>0</v>
      </c>
    </row>
    <row r="145" spans="1:16" x14ac:dyDescent="0.25">
      <c r="A145" s="51">
        <v>61012</v>
      </c>
      <c r="B145" s="49" t="s">
        <v>173</v>
      </c>
      <c r="C145" s="85">
        <f t="shared" si="26"/>
        <v>0</v>
      </c>
      <c r="D145" s="52" t="s">
        <v>24</v>
      </c>
      <c r="E145" s="49" t="s">
        <v>165</v>
      </c>
      <c r="I145" s="52" t="s">
        <v>177</v>
      </c>
      <c r="J145" s="55">
        <f t="shared" si="32"/>
        <v>0</v>
      </c>
      <c r="K145" s="55">
        <f t="shared" si="33"/>
        <v>0</v>
      </c>
      <c r="L145" s="55">
        <f t="shared" si="34"/>
        <v>0</v>
      </c>
      <c r="M145" s="55">
        <f t="shared" si="35"/>
        <v>0</v>
      </c>
      <c r="N145" s="55">
        <f t="shared" si="36"/>
        <v>0</v>
      </c>
      <c r="O145" s="50">
        <f t="shared" si="22"/>
        <v>0</v>
      </c>
    </row>
    <row r="146" spans="1:16" x14ac:dyDescent="0.25">
      <c r="A146" s="51">
        <v>61012</v>
      </c>
      <c r="B146" s="49" t="s">
        <v>173</v>
      </c>
      <c r="C146" s="85">
        <f t="shared" si="26"/>
        <v>0</v>
      </c>
      <c r="D146" s="52" t="s">
        <v>27</v>
      </c>
      <c r="E146" s="49" t="s">
        <v>165</v>
      </c>
      <c r="I146" s="52" t="s">
        <v>178</v>
      </c>
      <c r="J146" s="55">
        <f t="shared" si="32"/>
        <v>0</v>
      </c>
      <c r="K146" s="55">
        <f t="shared" si="33"/>
        <v>0</v>
      </c>
      <c r="L146" s="55">
        <f t="shared" si="34"/>
        <v>0</v>
      </c>
      <c r="M146" s="55">
        <f t="shared" si="35"/>
        <v>0</v>
      </c>
      <c r="N146" s="55">
        <f t="shared" si="36"/>
        <v>0</v>
      </c>
      <c r="O146" s="50">
        <f t="shared" si="22"/>
        <v>0</v>
      </c>
    </row>
    <row r="147" spans="1:16" x14ac:dyDescent="0.25">
      <c r="A147" s="51">
        <v>61012</v>
      </c>
      <c r="B147" s="49" t="s">
        <v>173</v>
      </c>
      <c r="C147" s="85">
        <f t="shared" si="26"/>
        <v>0</v>
      </c>
      <c r="D147" s="52" t="s">
        <v>36</v>
      </c>
      <c r="E147" s="49" t="s">
        <v>165</v>
      </c>
      <c r="I147" s="52" t="s">
        <v>179</v>
      </c>
      <c r="J147" s="55">
        <f t="shared" si="32"/>
        <v>0</v>
      </c>
      <c r="K147" s="55">
        <f t="shared" si="33"/>
        <v>0</v>
      </c>
      <c r="L147" s="55">
        <f t="shared" si="34"/>
        <v>0</v>
      </c>
      <c r="M147" s="55">
        <f t="shared" si="35"/>
        <v>0</v>
      </c>
      <c r="N147" s="55">
        <f t="shared" si="36"/>
        <v>0</v>
      </c>
      <c r="O147" s="50">
        <f t="shared" si="22"/>
        <v>0</v>
      </c>
    </row>
    <row r="148" spans="1:16" x14ac:dyDescent="0.25">
      <c r="A148" s="51">
        <v>61012</v>
      </c>
      <c r="B148" s="49" t="s">
        <v>173</v>
      </c>
      <c r="C148" s="85">
        <f t="shared" si="26"/>
        <v>0</v>
      </c>
      <c r="D148" s="52" t="s">
        <v>39</v>
      </c>
      <c r="E148" s="49" t="s">
        <v>165</v>
      </c>
      <c r="I148" s="52" t="s">
        <v>180</v>
      </c>
      <c r="J148" s="55">
        <f t="shared" si="32"/>
        <v>0</v>
      </c>
      <c r="K148" s="55">
        <f t="shared" si="33"/>
        <v>0</v>
      </c>
      <c r="L148" s="55">
        <f>SUMIF($D$94:$D$132,D148,$L$94:$L$133)*0.14+SUMIF($D$94:$D$133,D144,$L$94:$L$133)*0.14</f>
        <v>6923.1119999999992</v>
      </c>
      <c r="M148" s="55">
        <f t="shared" si="35"/>
        <v>0</v>
      </c>
      <c r="N148" s="55">
        <f t="shared" si="36"/>
        <v>0</v>
      </c>
      <c r="O148" s="50">
        <f t="shared" si="22"/>
        <v>6923.1119999999992</v>
      </c>
    </row>
    <row r="149" spans="1:16" x14ac:dyDescent="0.25">
      <c r="A149" s="51">
        <v>60037</v>
      </c>
      <c r="B149" s="52" t="s">
        <v>181</v>
      </c>
      <c r="C149" s="85">
        <f t="shared" si="26"/>
        <v>0</v>
      </c>
      <c r="D149" s="49" t="s">
        <v>9</v>
      </c>
      <c r="E149" s="49" t="s">
        <v>165</v>
      </c>
      <c r="I149" s="52" t="s">
        <v>182</v>
      </c>
      <c r="J149" s="55">
        <f>(J39*2500)*0+(J40*2000)*0+(J42*1750)+(SUM(J44:J47)*1750)+(SUM(J48:J49)*500)+(SUM(J51:J53)*500)+(SUM(J57:J60)*500)</f>
        <v>3500</v>
      </c>
      <c r="K149" s="55">
        <f t="shared" ref="K149:N149" si="37">(K39*2500)*0+(K40*2000)*0+(K42*1750)+(SUM(K44:K47)*1750)+(SUM(K48:K49)*500)+(SUM(K51:K53)*500)+(SUM(K57:K60)*500)</f>
        <v>0</v>
      </c>
      <c r="L149" s="55">
        <f t="shared" si="37"/>
        <v>500</v>
      </c>
      <c r="M149" s="55">
        <f t="shared" si="37"/>
        <v>0</v>
      </c>
      <c r="N149" s="55">
        <f t="shared" si="37"/>
        <v>0</v>
      </c>
      <c r="O149" s="50">
        <f t="shared" si="22"/>
        <v>4000</v>
      </c>
    </row>
    <row r="150" spans="1:16" x14ac:dyDescent="0.25">
      <c r="A150" s="51">
        <v>60037</v>
      </c>
      <c r="B150" s="52" t="s">
        <v>181</v>
      </c>
      <c r="C150" s="85">
        <f t="shared" si="26"/>
        <v>0</v>
      </c>
      <c r="D150" s="49" t="s">
        <v>9</v>
      </c>
      <c r="E150" s="49" t="s">
        <v>165</v>
      </c>
      <c r="I150" s="52" t="s">
        <v>183</v>
      </c>
      <c r="J150" s="55">
        <f>(J39+J40+J42+J44+J45+J46+J47+J48+J49+J51+J52+J53+J57+J58+J59+J60)*125+125*3</f>
        <v>750</v>
      </c>
      <c r="K150" s="55">
        <f>(K39+K40+K42+K44+K45+K46+K47+K48+K49+K51+K52+K53+K57+K58+K59+K60)*125</f>
        <v>0</v>
      </c>
      <c r="L150" s="55">
        <f t="shared" ref="L150:N150" si="38">(L39+L40+L42+L44+L45+L46+L47+L48+L49+L51+L52+L53+L57+L58+L59+L60)*125</f>
        <v>125</v>
      </c>
      <c r="M150" s="55">
        <f t="shared" si="38"/>
        <v>0</v>
      </c>
      <c r="N150" s="55">
        <f t="shared" si="38"/>
        <v>0</v>
      </c>
      <c r="O150" s="50">
        <f t="shared" si="22"/>
        <v>875</v>
      </c>
    </row>
    <row r="151" spans="1:16" x14ac:dyDescent="0.25">
      <c r="A151" s="51">
        <v>60037</v>
      </c>
      <c r="B151" s="52" t="s">
        <v>181</v>
      </c>
      <c r="C151" s="85">
        <f t="shared" si="26"/>
        <v>0</v>
      </c>
      <c r="D151" s="49" t="s">
        <v>9</v>
      </c>
      <c r="E151" s="49" t="s">
        <v>165</v>
      </c>
      <c r="I151" s="52" t="s">
        <v>184</v>
      </c>
      <c r="J151" s="55"/>
      <c r="K151" s="55"/>
      <c r="L151" s="55"/>
      <c r="M151" s="55"/>
      <c r="N151" s="55"/>
      <c r="O151" s="50">
        <f t="shared" si="22"/>
        <v>0</v>
      </c>
    </row>
    <row r="152" spans="1:16" x14ac:dyDescent="0.25">
      <c r="A152" s="56">
        <v>61251</v>
      </c>
      <c r="B152" s="57" t="s">
        <v>185</v>
      </c>
      <c r="C152" s="85">
        <f t="shared" si="26"/>
        <v>0</v>
      </c>
      <c r="D152" s="49" t="s">
        <v>9</v>
      </c>
      <c r="E152" s="52" t="s">
        <v>186</v>
      </c>
      <c r="I152" s="57" t="s">
        <v>187</v>
      </c>
      <c r="J152" s="58"/>
      <c r="K152" s="58"/>
      <c r="L152" s="58"/>
      <c r="M152" s="58"/>
      <c r="N152" s="58"/>
      <c r="O152" s="50">
        <f t="shared" si="22"/>
        <v>0</v>
      </c>
    </row>
    <row r="153" spans="1:16" x14ac:dyDescent="0.25">
      <c r="A153" s="98"/>
      <c r="B153" s="98"/>
      <c r="C153" s="98"/>
      <c r="D153" s="98"/>
      <c r="E153" s="98"/>
      <c r="F153" s="96"/>
      <c r="H153" s="93" t="s">
        <v>188</v>
      </c>
      <c r="I153" s="94"/>
      <c r="J153" s="92">
        <f t="shared" ref="J153:O153" si="39">SUM(J135:J152)</f>
        <v>144199.62734375001</v>
      </c>
      <c r="K153" s="92">
        <f t="shared" si="39"/>
        <v>0</v>
      </c>
      <c r="L153" s="92">
        <f t="shared" si="39"/>
        <v>26215.788999999997</v>
      </c>
      <c r="M153" s="92">
        <f t="shared" si="39"/>
        <v>0</v>
      </c>
      <c r="N153" s="92">
        <f t="shared" si="39"/>
        <v>0</v>
      </c>
      <c r="O153" s="92">
        <f t="shared" si="39"/>
        <v>170415.41634375</v>
      </c>
      <c r="P153" s="96"/>
    </row>
    <row r="154" spans="1:16" ht="16.5" thickBot="1" x14ac:dyDescent="0.3">
      <c r="J154" s="99"/>
      <c r="K154" s="99"/>
      <c r="L154" s="99"/>
      <c r="M154" s="99"/>
      <c r="N154" s="99"/>
      <c r="O154" s="99"/>
    </row>
    <row r="155" spans="1:16" ht="16.5" thickBot="1" x14ac:dyDescent="0.3">
      <c r="A155" s="68" t="s">
        <v>5</v>
      </c>
      <c r="B155" s="68" t="s">
        <v>91</v>
      </c>
      <c r="C155" s="68" t="s">
        <v>92</v>
      </c>
      <c r="D155" s="68" t="s">
        <v>4</v>
      </c>
      <c r="E155" s="68" t="s">
        <v>93</v>
      </c>
      <c r="H155" s="100" t="s">
        <v>189</v>
      </c>
      <c r="I155" s="82"/>
      <c r="J155" s="101" t="str">
        <f>J20</f>
        <v>Operating</v>
      </c>
      <c r="K155" s="101" t="str">
        <f t="shared" ref="K155:O155" si="40">K20</f>
        <v>SPED</v>
      </c>
      <c r="L155" s="101" t="str">
        <f t="shared" si="40"/>
        <v>NSLP</v>
      </c>
      <c r="M155" s="101" t="str">
        <f t="shared" si="40"/>
        <v>Title(s)</v>
      </c>
      <c r="N155" s="101" t="str">
        <f t="shared" si="40"/>
        <v>Other</v>
      </c>
      <c r="O155" s="101" t="str">
        <f t="shared" si="40"/>
        <v>Total</v>
      </c>
    </row>
    <row r="156" spans="1:16" x14ac:dyDescent="0.25">
      <c r="A156" s="73"/>
      <c r="B156" s="74"/>
      <c r="C156" s="74"/>
      <c r="D156" s="74"/>
      <c r="E156" s="74"/>
      <c r="H156" s="77" t="s">
        <v>190</v>
      </c>
      <c r="I156" s="78"/>
      <c r="J156" s="79"/>
      <c r="K156" s="79"/>
      <c r="L156" s="79"/>
      <c r="M156" s="79"/>
      <c r="N156" s="79"/>
      <c r="O156" s="79"/>
    </row>
    <row r="157" spans="1:16" x14ac:dyDescent="0.25">
      <c r="A157" s="51">
        <v>60010</v>
      </c>
      <c r="B157" s="49" t="s">
        <v>191</v>
      </c>
      <c r="C157" s="85">
        <f t="shared" ref="C157:C167" si="41">$C$1</f>
        <v>0</v>
      </c>
      <c r="D157" s="49" t="s">
        <v>9</v>
      </c>
      <c r="E157" s="52" t="s">
        <v>186</v>
      </c>
      <c r="I157" s="49" t="s">
        <v>192</v>
      </c>
      <c r="J157" s="102">
        <v>0</v>
      </c>
      <c r="K157" s="102"/>
      <c r="L157" s="102"/>
      <c r="M157" s="102"/>
      <c r="N157" s="102"/>
      <c r="O157" s="50">
        <f t="shared" ref="O157:O200" si="42">SUM(J157:N157)</f>
        <v>0</v>
      </c>
    </row>
    <row r="158" spans="1:16" x14ac:dyDescent="0.25">
      <c r="A158" s="51">
        <v>60010</v>
      </c>
      <c r="B158" s="49" t="s">
        <v>191</v>
      </c>
      <c r="C158" s="85">
        <f t="shared" si="41"/>
        <v>0</v>
      </c>
      <c r="D158" s="52" t="s">
        <v>18</v>
      </c>
      <c r="E158" s="52" t="s">
        <v>186</v>
      </c>
      <c r="I158" s="49" t="s">
        <v>193</v>
      </c>
      <c r="J158" s="102"/>
      <c r="K158" s="102"/>
      <c r="L158" s="102"/>
      <c r="M158" s="102"/>
      <c r="N158" s="102"/>
      <c r="O158" s="50">
        <f t="shared" si="42"/>
        <v>0</v>
      </c>
    </row>
    <row r="159" spans="1:16" x14ac:dyDescent="0.25">
      <c r="A159" s="51">
        <v>60010</v>
      </c>
      <c r="B159" s="49" t="s">
        <v>191</v>
      </c>
      <c r="C159" s="85">
        <f t="shared" si="41"/>
        <v>0</v>
      </c>
      <c r="D159" s="52" t="s">
        <v>36</v>
      </c>
      <c r="E159" s="52" t="s">
        <v>186</v>
      </c>
      <c r="I159" s="49" t="s">
        <v>194</v>
      </c>
      <c r="J159" s="102">
        <v>0</v>
      </c>
      <c r="K159" s="102"/>
      <c r="L159" s="102"/>
      <c r="M159" s="102">
        <f>(84*24*40)*M41</f>
        <v>0</v>
      </c>
      <c r="N159" s="102"/>
      <c r="O159" s="50">
        <f t="shared" si="42"/>
        <v>0</v>
      </c>
    </row>
    <row r="160" spans="1:16" x14ac:dyDescent="0.25">
      <c r="A160" s="51">
        <v>60010</v>
      </c>
      <c r="B160" s="52" t="s">
        <v>191</v>
      </c>
      <c r="C160" s="85">
        <f t="shared" si="41"/>
        <v>0</v>
      </c>
      <c r="D160" s="52" t="s">
        <v>12</v>
      </c>
      <c r="E160" s="52" t="s">
        <v>186</v>
      </c>
      <c r="I160" s="52" t="s">
        <v>67</v>
      </c>
      <c r="J160" s="55">
        <v>0</v>
      </c>
      <c r="K160" s="55"/>
      <c r="L160" s="55"/>
      <c r="M160" s="55"/>
      <c r="N160" s="55"/>
      <c r="O160" s="50">
        <f t="shared" si="42"/>
        <v>0</v>
      </c>
    </row>
    <row r="161" spans="1:15" x14ac:dyDescent="0.25">
      <c r="A161" s="51">
        <v>60010</v>
      </c>
      <c r="B161" s="52" t="s">
        <v>191</v>
      </c>
      <c r="C161" s="85">
        <f t="shared" si="41"/>
        <v>0</v>
      </c>
      <c r="D161" s="52" t="s">
        <v>36</v>
      </c>
      <c r="E161" s="52" t="s">
        <v>186</v>
      </c>
      <c r="I161" s="52" t="s">
        <v>195</v>
      </c>
      <c r="J161" s="55"/>
      <c r="K161" s="55"/>
      <c r="L161" s="55"/>
      <c r="M161" s="55"/>
      <c r="N161" s="55"/>
      <c r="O161" s="50">
        <f t="shared" si="42"/>
        <v>0</v>
      </c>
    </row>
    <row r="162" spans="1:15" x14ac:dyDescent="0.25">
      <c r="A162" s="51">
        <v>60010</v>
      </c>
      <c r="B162" s="52" t="s">
        <v>191</v>
      </c>
      <c r="C162" s="85">
        <f t="shared" si="41"/>
        <v>0</v>
      </c>
      <c r="D162" s="49" t="s">
        <v>9</v>
      </c>
      <c r="E162" s="52" t="s">
        <v>186</v>
      </c>
      <c r="I162" s="52" t="s">
        <v>196</v>
      </c>
      <c r="J162" s="55">
        <f>(55200*1.015*1.015)*(J36-J35-J28)+0-J165-J163-K162</f>
        <v>346859.91384615371</v>
      </c>
      <c r="K162" s="55">
        <f>25500</f>
        <v>25500</v>
      </c>
      <c r="L162" s="55"/>
      <c r="M162" s="55"/>
      <c r="N162" s="55"/>
      <c r="O162" s="50">
        <f t="shared" si="42"/>
        <v>372359.91384615371</v>
      </c>
    </row>
    <row r="163" spans="1:15" x14ac:dyDescent="0.25">
      <c r="A163" s="51">
        <v>60010</v>
      </c>
      <c r="B163" s="52" t="s">
        <v>191</v>
      </c>
      <c r="C163" s="85">
        <f t="shared" si="41"/>
        <v>0</v>
      </c>
      <c r="D163" s="52" t="s">
        <v>12</v>
      </c>
      <c r="E163" s="52" t="s">
        <v>186</v>
      </c>
      <c r="I163" s="52" t="s">
        <v>197</v>
      </c>
      <c r="J163" s="55">
        <f>416711*(J22/J17)</f>
        <v>57698.446153846155</v>
      </c>
      <c r="K163" s="55"/>
      <c r="L163" s="55"/>
      <c r="M163" s="55"/>
      <c r="N163" s="55"/>
      <c r="O163" s="50">
        <f t="shared" si="42"/>
        <v>57698.446153846155</v>
      </c>
    </row>
    <row r="164" spans="1:15" x14ac:dyDescent="0.25">
      <c r="A164" s="51">
        <v>60010</v>
      </c>
      <c r="B164" s="52" t="s">
        <v>191</v>
      </c>
      <c r="C164" s="85">
        <f t="shared" si="41"/>
        <v>0</v>
      </c>
      <c r="D164" s="52" t="s">
        <v>18</v>
      </c>
      <c r="E164" s="52" t="s">
        <v>186</v>
      </c>
      <c r="I164" s="52" t="s">
        <v>198</v>
      </c>
      <c r="J164" s="55"/>
      <c r="K164" s="55"/>
      <c r="L164" s="55"/>
      <c r="M164" s="55"/>
      <c r="N164" s="55"/>
      <c r="O164" s="50">
        <f t="shared" si="42"/>
        <v>0</v>
      </c>
    </row>
    <row r="165" spans="1:15" x14ac:dyDescent="0.25">
      <c r="A165" s="51">
        <v>60010</v>
      </c>
      <c r="B165" s="52" t="s">
        <v>191</v>
      </c>
      <c r="C165" s="85">
        <f t="shared" si="41"/>
        <v>0</v>
      </c>
      <c r="D165" s="52" t="s">
        <v>21</v>
      </c>
      <c r="E165" s="52" t="s">
        <v>186</v>
      </c>
      <c r="I165" s="52" t="s">
        <v>199</v>
      </c>
      <c r="J165" s="55">
        <v>24889</v>
      </c>
      <c r="K165" s="55"/>
      <c r="L165" s="55"/>
      <c r="M165" s="55"/>
      <c r="N165" s="55"/>
      <c r="O165" s="50">
        <f t="shared" si="42"/>
        <v>24889</v>
      </c>
    </row>
    <row r="166" spans="1:15" x14ac:dyDescent="0.25">
      <c r="A166" s="51">
        <v>60010</v>
      </c>
      <c r="B166" s="52" t="s">
        <v>191</v>
      </c>
      <c r="C166" s="85">
        <f t="shared" si="41"/>
        <v>0</v>
      </c>
      <c r="D166" s="52" t="s">
        <v>24</v>
      </c>
      <c r="E166" s="52" t="s">
        <v>186</v>
      </c>
      <c r="I166" s="52" t="s">
        <v>200</v>
      </c>
      <c r="J166" s="55"/>
      <c r="K166" s="55"/>
      <c r="L166" s="55"/>
      <c r="M166" s="55"/>
      <c r="N166" s="55"/>
      <c r="O166" s="50">
        <f t="shared" si="42"/>
        <v>0</v>
      </c>
    </row>
    <row r="167" spans="1:15" ht="16.5" thickBot="1" x14ac:dyDescent="0.3">
      <c r="A167" s="51">
        <v>60010</v>
      </c>
      <c r="B167" s="52" t="s">
        <v>191</v>
      </c>
      <c r="C167" s="85">
        <f t="shared" si="41"/>
        <v>0</v>
      </c>
      <c r="D167" s="52" t="s">
        <v>15</v>
      </c>
      <c r="E167" s="52" t="s">
        <v>186</v>
      </c>
      <c r="I167" s="52" t="s">
        <v>201</v>
      </c>
      <c r="J167" s="55"/>
      <c r="K167" s="55"/>
      <c r="L167" s="55"/>
      <c r="M167" s="55"/>
      <c r="N167" s="55"/>
      <c r="O167" s="50">
        <f t="shared" si="42"/>
        <v>0</v>
      </c>
    </row>
    <row r="168" spans="1:15" x14ac:dyDescent="0.25">
      <c r="A168" s="73"/>
      <c r="B168" s="74"/>
      <c r="C168" s="74"/>
      <c r="D168" s="74"/>
      <c r="E168" s="74"/>
      <c r="H168" s="77" t="s">
        <v>202</v>
      </c>
      <c r="I168" s="78"/>
      <c r="J168" s="79"/>
      <c r="K168" s="79"/>
      <c r="L168" s="79"/>
      <c r="M168" s="79"/>
      <c r="N168" s="79"/>
      <c r="O168" s="79"/>
    </row>
    <row r="169" spans="1:15" ht="16.5" thickBot="1" x14ac:dyDescent="0.3">
      <c r="A169" s="51">
        <v>60013</v>
      </c>
      <c r="B169" s="52" t="s">
        <v>191</v>
      </c>
      <c r="C169" s="85">
        <f>$C$1</f>
        <v>0</v>
      </c>
      <c r="D169" s="52" t="s">
        <v>27</v>
      </c>
      <c r="E169" s="52" t="s">
        <v>186</v>
      </c>
      <c r="I169" s="52" t="s">
        <v>203</v>
      </c>
      <c r="J169" s="55">
        <f>50000*(J28)</f>
        <v>0</v>
      </c>
      <c r="K169" s="55">
        <f>(51045*1.015*1.015)*(K28)</f>
        <v>52587.835124999991</v>
      </c>
      <c r="L169" s="55"/>
      <c r="M169" s="55"/>
      <c r="N169" s="55"/>
      <c r="O169" s="50">
        <f t="shared" si="42"/>
        <v>52587.835124999991</v>
      </c>
    </row>
    <row r="170" spans="1:15" x14ac:dyDescent="0.25">
      <c r="A170" s="73"/>
      <c r="B170" s="74"/>
      <c r="C170" s="74"/>
      <c r="D170" s="74"/>
      <c r="E170" s="74"/>
      <c r="H170" s="77" t="s">
        <v>202</v>
      </c>
      <c r="I170" s="78"/>
      <c r="J170" s="79"/>
      <c r="K170" s="79"/>
      <c r="L170" s="79"/>
      <c r="M170" s="79"/>
      <c r="N170" s="79"/>
      <c r="O170" s="79"/>
    </row>
    <row r="171" spans="1:15" x14ac:dyDescent="0.25">
      <c r="A171" s="51">
        <v>60020</v>
      </c>
      <c r="B171" s="52" t="s">
        <v>204</v>
      </c>
      <c r="C171" s="85">
        <f t="shared" ref="C171:C177" si="43">$C$1</f>
        <v>0</v>
      </c>
      <c r="D171" s="49" t="s">
        <v>9</v>
      </c>
      <c r="E171" s="52" t="s">
        <v>186</v>
      </c>
      <c r="I171" s="52" t="s">
        <v>205</v>
      </c>
      <c r="J171" s="55">
        <v>0</v>
      </c>
      <c r="K171" s="55"/>
      <c r="L171" s="55"/>
      <c r="M171" s="55"/>
      <c r="N171" s="55"/>
      <c r="O171" s="50">
        <f t="shared" si="42"/>
        <v>0</v>
      </c>
    </row>
    <row r="172" spans="1:15" x14ac:dyDescent="0.25">
      <c r="A172" s="51">
        <v>60020</v>
      </c>
      <c r="B172" s="52" t="s">
        <v>204</v>
      </c>
      <c r="C172" s="85">
        <f t="shared" si="43"/>
        <v>0</v>
      </c>
      <c r="D172" s="52" t="s">
        <v>18</v>
      </c>
      <c r="E172" s="52" t="s">
        <v>186</v>
      </c>
      <c r="I172" s="52" t="s">
        <v>206</v>
      </c>
      <c r="J172" s="55"/>
      <c r="K172" s="55"/>
      <c r="L172" s="55"/>
      <c r="M172" s="55">
        <v>5000</v>
      </c>
      <c r="N172" s="55"/>
      <c r="O172" s="50">
        <f t="shared" si="42"/>
        <v>5000</v>
      </c>
    </row>
    <row r="173" spans="1:15" x14ac:dyDescent="0.25">
      <c r="A173" s="51">
        <v>60020</v>
      </c>
      <c r="B173" s="52" t="s">
        <v>204</v>
      </c>
      <c r="C173" s="85">
        <f t="shared" si="43"/>
        <v>0</v>
      </c>
      <c r="D173" s="52" t="s">
        <v>12</v>
      </c>
      <c r="E173" s="52" t="s">
        <v>186</v>
      </c>
      <c r="I173" s="52" t="s">
        <v>207</v>
      </c>
      <c r="J173" s="55">
        <v>0</v>
      </c>
      <c r="K173" s="55"/>
      <c r="L173" s="55"/>
      <c r="M173" s="55"/>
      <c r="N173" s="55"/>
      <c r="O173" s="50">
        <f t="shared" si="42"/>
        <v>0</v>
      </c>
    </row>
    <row r="174" spans="1:15" x14ac:dyDescent="0.25">
      <c r="A174" s="86">
        <v>60020</v>
      </c>
      <c r="B174" s="89" t="s">
        <v>204</v>
      </c>
      <c r="C174" s="89">
        <f t="shared" si="43"/>
        <v>0</v>
      </c>
      <c r="D174" s="89" t="s">
        <v>21</v>
      </c>
      <c r="E174" s="89" t="s">
        <v>186</v>
      </c>
      <c r="I174" s="52" t="s">
        <v>208</v>
      </c>
      <c r="J174" s="55">
        <v>0</v>
      </c>
      <c r="K174" s="55"/>
      <c r="L174" s="55"/>
      <c r="M174" s="55">
        <v>351</v>
      </c>
      <c r="N174" s="55"/>
      <c r="O174" s="50">
        <f t="shared" ref="O174" si="44">SUM(J174:N174)</f>
        <v>351</v>
      </c>
    </row>
    <row r="175" spans="1:15" x14ac:dyDescent="0.25">
      <c r="A175" s="51">
        <v>60020</v>
      </c>
      <c r="B175" s="52" t="s">
        <v>209</v>
      </c>
      <c r="C175" s="85">
        <f t="shared" si="43"/>
        <v>0</v>
      </c>
      <c r="D175" s="52" t="s">
        <v>24</v>
      </c>
      <c r="E175" s="52" t="s">
        <v>186</v>
      </c>
      <c r="I175" s="52" t="s">
        <v>210</v>
      </c>
      <c r="J175" s="55">
        <v>0</v>
      </c>
      <c r="K175" s="55"/>
      <c r="L175" s="55"/>
      <c r="M175" s="55"/>
      <c r="N175" s="55"/>
      <c r="O175" s="50">
        <f t="shared" si="42"/>
        <v>0</v>
      </c>
    </row>
    <row r="176" spans="1:15" x14ac:dyDescent="0.25">
      <c r="A176" s="51">
        <v>60020</v>
      </c>
      <c r="B176" s="52" t="s">
        <v>209</v>
      </c>
      <c r="C176" s="85">
        <f t="shared" si="43"/>
        <v>0</v>
      </c>
      <c r="D176" s="52" t="s">
        <v>27</v>
      </c>
      <c r="E176" s="52" t="s">
        <v>186</v>
      </c>
      <c r="I176" s="52" t="s">
        <v>211</v>
      </c>
      <c r="J176" s="55"/>
      <c r="K176" s="55"/>
      <c r="L176" s="55"/>
      <c r="M176" s="55"/>
      <c r="N176" s="55"/>
      <c r="O176" s="50">
        <f t="shared" si="42"/>
        <v>0</v>
      </c>
    </row>
    <row r="177" spans="1:16" ht="16.5" thickBot="1" x14ac:dyDescent="0.3">
      <c r="A177" s="51">
        <v>60020</v>
      </c>
      <c r="B177" s="52" t="s">
        <v>209</v>
      </c>
      <c r="C177" s="85">
        <f t="shared" si="43"/>
        <v>0</v>
      </c>
      <c r="D177" s="52" t="s">
        <v>36</v>
      </c>
      <c r="E177" s="52" t="s">
        <v>186</v>
      </c>
      <c r="I177" s="52" t="s">
        <v>212</v>
      </c>
      <c r="J177" s="55"/>
      <c r="K177" s="55"/>
      <c r="L177" s="55"/>
      <c r="M177" s="55">
        <f>(16*8*180)*M50-M172-M174</f>
        <v>17689</v>
      </c>
      <c r="N177" s="55"/>
      <c r="O177" s="50">
        <f t="shared" si="42"/>
        <v>17689</v>
      </c>
    </row>
    <row r="178" spans="1:16" x14ac:dyDescent="0.25">
      <c r="A178" s="73"/>
      <c r="B178" s="74"/>
      <c r="C178" s="74"/>
      <c r="D178" s="74"/>
      <c r="E178" s="74"/>
      <c r="H178" s="77" t="s">
        <v>213</v>
      </c>
      <c r="I178" s="78"/>
      <c r="J178" s="79"/>
      <c r="K178" s="79"/>
      <c r="L178" s="79"/>
      <c r="M178" s="79"/>
      <c r="N178" s="79"/>
      <c r="O178" s="79"/>
    </row>
    <row r="179" spans="1:16" x14ac:dyDescent="0.25">
      <c r="A179" s="56">
        <v>60030</v>
      </c>
      <c r="B179" s="57" t="s">
        <v>214</v>
      </c>
      <c r="C179" s="85">
        <f>$C$1</f>
        <v>0</v>
      </c>
      <c r="D179" s="49" t="s">
        <v>9</v>
      </c>
      <c r="E179" s="52" t="s">
        <v>186</v>
      </c>
      <c r="I179" s="57" t="s">
        <v>85</v>
      </c>
      <c r="J179" s="58">
        <f>170*180*J59</f>
        <v>0</v>
      </c>
      <c r="K179" s="58"/>
      <c r="L179" s="58"/>
      <c r="M179" s="58"/>
      <c r="N179" s="58"/>
      <c r="O179" s="50">
        <f t="shared" si="42"/>
        <v>0</v>
      </c>
    </row>
    <row r="180" spans="1:16" x14ac:dyDescent="0.25">
      <c r="A180" s="98"/>
      <c r="B180" s="98"/>
      <c r="C180" s="98"/>
      <c r="D180" s="98"/>
      <c r="E180" s="98"/>
      <c r="F180" s="95"/>
      <c r="H180" s="93" t="s">
        <v>215</v>
      </c>
      <c r="I180" s="103"/>
      <c r="J180" s="92">
        <f t="shared" ref="J180:O180" si="45">SUM(J157:J179)</f>
        <v>429447.35999999987</v>
      </c>
      <c r="K180" s="92">
        <f t="shared" si="45"/>
        <v>78087.835124999983</v>
      </c>
      <c r="L180" s="92">
        <f t="shared" si="45"/>
        <v>0</v>
      </c>
      <c r="M180" s="92">
        <f t="shared" si="45"/>
        <v>23040</v>
      </c>
      <c r="N180" s="92">
        <f t="shared" si="45"/>
        <v>0</v>
      </c>
      <c r="O180" s="92">
        <f t="shared" si="45"/>
        <v>530575.19512499985</v>
      </c>
      <c r="P180" s="95"/>
    </row>
    <row r="181" spans="1:16" x14ac:dyDescent="0.25">
      <c r="A181" s="46">
        <v>60505</v>
      </c>
      <c r="B181" s="49" t="s">
        <v>216</v>
      </c>
      <c r="C181" s="85">
        <f t="shared" ref="C181:C200" si="46">$C$1</f>
        <v>0</v>
      </c>
      <c r="D181" s="49" t="s">
        <v>9</v>
      </c>
      <c r="E181" s="52" t="s">
        <v>186</v>
      </c>
      <c r="F181" s="95"/>
      <c r="I181" s="49" t="s">
        <v>166</v>
      </c>
      <c r="J181" s="55">
        <f>SUMIF($D$157:$D$179,D181,$J$157:$J$179)*0.3775</f>
        <v>130939.61747692303</v>
      </c>
      <c r="K181" s="55">
        <f>SUMIF($D$157:$D$179,D181,$K$157:$K$179)*0.3775</f>
        <v>9626.25</v>
      </c>
      <c r="L181" s="55">
        <f t="shared" ref="L181:L188" si="47">SUMIF($D$157:$D$179,D181,$L$157:$L$179)*0.3675</f>
        <v>0</v>
      </c>
      <c r="M181" s="55">
        <f t="shared" ref="M181:M187" si="48">SUMIF($D$157:$D$179,D181,$M$157:$M$179)*0.3675</f>
        <v>0</v>
      </c>
      <c r="N181" s="55">
        <f t="shared" ref="N181:N188" si="49">SUMIF($D$157:$D$179,D181,$N$157:$N$179)*0.3675</f>
        <v>0</v>
      </c>
      <c r="O181" s="50">
        <f t="shared" si="42"/>
        <v>140565.86747692304</v>
      </c>
      <c r="P181" s="95"/>
    </row>
    <row r="182" spans="1:16" x14ac:dyDescent="0.25">
      <c r="A182" s="46">
        <v>60505</v>
      </c>
      <c r="B182" s="49" t="s">
        <v>216</v>
      </c>
      <c r="C182" s="85">
        <f t="shared" si="46"/>
        <v>0</v>
      </c>
      <c r="D182" s="52" t="s">
        <v>12</v>
      </c>
      <c r="E182" s="52" t="s">
        <v>186</v>
      </c>
      <c r="F182" s="95"/>
      <c r="I182" s="49" t="s">
        <v>217</v>
      </c>
      <c r="J182" s="55">
        <f>SUMIF($D$157:$D$179,D182,$J$157:$J$179)*0.3775</f>
        <v>21781.163423076923</v>
      </c>
      <c r="K182" s="55">
        <f t="shared" ref="K182:K188" si="50">SUMIF($D$157:$D$179,D182,$K$157:$K$179)*0.3675</f>
        <v>0</v>
      </c>
      <c r="L182" s="55">
        <f t="shared" si="47"/>
        <v>0</v>
      </c>
      <c r="M182" s="55">
        <f t="shared" si="48"/>
        <v>0</v>
      </c>
      <c r="N182" s="55">
        <f t="shared" si="49"/>
        <v>0</v>
      </c>
      <c r="O182" s="50">
        <f t="shared" si="42"/>
        <v>21781.163423076923</v>
      </c>
      <c r="P182" s="95"/>
    </row>
    <row r="183" spans="1:16" x14ac:dyDescent="0.25">
      <c r="A183" s="46">
        <v>60505</v>
      </c>
      <c r="B183" s="49" t="s">
        <v>216</v>
      </c>
      <c r="C183" s="85">
        <f t="shared" si="46"/>
        <v>0</v>
      </c>
      <c r="D183" s="52" t="s">
        <v>15</v>
      </c>
      <c r="E183" s="52" t="s">
        <v>186</v>
      </c>
      <c r="F183" s="95"/>
      <c r="I183" s="49" t="s">
        <v>218</v>
      </c>
      <c r="J183" s="55">
        <f t="shared" ref="J183:J188" si="51">SUMIF($D$157:$D$179,D183,$J$157:$J$179)*0.3675</f>
        <v>0</v>
      </c>
      <c r="K183" s="55">
        <f t="shared" si="50"/>
        <v>0</v>
      </c>
      <c r="L183" s="55">
        <f t="shared" si="47"/>
        <v>0</v>
      </c>
      <c r="M183" s="55">
        <f t="shared" si="48"/>
        <v>0</v>
      </c>
      <c r="N183" s="55">
        <f t="shared" si="49"/>
        <v>0</v>
      </c>
      <c r="O183" s="50">
        <f t="shared" si="42"/>
        <v>0</v>
      </c>
      <c r="P183" s="95"/>
    </row>
    <row r="184" spans="1:16" x14ac:dyDescent="0.25">
      <c r="A184" s="46">
        <v>60505</v>
      </c>
      <c r="B184" s="49" t="s">
        <v>216</v>
      </c>
      <c r="C184" s="85">
        <f t="shared" si="46"/>
        <v>0</v>
      </c>
      <c r="D184" s="52" t="s">
        <v>18</v>
      </c>
      <c r="E184" s="52" t="s">
        <v>186</v>
      </c>
      <c r="F184" s="95"/>
      <c r="I184" s="49" t="s">
        <v>167</v>
      </c>
      <c r="J184" s="55">
        <f t="shared" si="51"/>
        <v>0</v>
      </c>
      <c r="K184" s="55">
        <f t="shared" si="50"/>
        <v>0</v>
      </c>
      <c r="L184" s="55">
        <f t="shared" si="47"/>
        <v>0</v>
      </c>
      <c r="M184" s="55">
        <f>SUMIF($D$157:$D$179,D184,$M$157:$M$179)*0.3775</f>
        <v>1887.5</v>
      </c>
      <c r="N184" s="55">
        <f t="shared" si="49"/>
        <v>0</v>
      </c>
      <c r="O184" s="50">
        <f t="shared" si="42"/>
        <v>1887.5</v>
      </c>
      <c r="P184" s="95"/>
    </row>
    <row r="185" spans="1:16" x14ac:dyDescent="0.25">
      <c r="A185" s="46">
        <v>60505</v>
      </c>
      <c r="B185" s="49" t="s">
        <v>216</v>
      </c>
      <c r="C185" s="85">
        <f t="shared" si="46"/>
        <v>0</v>
      </c>
      <c r="D185" s="52" t="s">
        <v>21</v>
      </c>
      <c r="E185" s="52" t="s">
        <v>186</v>
      </c>
      <c r="F185" s="95"/>
      <c r="I185" s="49" t="s">
        <v>168</v>
      </c>
      <c r="J185" s="55">
        <f>SUMIF($D$157:$D$179,D185,$J$157:$J$179)*0.3775</f>
        <v>9395.5974999999999</v>
      </c>
      <c r="K185" s="55">
        <f t="shared" si="50"/>
        <v>0</v>
      </c>
      <c r="L185" s="55">
        <f t="shared" si="47"/>
        <v>0</v>
      </c>
      <c r="M185" s="55">
        <f>SUMIF($D$157:$D$179,D185,$M$157:$M$179)*0.3775</f>
        <v>132.5025</v>
      </c>
      <c r="N185" s="55">
        <f t="shared" si="49"/>
        <v>0</v>
      </c>
      <c r="O185" s="50">
        <f t="shared" si="42"/>
        <v>9528.1</v>
      </c>
      <c r="P185" s="95"/>
    </row>
    <row r="186" spans="1:16" x14ac:dyDescent="0.25">
      <c r="A186" s="46">
        <v>60505</v>
      </c>
      <c r="B186" s="49" t="s">
        <v>216</v>
      </c>
      <c r="C186" s="85">
        <f t="shared" si="46"/>
        <v>0</v>
      </c>
      <c r="D186" s="52" t="s">
        <v>24</v>
      </c>
      <c r="E186" s="52" t="s">
        <v>186</v>
      </c>
      <c r="F186" s="95"/>
      <c r="I186" s="49" t="s">
        <v>169</v>
      </c>
      <c r="J186" s="55">
        <f t="shared" si="51"/>
        <v>0</v>
      </c>
      <c r="K186" s="55">
        <f t="shared" si="50"/>
        <v>0</v>
      </c>
      <c r="L186" s="55">
        <f t="shared" si="47"/>
        <v>0</v>
      </c>
      <c r="M186" s="55">
        <f t="shared" si="48"/>
        <v>0</v>
      </c>
      <c r="N186" s="55">
        <f t="shared" si="49"/>
        <v>0</v>
      </c>
      <c r="O186" s="50">
        <f t="shared" si="42"/>
        <v>0</v>
      </c>
      <c r="P186" s="95"/>
    </row>
    <row r="187" spans="1:16" x14ac:dyDescent="0.25">
      <c r="A187" s="46">
        <v>60505</v>
      </c>
      <c r="B187" s="49" t="s">
        <v>216</v>
      </c>
      <c r="C187" s="85">
        <f t="shared" si="46"/>
        <v>0</v>
      </c>
      <c r="D187" s="52" t="s">
        <v>27</v>
      </c>
      <c r="E187" s="52" t="s">
        <v>186</v>
      </c>
      <c r="F187" s="95"/>
      <c r="I187" s="49" t="s">
        <v>170</v>
      </c>
      <c r="J187" s="55">
        <f t="shared" si="51"/>
        <v>0</v>
      </c>
      <c r="K187" s="55">
        <f>SUMIF($D$157:$D$179,D187,$K$157:$K$179)*0.3775</f>
        <v>19851.907759687496</v>
      </c>
      <c r="L187" s="55">
        <f t="shared" si="47"/>
        <v>0</v>
      </c>
      <c r="M187" s="55">
        <f t="shared" si="48"/>
        <v>0</v>
      </c>
      <c r="N187" s="55">
        <f t="shared" si="49"/>
        <v>0</v>
      </c>
      <c r="O187" s="50">
        <f t="shared" si="42"/>
        <v>19851.907759687496</v>
      </c>
      <c r="P187" s="95"/>
    </row>
    <row r="188" spans="1:16" x14ac:dyDescent="0.25">
      <c r="A188" s="46">
        <v>60505</v>
      </c>
      <c r="B188" s="49" t="s">
        <v>216</v>
      </c>
      <c r="C188" s="85">
        <f t="shared" si="46"/>
        <v>0</v>
      </c>
      <c r="D188" s="52" t="s">
        <v>36</v>
      </c>
      <c r="E188" s="52" t="s">
        <v>186</v>
      </c>
      <c r="F188" s="95"/>
      <c r="I188" s="49" t="s">
        <v>171</v>
      </c>
      <c r="J188" s="55">
        <f t="shared" si="51"/>
        <v>0</v>
      </c>
      <c r="K188" s="55">
        <f t="shared" si="50"/>
        <v>0</v>
      </c>
      <c r="L188" s="55">
        <f t="shared" si="47"/>
        <v>0</v>
      </c>
      <c r="M188" s="55">
        <f>(SUMIF($D$157:$D$179,D188,$M$157:$M$179)-M159)*0.3775+SUMIF($D$157:$D$179,D193,$M$157:$M$179)*0.3775</f>
        <v>6810.0999999999995</v>
      </c>
      <c r="N188" s="55">
        <f t="shared" si="49"/>
        <v>0</v>
      </c>
      <c r="O188" s="50">
        <f t="shared" si="42"/>
        <v>6810.0999999999995</v>
      </c>
      <c r="P188" s="95"/>
    </row>
    <row r="189" spans="1:16" x14ac:dyDescent="0.25">
      <c r="A189" s="51">
        <v>60905</v>
      </c>
      <c r="B189" s="52" t="s">
        <v>219</v>
      </c>
      <c r="C189" s="85">
        <f t="shared" si="46"/>
        <v>0</v>
      </c>
      <c r="D189" s="49" t="s">
        <v>9</v>
      </c>
      <c r="E189" s="52" t="s">
        <v>186</v>
      </c>
      <c r="F189" s="95"/>
      <c r="I189" s="52" t="s">
        <v>174</v>
      </c>
      <c r="J189" s="55">
        <f>SUMIF($D$157:$D$179,D189,$J$157:$J$179)*0.14+SUMIF($D$157:$D$179,D193,$J$157:$J$179)*0.14</f>
        <v>52044.84793846152</v>
      </c>
      <c r="K189" s="55">
        <f>SUMIF($D$157:$D$179,D189,$K$157:$K$179)*0.14</f>
        <v>3570.0000000000005</v>
      </c>
      <c r="L189" s="55">
        <f t="shared" ref="L189:L196" si="52">SUMIF($D$157:$D$179,D189,$L$157:$L$179)*0.13</f>
        <v>0</v>
      </c>
      <c r="M189" s="55">
        <f>SUMIF($D$157:$D$179,D189,$M$157:$M$179)*0.13</f>
        <v>0</v>
      </c>
      <c r="N189" s="55">
        <f t="shared" ref="N189:N196" si="53">SUMIF($D$157:$D$179,D189,$N$157:$N$179)*0.13</f>
        <v>0</v>
      </c>
      <c r="O189" s="50">
        <f t="shared" si="42"/>
        <v>55614.84793846152</v>
      </c>
      <c r="P189" s="95"/>
    </row>
    <row r="190" spans="1:16" x14ac:dyDescent="0.25">
      <c r="A190" s="51">
        <v>60905</v>
      </c>
      <c r="B190" s="52" t="s">
        <v>219</v>
      </c>
      <c r="C190" s="85">
        <f t="shared" si="46"/>
        <v>0</v>
      </c>
      <c r="D190" s="52" t="s">
        <v>12</v>
      </c>
      <c r="E190" s="52" t="s">
        <v>186</v>
      </c>
      <c r="F190" s="95"/>
      <c r="I190" s="52" t="s">
        <v>220</v>
      </c>
      <c r="J190" s="55">
        <f>SUMIF($D$157:$D$179,D190,$J$157:$J$179)*0.14</f>
        <v>8077.7824615384625</v>
      </c>
      <c r="K190" s="55">
        <f t="shared" ref="K190:K196" si="54">SUMIF($D$157:$D$179,D190,$K$157:$K$179)*0.13</f>
        <v>0</v>
      </c>
      <c r="L190" s="55">
        <f t="shared" si="52"/>
        <v>0</v>
      </c>
      <c r="M190" s="55">
        <f>SUMIF($D$157:$D$179,D190,$M$157:$M$179)*0.13</f>
        <v>0</v>
      </c>
      <c r="N190" s="55">
        <f t="shared" si="53"/>
        <v>0</v>
      </c>
      <c r="O190" s="50">
        <f t="shared" si="42"/>
        <v>8077.7824615384625</v>
      </c>
      <c r="P190" s="95"/>
    </row>
    <row r="191" spans="1:16" x14ac:dyDescent="0.25">
      <c r="A191" s="51">
        <v>60905</v>
      </c>
      <c r="B191" s="52" t="s">
        <v>219</v>
      </c>
      <c r="C191" s="85">
        <f t="shared" si="46"/>
        <v>0</v>
      </c>
      <c r="D191" s="52" t="s">
        <v>15</v>
      </c>
      <c r="E191" s="52" t="s">
        <v>186</v>
      </c>
      <c r="F191" s="95"/>
      <c r="I191" s="52" t="s">
        <v>221</v>
      </c>
      <c r="J191" s="55">
        <f>SUMIF($D$157:$D$179,D191,$J$157:$J$179)*0.13</f>
        <v>0</v>
      </c>
      <c r="K191" s="55">
        <f t="shared" si="54"/>
        <v>0</v>
      </c>
      <c r="L191" s="55">
        <f t="shared" si="52"/>
        <v>0</v>
      </c>
      <c r="M191" s="55">
        <f>SUMIF($D$157:$D$179,D191,$M$157:$M$179)*0.13</f>
        <v>0</v>
      </c>
      <c r="N191" s="55">
        <f t="shared" si="53"/>
        <v>0</v>
      </c>
      <c r="O191" s="50">
        <f t="shared" si="42"/>
        <v>0</v>
      </c>
      <c r="P191" s="95"/>
    </row>
    <row r="192" spans="1:16" x14ac:dyDescent="0.25">
      <c r="A192" s="51">
        <v>60905</v>
      </c>
      <c r="B192" s="52" t="s">
        <v>219</v>
      </c>
      <c r="C192" s="85">
        <f t="shared" si="46"/>
        <v>0</v>
      </c>
      <c r="D192" s="52" t="s">
        <v>18</v>
      </c>
      <c r="E192" s="52" t="s">
        <v>186</v>
      </c>
      <c r="F192" s="95"/>
      <c r="I192" s="52" t="s">
        <v>175</v>
      </c>
      <c r="J192" s="55">
        <f>SUMIF($D$157:$D$179,D192,$J$157:$J$179)*0.13</f>
        <v>0</v>
      </c>
      <c r="K192" s="55">
        <f t="shared" si="54"/>
        <v>0</v>
      </c>
      <c r="L192" s="55">
        <f t="shared" si="52"/>
        <v>0</v>
      </c>
      <c r="M192" s="55">
        <f>SUMIF($D$157:$D$179,D192,$M$157:$M$179)*0.14</f>
        <v>700.00000000000011</v>
      </c>
      <c r="N192" s="55">
        <f t="shared" si="53"/>
        <v>0</v>
      </c>
      <c r="O192" s="50">
        <f t="shared" si="42"/>
        <v>700.00000000000011</v>
      </c>
      <c r="P192" s="95"/>
    </row>
    <row r="193" spans="1:16" x14ac:dyDescent="0.25">
      <c r="A193" s="51">
        <v>60905</v>
      </c>
      <c r="B193" s="52" t="s">
        <v>219</v>
      </c>
      <c r="C193" s="85">
        <f t="shared" si="46"/>
        <v>0</v>
      </c>
      <c r="D193" s="52" t="s">
        <v>21</v>
      </c>
      <c r="E193" s="52" t="s">
        <v>186</v>
      </c>
      <c r="F193" s="95"/>
      <c r="I193" s="52" t="s">
        <v>176</v>
      </c>
      <c r="J193" s="55">
        <f>SUMIF($D$157:$D$179,D193,$J$157:$J$179)*0.13*0</f>
        <v>0</v>
      </c>
      <c r="K193" s="55">
        <f t="shared" si="54"/>
        <v>0</v>
      </c>
      <c r="L193" s="55">
        <f t="shared" si="52"/>
        <v>0</v>
      </c>
      <c r="M193" s="55">
        <f>SUMIF($D$157:$D$179,D193,$M$157:$M$179)*0.13*0</f>
        <v>0</v>
      </c>
      <c r="N193" s="55">
        <f t="shared" si="53"/>
        <v>0</v>
      </c>
      <c r="O193" s="50">
        <f t="shared" si="42"/>
        <v>0</v>
      </c>
      <c r="P193" s="95"/>
    </row>
    <row r="194" spans="1:16" x14ac:dyDescent="0.25">
      <c r="A194" s="51">
        <v>60905</v>
      </c>
      <c r="B194" s="52" t="s">
        <v>219</v>
      </c>
      <c r="C194" s="85">
        <f t="shared" si="46"/>
        <v>0</v>
      </c>
      <c r="D194" s="52" t="s">
        <v>24</v>
      </c>
      <c r="E194" s="52" t="s">
        <v>186</v>
      </c>
      <c r="F194" s="95"/>
      <c r="I194" s="52" t="s">
        <v>177</v>
      </c>
      <c r="J194" s="55">
        <f>SUMIF($D$157:$D$179,D194,$J$157:$J$179)*0.13</f>
        <v>0</v>
      </c>
      <c r="K194" s="55">
        <f t="shared" si="54"/>
        <v>0</v>
      </c>
      <c r="L194" s="55">
        <f t="shared" si="52"/>
        <v>0</v>
      </c>
      <c r="M194" s="55">
        <f>SUMIF($D$157:$D$179,D194,$M$157:$M$179)*0.13</f>
        <v>0</v>
      </c>
      <c r="N194" s="55">
        <f t="shared" si="53"/>
        <v>0</v>
      </c>
      <c r="O194" s="50">
        <f t="shared" si="42"/>
        <v>0</v>
      </c>
      <c r="P194" s="95"/>
    </row>
    <row r="195" spans="1:16" x14ac:dyDescent="0.25">
      <c r="A195" s="51">
        <v>60905</v>
      </c>
      <c r="B195" s="52" t="s">
        <v>219</v>
      </c>
      <c r="C195" s="85">
        <f t="shared" si="46"/>
        <v>0</v>
      </c>
      <c r="D195" s="52" t="s">
        <v>27</v>
      </c>
      <c r="E195" s="52" t="s">
        <v>186</v>
      </c>
      <c r="F195" s="95"/>
      <c r="I195" s="52" t="s">
        <v>178</v>
      </c>
      <c r="J195" s="55">
        <f>SUMIF($D$157:$D$179,D195,$J$157:$J$179)*0.13</f>
        <v>0</v>
      </c>
      <c r="K195" s="55">
        <f>SUMIF($D$157:$D$179,D195,$K$157:$K$179)*0.14</f>
        <v>7362.2969174999989</v>
      </c>
      <c r="L195" s="55">
        <f t="shared" si="52"/>
        <v>0</v>
      </c>
      <c r="M195" s="55">
        <f>SUMIF($D$157:$D$179,D195,$M$157:$M$179)*0.13</f>
        <v>0</v>
      </c>
      <c r="N195" s="55">
        <f t="shared" si="53"/>
        <v>0</v>
      </c>
      <c r="O195" s="50">
        <f t="shared" si="42"/>
        <v>7362.2969174999989</v>
      </c>
      <c r="P195" s="95"/>
    </row>
    <row r="196" spans="1:16" x14ac:dyDescent="0.25">
      <c r="A196" s="51">
        <v>60905</v>
      </c>
      <c r="B196" s="52" t="s">
        <v>219</v>
      </c>
      <c r="C196" s="85">
        <f t="shared" si="46"/>
        <v>0</v>
      </c>
      <c r="D196" s="52" t="s">
        <v>36</v>
      </c>
      <c r="E196" s="52" t="s">
        <v>186</v>
      </c>
      <c r="F196" s="95"/>
      <c r="I196" s="52" t="s">
        <v>179</v>
      </c>
      <c r="J196" s="55">
        <f>SUMIF($D$157:$D$179,D196,$J$157:$J$179)*0.13</f>
        <v>0</v>
      </c>
      <c r="K196" s="55">
        <f t="shared" si="54"/>
        <v>0</v>
      </c>
      <c r="L196" s="55">
        <f t="shared" si="52"/>
        <v>0</v>
      </c>
      <c r="M196" s="55">
        <f>SUMIF($D$157:$D$179,D196,$M$157:$M$179)*0.14</f>
        <v>2476.46</v>
      </c>
      <c r="N196" s="55">
        <f t="shared" si="53"/>
        <v>0</v>
      </c>
      <c r="O196" s="50">
        <f t="shared" si="42"/>
        <v>2476.46</v>
      </c>
      <c r="P196" s="95"/>
    </row>
    <row r="197" spans="1:16" x14ac:dyDescent="0.25">
      <c r="A197" s="51">
        <v>60011</v>
      </c>
      <c r="B197" s="52" t="s">
        <v>222</v>
      </c>
      <c r="C197" s="85">
        <f t="shared" si="46"/>
        <v>0</v>
      </c>
      <c r="D197" s="49" t="s">
        <v>9</v>
      </c>
      <c r="E197" s="52" t="s">
        <v>186</v>
      </c>
      <c r="I197" s="52" t="s">
        <v>182</v>
      </c>
      <c r="J197" s="55">
        <f>(J36*1250)+(J41*1750)+(J43*1750)+(J50*500)+(SUM(J54:J56)*500)-2250</f>
        <v>7750</v>
      </c>
      <c r="K197" s="55">
        <f>(K36*1250)+(K41*1750)+(K43*1750)+(K50*500)+(SUM(K54:K56)*500)</f>
        <v>1250</v>
      </c>
      <c r="L197" s="55">
        <f t="shared" ref="L197:N197" si="55">(L36*1250)+(L41*1750)+(L43*1750)+(L50*500)+(SUM(L54:L56)*500)</f>
        <v>0</v>
      </c>
      <c r="M197" s="55">
        <f t="shared" si="55"/>
        <v>500</v>
      </c>
      <c r="N197" s="55">
        <f t="shared" si="55"/>
        <v>0</v>
      </c>
      <c r="O197" s="50">
        <f t="shared" si="42"/>
        <v>9500</v>
      </c>
    </row>
    <row r="198" spans="1:16" x14ac:dyDescent="0.25">
      <c r="A198" s="51">
        <v>60011</v>
      </c>
      <c r="B198" s="52" t="s">
        <v>222</v>
      </c>
      <c r="C198" s="85">
        <f t="shared" si="46"/>
        <v>0</v>
      </c>
      <c r="D198" s="49" t="s">
        <v>9</v>
      </c>
      <c r="E198" s="52" t="s">
        <v>186</v>
      </c>
      <c r="I198" s="52" t="s">
        <v>183</v>
      </c>
      <c r="J198" s="55">
        <f>(J36+J41+J43+J50+J54+J55+J56)*125+125*3</f>
        <v>1375</v>
      </c>
      <c r="K198" s="55">
        <f>(K36+K41+K43+K50+K54+K55+K56)*125</f>
        <v>125</v>
      </c>
      <c r="L198" s="55">
        <f t="shared" ref="L198:N198" si="56">(L36+L41+L43+L50+L54+L55+L56)*125</f>
        <v>0</v>
      </c>
      <c r="M198" s="55">
        <f>(M36+M41+M43+M50+M54+M55+M56)*125*0</f>
        <v>0</v>
      </c>
      <c r="N198" s="55">
        <f t="shared" si="56"/>
        <v>0</v>
      </c>
      <c r="O198" s="50">
        <f t="shared" si="42"/>
        <v>1500</v>
      </c>
    </row>
    <row r="199" spans="1:16" x14ac:dyDescent="0.25">
      <c r="A199" s="51">
        <v>60011</v>
      </c>
      <c r="B199" s="52" t="s">
        <v>222</v>
      </c>
      <c r="C199" s="85">
        <f t="shared" si="46"/>
        <v>0</v>
      </c>
      <c r="D199" s="49" t="s">
        <v>9</v>
      </c>
      <c r="E199" s="52" t="s">
        <v>186</v>
      </c>
      <c r="I199" s="52" t="s">
        <v>184</v>
      </c>
      <c r="J199" s="55">
        <f>(30*3*3)*30</f>
        <v>8100</v>
      </c>
      <c r="K199" s="55"/>
      <c r="L199" s="55"/>
      <c r="M199" s="55"/>
      <c r="N199" s="55"/>
      <c r="O199" s="50">
        <f t="shared" si="42"/>
        <v>8100</v>
      </c>
    </row>
    <row r="200" spans="1:16" x14ac:dyDescent="0.25">
      <c r="A200" s="56">
        <v>61251</v>
      </c>
      <c r="B200" s="57" t="s">
        <v>185</v>
      </c>
      <c r="C200" s="85">
        <f t="shared" si="46"/>
        <v>0</v>
      </c>
      <c r="D200" s="49" t="s">
        <v>9</v>
      </c>
      <c r="E200" s="52" t="s">
        <v>186</v>
      </c>
      <c r="I200" s="57" t="s">
        <v>187</v>
      </c>
      <c r="J200" s="58">
        <v>5000</v>
      </c>
      <c r="K200" s="58"/>
      <c r="L200" s="58"/>
      <c r="M200" s="58"/>
      <c r="N200" s="58"/>
      <c r="O200" s="50">
        <f t="shared" si="42"/>
        <v>5000</v>
      </c>
    </row>
    <row r="201" spans="1:16" x14ac:dyDescent="0.25">
      <c r="A201" s="98"/>
      <c r="B201" s="98"/>
      <c r="C201" s="98"/>
      <c r="D201" s="98"/>
      <c r="E201" s="98"/>
      <c r="H201" s="93" t="s">
        <v>223</v>
      </c>
      <c r="I201" s="94"/>
      <c r="J201" s="92">
        <f t="shared" ref="J201:K201" si="57">SUM(J181:J200)</f>
        <v>244464.00879999995</v>
      </c>
      <c r="K201" s="92">
        <f t="shared" si="57"/>
        <v>41785.454677187496</v>
      </c>
      <c r="L201" s="92">
        <f t="shared" ref="L201:O201" si="58">SUM(L181:L200)</f>
        <v>0</v>
      </c>
      <c r="M201" s="92">
        <f t="shared" si="58"/>
        <v>12506.5625</v>
      </c>
      <c r="N201" s="92">
        <f t="shared" si="58"/>
        <v>0</v>
      </c>
      <c r="O201" s="92">
        <f t="shared" si="58"/>
        <v>298756.02597718744</v>
      </c>
    </row>
    <row r="202" spans="1:16" ht="16.5" thickBot="1" x14ac:dyDescent="0.3">
      <c r="H202" s="2"/>
      <c r="J202" s="104"/>
      <c r="K202" s="104"/>
      <c r="L202" s="104"/>
      <c r="M202" s="104"/>
      <c r="N202" s="104"/>
      <c r="O202" s="104"/>
    </row>
    <row r="203" spans="1:16" ht="16.5" thickBot="1" x14ac:dyDescent="0.3">
      <c r="A203" s="68" t="s">
        <v>5</v>
      </c>
      <c r="B203" s="68" t="s">
        <v>91</v>
      </c>
      <c r="C203" s="68" t="s">
        <v>92</v>
      </c>
      <c r="D203" s="68" t="s">
        <v>4</v>
      </c>
      <c r="E203" s="68" t="s">
        <v>93</v>
      </c>
      <c r="G203" s="100" t="s">
        <v>224</v>
      </c>
      <c r="H203" s="105"/>
      <c r="I203" s="82"/>
      <c r="J203" s="101" t="str">
        <f>J20</f>
        <v>Operating</v>
      </c>
      <c r="K203" s="101" t="str">
        <f t="shared" ref="K203:O203" si="59">K20</f>
        <v>SPED</v>
      </c>
      <c r="L203" s="101" t="str">
        <f t="shared" si="59"/>
        <v>NSLP</v>
      </c>
      <c r="M203" s="101" t="str">
        <f t="shared" si="59"/>
        <v>Title(s)</v>
      </c>
      <c r="N203" s="101" t="str">
        <f t="shared" si="59"/>
        <v>Other</v>
      </c>
      <c r="O203" s="101" t="str">
        <f t="shared" si="59"/>
        <v>Total</v>
      </c>
    </row>
    <row r="204" spans="1:16" x14ac:dyDescent="0.25">
      <c r="A204" s="106">
        <v>62643</v>
      </c>
      <c r="B204" s="107" t="s">
        <v>225</v>
      </c>
      <c r="C204" s="85">
        <f t="shared" ref="C204:C211" si="60">$C$1</f>
        <v>0</v>
      </c>
      <c r="D204" s="49" t="s">
        <v>9</v>
      </c>
      <c r="E204" s="52" t="s">
        <v>186</v>
      </c>
      <c r="I204" s="107" t="s">
        <v>226</v>
      </c>
      <c r="J204" s="102">
        <f>J17*240</f>
        <v>31200</v>
      </c>
      <c r="K204" s="102"/>
      <c r="L204" s="102"/>
      <c r="M204" s="102"/>
      <c r="N204" s="102"/>
      <c r="O204" s="50">
        <f t="shared" ref="O204:O211" si="61">SUM(J204:N204)</f>
        <v>31200</v>
      </c>
    </row>
    <row r="205" spans="1:16" x14ac:dyDescent="0.25">
      <c r="A205" s="106">
        <v>62643</v>
      </c>
      <c r="B205" s="107" t="s">
        <v>225</v>
      </c>
      <c r="C205" s="85">
        <f t="shared" si="60"/>
        <v>0</v>
      </c>
      <c r="D205" s="52" t="s">
        <v>36</v>
      </c>
      <c r="E205" s="52" t="s">
        <v>186</v>
      </c>
      <c r="I205" s="107" t="s">
        <v>227</v>
      </c>
      <c r="J205" s="102"/>
      <c r="K205" s="102"/>
      <c r="L205" s="102"/>
      <c r="M205" s="102"/>
      <c r="N205" s="102"/>
      <c r="O205" s="50">
        <f t="shared" si="61"/>
        <v>0</v>
      </c>
    </row>
    <row r="206" spans="1:16" x14ac:dyDescent="0.25">
      <c r="A206" s="108">
        <v>62644</v>
      </c>
      <c r="B206" s="109" t="s">
        <v>228</v>
      </c>
      <c r="C206" s="85">
        <f t="shared" si="60"/>
        <v>0</v>
      </c>
      <c r="D206" s="49" t="s">
        <v>9</v>
      </c>
      <c r="E206" s="52" t="s">
        <v>186</v>
      </c>
      <c r="I206" s="109" t="s">
        <v>229</v>
      </c>
      <c r="J206" s="55"/>
      <c r="K206" s="55"/>
      <c r="L206" s="55"/>
      <c r="M206" s="55"/>
      <c r="N206" s="55"/>
      <c r="O206" s="50">
        <f t="shared" si="61"/>
        <v>0</v>
      </c>
    </row>
    <row r="207" spans="1:16" x14ac:dyDescent="0.25">
      <c r="A207" s="108">
        <v>62481</v>
      </c>
      <c r="B207" s="107" t="s">
        <v>225</v>
      </c>
      <c r="C207" s="85">
        <f t="shared" si="60"/>
        <v>0</v>
      </c>
      <c r="D207" s="49" t="s">
        <v>9</v>
      </c>
      <c r="E207" s="52" t="s">
        <v>186</v>
      </c>
      <c r="I207" s="110" t="s">
        <v>230</v>
      </c>
      <c r="J207" s="55">
        <v>0</v>
      </c>
      <c r="K207" s="55"/>
      <c r="L207" s="55"/>
      <c r="M207" s="55"/>
      <c r="N207" s="55"/>
      <c r="O207" s="50">
        <f t="shared" si="61"/>
        <v>0</v>
      </c>
    </row>
    <row r="208" spans="1:16" x14ac:dyDescent="0.25">
      <c r="A208" s="108">
        <v>62619</v>
      </c>
      <c r="B208" s="107" t="s">
        <v>225</v>
      </c>
      <c r="C208" s="85">
        <f t="shared" si="60"/>
        <v>0</v>
      </c>
      <c r="D208" s="49" t="s">
        <v>9</v>
      </c>
      <c r="E208" s="52" t="s">
        <v>186</v>
      </c>
      <c r="I208" s="110" t="s">
        <v>231</v>
      </c>
      <c r="J208" s="55">
        <f>65*J17</f>
        <v>8450</v>
      </c>
      <c r="K208" s="55"/>
      <c r="L208" s="55"/>
      <c r="M208" s="55"/>
      <c r="N208" s="55"/>
      <c r="O208" s="50">
        <f t="shared" si="61"/>
        <v>8450</v>
      </c>
    </row>
    <row r="209" spans="1:15" x14ac:dyDescent="0.25">
      <c r="A209" s="108">
        <v>62619</v>
      </c>
      <c r="B209" s="107" t="s">
        <v>225</v>
      </c>
      <c r="C209" s="85">
        <f t="shared" si="60"/>
        <v>0</v>
      </c>
      <c r="D209" s="52" t="s">
        <v>36</v>
      </c>
      <c r="E209" s="52" t="s">
        <v>186</v>
      </c>
      <c r="I209" s="110" t="s">
        <v>232</v>
      </c>
      <c r="J209" s="55">
        <f>40*J18</f>
        <v>0</v>
      </c>
      <c r="K209" s="55"/>
      <c r="L209" s="55"/>
      <c r="M209" s="55"/>
      <c r="N209" s="55"/>
      <c r="O209" s="50">
        <f t="shared" si="61"/>
        <v>0</v>
      </c>
    </row>
    <row r="210" spans="1:15" x14ac:dyDescent="0.25">
      <c r="A210" s="108">
        <v>62611</v>
      </c>
      <c r="B210" s="107" t="s">
        <v>225</v>
      </c>
      <c r="C210" s="85">
        <f t="shared" si="60"/>
        <v>0</v>
      </c>
      <c r="D210" s="49" t="s">
        <v>9</v>
      </c>
      <c r="E210" s="52" t="s">
        <v>186</v>
      </c>
      <c r="I210" s="110" t="s">
        <v>233</v>
      </c>
      <c r="J210" s="55">
        <f>7*J17</f>
        <v>910</v>
      </c>
      <c r="K210" s="55"/>
      <c r="L210" s="55"/>
      <c r="M210" s="55"/>
      <c r="N210" s="55"/>
      <c r="O210" s="50">
        <f t="shared" si="61"/>
        <v>910</v>
      </c>
    </row>
    <row r="211" spans="1:15" x14ac:dyDescent="0.25">
      <c r="A211" s="111">
        <v>62616</v>
      </c>
      <c r="B211" s="107" t="s">
        <v>225</v>
      </c>
      <c r="C211" s="85">
        <f t="shared" si="60"/>
        <v>0</v>
      </c>
      <c r="D211" s="52" t="s">
        <v>27</v>
      </c>
      <c r="E211" s="52" t="s">
        <v>186</v>
      </c>
      <c r="I211" s="112" t="s">
        <v>234</v>
      </c>
      <c r="J211" s="58">
        <f>175*J21</f>
        <v>0</v>
      </c>
      <c r="K211" s="58">
        <f>175*K21</f>
        <v>2450</v>
      </c>
      <c r="L211" s="58"/>
      <c r="M211" s="58"/>
      <c r="N211" s="58"/>
      <c r="O211" s="50">
        <f t="shared" si="61"/>
        <v>2450</v>
      </c>
    </row>
    <row r="212" spans="1:15" x14ac:dyDescent="0.25">
      <c r="A212" s="98"/>
      <c r="B212" s="98"/>
      <c r="C212" s="98"/>
      <c r="D212" s="98"/>
      <c r="E212" s="98"/>
      <c r="H212" s="93" t="s">
        <v>47</v>
      </c>
      <c r="I212" s="113"/>
      <c r="J212" s="92">
        <f t="shared" ref="J212:O212" si="62">SUM(J204:J211)</f>
        <v>40560</v>
      </c>
      <c r="K212" s="92">
        <f t="shared" si="62"/>
        <v>2450</v>
      </c>
      <c r="L212" s="92">
        <f t="shared" si="62"/>
        <v>0</v>
      </c>
      <c r="M212" s="92">
        <f t="shared" si="62"/>
        <v>0</v>
      </c>
      <c r="N212" s="92">
        <f t="shared" si="62"/>
        <v>0</v>
      </c>
      <c r="O212" s="92">
        <f t="shared" si="62"/>
        <v>43010</v>
      </c>
    </row>
    <row r="213" spans="1:15" x14ac:dyDescent="0.25">
      <c r="J213" s="99"/>
      <c r="K213" s="99"/>
      <c r="L213" s="99"/>
      <c r="M213" s="99"/>
      <c r="N213" s="99"/>
      <c r="O213" s="99"/>
    </row>
    <row r="214" spans="1:15" x14ac:dyDescent="0.25">
      <c r="A214" s="81"/>
      <c r="B214" s="82"/>
      <c r="C214" s="82"/>
      <c r="D214" s="82"/>
      <c r="E214" s="82"/>
      <c r="G214" s="100" t="s">
        <v>235</v>
      </c>
      <c r="H214" s="105"/>
      <c r="I214" s="82"/>
      <c r="J214" s="101" t="str">
        <f>J20</f>
        <v>Operating</v>
      </c>
      <c r="K214" s="101" t="str">
        <f t="shared" ref="K214:O214" si="63">K20</f>
        <v>SPED</v>
      </c>
      <c r="L214" s="101" t="str">
        <f t="shared" si="63"/>
        <v>NSLP</v>
      </c>
      <c r="M214" s="101" t="str">
        <f t="shared" si="63"/>
        <v>Title(s)</v>
      </c>
      <c r="N214" s="101" t="str">
        <f t="shared" si="63"/>
        <v>Other</v>
      </c>
      <c r="O214" s="101" t="str">
        <f t="shared" si="63"/>
        <v>Total</v>
      </c>
    </row>
    <row r="215" spans="1:15" x14ac:dyDescent="0.25">
      <c r="A215" s="106">
        <v>62617</v>
      </c>
      <c r="B215" s="114" t="s">
        <v>236</v>
      </c>
      <c r="C215" s="85">
        <f t="shared" ref="C215:C220" si="64">$C$1</f>
        <v>0</v>
      </c>
      <c r="D215" s="49" t="s">
        <v>9</v>
      </c>
      <c r="E215" s="52" t="s">
        <v>114</v>
      </c>
      <c r="I215" s="114" t="s">
        <v>237</v>
      </c>
      <c r="J215" s="102">
        <f>30*J17</f>
        <v>3900</v>
      </c>
      <c r="K215" s="102"/>
      <c r="L215" s="102"/>
      <c r="M215" s="102"/>
      <c r="N215" s="102"/>
      <c r="O215" s="50">
        <f t="shared" ref="O215:O220" si="65">SUM(J215:N215)</f>
        <v>3900</v>
      </c>
    </row>
    <row r="216" spans="1:15" x14ac:dyDescent="0.25">
      <c r="A216" s="106">
        <v>62617</v>
      </c>
      <c r="B216" s="114" t="s">
        <v>236</v>
      </c>
      <c r="C216" s="85">
        <f t="shared" si="64"/>
        <v>0</v>
      </c>
      <c r="D216" s="52" t="s">
        <v>36</v>
      </c>
      <c r="E216" s="52" t="s">
        <v>114</v>
      </c>
      <c r="I216" s="114" t="s">
        <v>238</v>
      </c>
      <c r="J216" s="102">
        <f>30*J18</f>
        <v>0</v>
      </c>
      <c r="K216" s="102"/>
      <c r="L216" s="102"/>
      <c r="M216" s="102"/>
      <c r="N216" s="102"/>
      <c r="O216" s="50">
        <f t="shared" si="65"/>
        <v>0</v>
      </c>
    </row>
    <row r="217" spans="1:15" x14ac:dyDescent="0.25">
      <c r="A217" s="108">
        <v>62611</v>
      </c>
      <c r="B217" s="114" t="s">
        <v>236</v>
      </c>
      <c r="C217" s="85">
        <f t="shared" si="64"/>
        <v>0</v>
      </c>
      <c r="D217" s="49" t="s">
        <v>9</v>
      </c>
      <c r="E217" s="52" t="s">
        <v>114</v>
      </c>
      <c r="I217" s="110" t="s">
        <v>233</v>
      </c>
      <c r="J217" s="55">
        <f>(3*J17)</f>
        <v>390</v>
      </c>
      <c r="K217" s="55"/>
      <c r="L217" s="55"/>
      <c r="M217" s="55"/>
      <c r="N217" s="55"/>
      <c r="O217" s="50">
        <f t="shared" si="65"/>
        <v>390</v>
      </c>
    </row>
    <row r="218" spans="1:15" x14ac:dyDescent="0.25">
      <c r="A218" s="108">
        <v>62618</v>
      </c>
      <c r="B218" s="114" t="s">
        <v>236</v>
      </c>
      <c r="C218" s="85">
        <f t="shared" si="64"/>
        <v>0</v>
      </c>
      <c r="D218" s="49" t="s">
        <v>9</v>
      </c>
      <c r="E218" s="52" t="s">
        <v>114</v>
      </c>
      <c r="I218" s="110" t="s">
        <v>239</v>
      </c>
      <c r="J218" s="55">
        <f>8*J17</f>
        <v>1040</v>
      </c>
      <c r="K218" s="55"/>
      <c r="L218" s="55"/>
      <c r="M218" s="55"/>
      <c r="N218" s="55"/>
      <c r="O218" s="50">
        <f t="shared" si="65"/>
        <v>1040</v>
      </c>
    </row>
    <row r="219" spans="1:15" x14ac:dyDescent="0.25">
      <c r="A219" s="108">
        <v>63113</v>
      </c>
      <c r="B219" s="114" t="s">
        <v>240</v>
      </c>
      <c r="C219" s="85">
        <f t="shared" si="64"/>
        <v>0</v>
      </c>
      <c r="D219" s="49" t="s">
        <v>9</v>
      </c>
      <c r="E219" s="114" t="s">
        <v>135</v>
      </c>
      <c r="I219" s="110" t="s">
        <v>241</v>
      </c>
      <c r="J219" s="55">
        <v>0</v>
      </c>
      <c r="K219" s="55"/>
      <c r="L219" s="55"/>
      <c r="M219" s="55"/>
      <c r="N219" s="55"/>
      <c r="O219" s="50">
        <f t="shared" si="65"/>
        <v>0</v>
      </c>
    </row>
    <row r="220" spans="1:15" x14ac:dyDescent="0.25">
      <c r="A220" s="111">
        <v>62612</v>
      </c>
      <c r="B220" s="114" t="s">
        <v>236</v>
      </c>
      <c r="C220" s="85">
        <f t="shared" si="64"/>
        <v>0</v>
      </c>
      <c r="D220" s="49" t="s">
        <v>9</v>
      </c>
      <c r="E220" s="114" t="s">
        <v>242</v>
      </c>
      <c r="I220" s="112" t="s">
        <v>243</v>
      </c>
      <c r="J220" s="58">
        <f>45*J17</f>
        <v>5850</v>
      </c>
      <c r="K220" s="58"/>
      <c r="L220" s="58"/>
      <c r="M220" s="58"/>
      <c r="N220" s="58"/>
      <c r="O220" s="50">
        <f t="shared" si="65"/>
        <v>5850</v>
      </c>
    </row>
    <row r="221" spans="1:15" x14ac:dyDescent="0.25">
      <c r="A221" s="98"/>
      <c r="B221" s="98"/>
      <c r="C221" s="98"/>
      <c r="D221" s="98"/>
      <c r="E221" s="98"/>
      <c r="H221" s="93" t="s">
        <v>47</v>
      </c>
      <c r="I221" s="113"/>
      <c r="J221" s="92">
        <f t="shared" ref="J221:O221" si="66">SUM(J215:J220)</f>
        <v>11180</v>
      </c>
      <c r="K221" s="92">
        <f t="shared" si="66"/>
        <v>0</v>
      </c>
      <c r="L221" s="92">
        <f t="shared" si="66"/>
        <v>0</v>
      </c>
      <c r="M221" s="92">
        <f t="shared" si="66"/>
        <v>0</v>
      </c>
      <c r="N221" s="92">
        <f t="shared" si="66"/>
        <v>0</v>
      </c>
      <c r="O221" s="92">
        <f t="shared" si="66"/>
        <v>11180</v>
      </c>
    </row>
    <row r="222" spans="1:15" x14ac:dyDescent="0.25">
      <c r="J222" s="99"/>
      <c r="K222" s="99"/>
      <c r="L222" s="99"/>
      <c r="M222" s="99"/>
      <c r="N222" s="99"/>
      <c r="O222" s="99"/>
    </row>
    <row r="223" spans="1:15" x14ac:dyDescent="0.25">
      <c r="A223" s="81"/>
      <c r="B223" s="82"/>
      <c r="C223" s="82"/>
      <c r="D223" s="82"/>
      <c r="E223" s="82"/>
      <c r="G223" s="100" t="s">
        <v>244</v>
      </c>
      <c r="H223" s="105"/>
      <c r="I223" s="82"/>
      <c r="J223" s="101" t="str">
        <f>J20</f>
        <v>Operating</v>
      </c>
      <c r="K223" s="101" t="str">
        <f t="shared" ref="K223:O223" si="67">K20</f>
        <v>SPED</v>
      </c>
      <c r="L223" s="101" t="str">
        <f t="shared" si="67"/>
        <v>NSLP</v>
      </c>
      <c r="M223" s="101" t="str">
        <f t="shared" si="67"/>
        <v>Title(s)</v>
      </c>
      <c r="N223" s="101" t="str">
        <f t="shared" si="67"/>
        <v>Other</v>
      </c>
      <c r="O223" s="101" t="str">
        <f t="shared" si="67"/>
        <v>Total</v>
      </c>
    </row>
    <row r="224" spans="1:15" x14ac:dyDescent="0.25">
      <c r="A224" s="106">
        <v>63114</v>
      </c>
      <c r="B224" s="114" t="s">
        <v>245</v>
      </c>
      <c r="C224" s="85">
        <f t="shared" ref="C224:C232" si="68">$C$1</f>
        <v>0</v>
      </c>
      <c r="D224" s="49" t="s">
        <v>9</v>
      </c>
      <c r="E224" s="114" t="s">
        <v>246</v>
      </c>
      <c r="I224" s="114" t="s">
        <v>247</v>
      </c>
      <c r="J224" s="102">
        <v>10000</v>
      </c>
      <c r="K224" s="102"/>
      <c r="L224" s="102"/>
      <c r="M224" s="102"/>
      <c r="N224" s="102"/>
      <c r="O224" s="102">
        <f>SUM(J224:N224)</f>
        <v>10000</v>
      </c>
    </row>
    <row r="225" spans="1:15" x14ac:dyDescent="0.25">
      <c r="A225" s="106">
        <v>63114</v>
      </c>
      <c r="B225" s="114" t="s">
        <v>245</v>
      </c>
      <c r="C225" s="85">
        <f t="shared" si="68"/>
        <v>0</v>
      </c>
      <c r="D225" s="52" t="s">
        <v>36</v>
      </c>
      <c r="E225" s="114" t="s">
        <v>246</v>
      </c>
      <c r="I225" s="114" t="s">
        <v>248</v>
      </c>
      <c r="J225" s="102"/>
      <c r="K225" s="102"/>
      <c r="L225" s="102"/>
      <c r="M225" s="102"/>
      <c r="N225" s="102"/>
      <c r="O225" s="102">
        <f t="shared" ref="O225:O232" si="69">SUM(J225:N225)</f>
        <v>0</v>
      </c>
    </row>
    <row r="226" spans="1:15" x14ac:dyDescent="0.25">
      <c r="A226" s="108">
        <v>63128</v>
      </c>
      <c r="B226" s="110" t="s">
        <v>245</v>
      </c>
      <c r="C226" s="85">
        <f t="shared" si="68"/>
        <v>0</v>
      </c>
      <c r="D226" s="52" t="s">
        <v>27</v>
      </c>
      <c r="E226" s="110" t="s">
        <v>135</v>
      </c>
      <c r="I226" s="110" t="s">
        <v>249</v>
      </c>
      <c r="J226" s="55">
        <v>0</v>
      </c>
      <c r="K226" s="55">
        <f>(425*J17)</f>
        <v>55250</v>
      </c>
      <c r="L226" s="55"/>
      <c r="M226" s="55"/>
      <c r="N226" s="55"/>
      <c r="O226" s="102">
        <f t="shared" si="69"/>
        <v>55250</v>
      </c>
    </row>
    <row r="227" spans="1:15" x14ac:dyDescent="0.25">
      <c r="A227" s="108">
        <v>63111</v>
      </c>
      <c r="B227" s="110" t="s">
        <v>245</v>
      </c>
      <c r="C227" s="85">
        <f t="shared" si="68"/>
        <v>0</v>
      </c>
      <c r="D227" s="49" t="s">
        <v>9</v>
      </c>
      <c r="E227" s="52" t="s">
        <v>186</v>
      </c>
      <c r="I227" s="110" t="s">
        <v>250</v>
      </c>
      <c r="J227" s="55">
        <f t="shared" ref="J227:K227" si="70">(185*11*J36)-J179</f>
        <v>16280</v>
      </c>
      <c r="K227" s="55">
        <f t="shared" si="70"/>
        <v>2035</v>
      </c>
      <c r="L227" s="55"/>
      <c r="M227" s="55"/>
      <c r="N227" s="55"/>
      <c r="O227" s="102">
        <f t="shared" si="69"/>
        <v>18315</v>
      </c>
    </row>
    <row r="228" spans="1:15" x14ac:dyDescent="0.25">
      <c r="A228" s="106">
        <v>63114</v>
      </c>
      <c r="B228" s="114" t="s">
        <v>245</v>
      </c>
      <c r="C228" s="85">
        <f t="shared" si="68"/>
        <v>0</v>
      </c>
      <c r="D228" s="49" t="s">
        <v>9</v>
      </c>
      <c r="E228" s="114" t="s">
        <v>246</v>
      </c>
      <c r="I228" s="110" t="s">
        <v>251</v>
      </c>
      <c r="J228" s="55">
        <v>0</v>
      </c>
      <c r="K228" s="55"/>
      <c r="L228" s="55"/>
      <c r="M228" s="55"/>
      <c r="N228" s="55"/>
      <c r="O228" s="102">
        <f t="shared" si="69"/>
        <v>0</v>
      </c>
    </row>
    <row r="229" spans="1:15" x14ac:dyDescent="0.25">
      <c r="A229" s="106">
        <v>63114</v>
      </c>
      <c r="B229" s="114" t="s">
        <v>245</v>
      </c>
      <c r="C229" s="85">
        <f t="shared" si="68"/>
        <v>0</v>
      </c>
      <c r="D229" s="52" t="s">
        <v>24</v>
      </c>
      <c r="E229" s="114" t="s">
        <v>246</v>
      </c>
      <c r="I229" s="110" t="s">
        <v>252</v>
      </c>
      <c r="J229" s="55">
        <v>0</v>
      </c>
      <c r="K229" s="55"/>
      <c r="L229" s="55"/>
      <c r="M229" s="55">
        <f>8000*10</f>
        <v>80000</v>
      </c>
      <c r="N229" s="55"/>
      <c r="O229" s="102">
        <f t="shared" si="69"/>
        <v>80000</v>
      </c>
    </row>
    <row r="230" spans="1:15" x14ac:dyDescent="0.25">
      <c r="A230" s="108">
        <v>63123</v>
      </c>
      <c r="B230" s="110" t="s">
        <v>253</v>
      </c>
      <c r="C230" s="85">
        <f t="shared" si="68"/>
        <v>0</v>
      </c>
      <c r="D230" s="49" t="s">
        <v>9</v>
      </c>
      <c r="E230" s="114" t="s">
        <v>254</v>
      </c>
      <c r="I230" s="110" t="s">
        <v>255</v>
      </c>
      <c r="J230" s="55">
        <v>0</v>
      </c>
      <c r="K230" s="55"/>
      <c r="L230" s="55"/>
      <c r="M230" s="55"/>
      <c r="N230" s="55"/>
      <c r="O230" s="102">
        <f t="shared" si="69"/>
        <v>0</v>
      </c>
    </row>
    <row r="231" spans="1:15" x14ac:dyDescent="0.25">
      <c r="A231" s="108">
        <v>63121</v>
      </c>
      <c r="B231" s="110" t="s">
        <v>256</v>
      </c>
      <c r="C231" s="85">
        <f t="shared" si="68"/>
        <v>0</v>
      </c>
      <c r="D231" s="49" t="s">
        <v>9</v>
      </c>
      <c r="E231" s="110" t="s">
        <v>257</v>
      </c>
      <c r="I231" s="110" t="s">
        <v>258</v>
      </c>
      <c r="J231" s="55">
        <v>0</v>
      </c>
      <c r="K231" s="55"/>
      <c r="L231" s="55"/>
      <c r="M231" s="55"/>
      <c r="N231" s="55"/>
      <c r="O231" s="102">
        <f t="shared" si="69"/>
        <v>0</v>
      </c>
    </row>
    <row r="232" spans="1:15" x14ac:dyDescent="0.25">
      <c r="A232" s="111">
        <v>63114</v>
      </c>
      <c r="B232" s="112" t="s">
        <v>245</v>
      </c>
      <c r="C232" s="85">
        <f t="shared" si="68"/>
        <v>0</v>
      </c>
      <c r="D232" s="52" t="s">
        <v>36</v>
      </c>
      <c r="E232" s="114" t="s">
        <v>246</v>
      </c>
      <c r="I232" s="112" t="s">
        <v>259</v>
      </c>
      <c r="J232" s="58">
        <f>J68*0.005</f>
        <v>6258.2</v>
      </c>
      <c r="K232" s="58"/>
      <c r="L232" s="58"/>
      <c r="M232" s="58">
        <f>2596.59+1446+3353</f>
        <v>7395.59</v>
      </c>
      <c r="N232" s="58"/>
      <c r="O232" s="102">
        <f t="shared" si="69"/>
        <v>13653.79</v>
      </c>
    </row>
    <row r="233" spans="1:15" x14ac:dyDescent="0.25">
      <c r="A233" s="98"/>
      <c r="B233" s="98"/>
      <c r="C233" s="98"/>
      <c r="D233" s="98"/>
      <c r="E233" s="98"/>
      <c r="H233" s="115" t="s">
        <v>47</v>
      </c>
      <c r="I233" s="113"/>
      <c r="J233" s="92">
        <f t="shared" ref="J233:O233" si="71">SUM(J224:J232)</f>
        <v>32538.2</v>
      </c>
      <c r="K233" s="92">
        <f t="shared" si="71"/>
        <v>57285</v>
      </c>
      <c r="L233" s="92">
        <f t="shared" si="71"/>
        <v>0</v>
      </c>
      <c r="M233" s="92">
        <f t="shared" si="71"/>
        <v>87395.59</v>
      </c>
      <c r="N233" s="92">
        <f t="shared" si="71"/>
        <v>0</v>
      </c>
      <c r="O233" s="92">
        <f t="shared" si="71"/>
        <v>177218.79</v>
      </c>
    </row>
    <row r="234" spans="1:15" x14ac:dyDescent="0.25">
      <c r="H234" s="116"/>
      <c r="J234" s="99"/>
      <c r="K234" s="99"/>
      <c r="L234" s="99"/>
      <c r="M234" s="99"/>
      <c r="N234" s="99"/>
      <c r="O234" s="99"/>
    </row>
    <row r="235" spans="1:15" x14ac:dyDescent="0.25">
      <c r="A235" s="81"/>
      <c r="B235" s="82"/>
      <c r="C235" s="82"/>
      <c r="D235" s="82"/>
      <c r="E235" s="82"/>
      <c r="G235" s="100" t="s">
        <v>260</v>
      </c>
      <c r="H235" s="105"/>
      <c r="I235" s="82"/>
      <c r="J235" s="101" t="str">
        <f>J20</f>
        <v>Operating</v>
      </c>
      <c r="K235" s="101" t="str">
        <f t="shared" ref="K235:O235" si="72">K20</f>
        <v>SPED</v>
      </c>
      <c r="L235" s="101" t="str">
        <f t="shared" si="72"/>
        <v>NSLP</v>
      </c>
      <c r="M235" s="101" t="str">
        <f t="shared" si="72"/>
        <v>Title(s)</v>
      </c>
      <c r="N235" s="101" t="str">
        <f t="shared" si="72"/>
        <v>Other</v>
      </c>
      <c r="O235" s="101" t="str">
        <f t="shared" si="72"/>
        <v>Total</v>
      </c>
    </row>
    <row r="236" spans="1:15" x14ac:dyDescent="0.25">
      <c r="A236" s="106">
        <v>63120</v>
      </c>
      <c r="B236" s="114" t="s">
        <v>261</v>
      </c>
      <c r="C236" s="85">
        <f t="shared" ref="C236:C244" si="73">$C$1</f>
        <v>0</v>
      </c>
      <c r="D236" s="49" t="s">
        <v>9</v>
      </c>
      <c r="E236" s="114" t="s">
        <v>242</v>
      </c>
      <c r="I236" s="114" t="s">
        <v>247</v>
      </c>
      <c r="J236" s="102">
        <v>50000</v>
      </c>
      <c r="K236" s="102"/>
      <c r="L236" s="102"/>
      <c r="M236" s="102"/>
      <c r="N236" s="102"/>
      <c r="O236" s="102">
        <f>SUM(J236:N236)</f>
        <v>50000</v>
      </c>
    </row>
    <row r="237" spans="1:15" x14ac:dyDescent="0.25">
      <c r="A237" s="108">
        <v>63120</v>
      </c>
      <c r="B237" s="110" t="s">
        <v>261</v>
      </c>
      <c r="C237" s="85">
        <f t="shared" si="73"/>
        <v>0</v>
      </c>
      <c r="D237" s="49" t="s">
        <v>9</v>
      </c>
      <c r="E237" s="114" t="s">
        <v>242</v>
      </c>
      <c r="I237" s="110" t="s">
        <v>262</v>
      </c>
      <c r="J237" s="55">
        <v>0</v>
      </c>
      <c r="K237" s="55"/>
      <c r="L237" s="55"/>
      <c r="M237" s="55"/>
      <c r="N237" s="55"/>
      <c r="O237" s="102">
        <f t="shared" ref="O237:O244" si="74">SUM(J237:N237)</f>
        <v>0</v>
      </c>
    </row>
    <row r="238" spans="1:15" x14ac:dyDescent="0.25">
      <c r="A238" s="108">
        <v>63126</v>
      </c>
      <c r="B238" s="110" t="s">
        <v>253</v>
      </c>
      <c r="C238" s="85">
        <f t="shared" si="73"/>
        <v>0</v>
      </c>
      <c r="D238" s="49" t="s">
        <v>9</v>
      </c>
      <c r="E238" s="114" t="s">
        <v>254</v>
      </c>
      <c r="I238" s="110" t="s">
        <v>263</v>
      </c>
      <c r="J238" s="55">
        <f>(495*1.0074*1.015)*J17</f>
        <v>65798.582849999992</v>
      </c>
      <c r="K238" s="55"/>
      <c r="L238" s="55"/>
      <c r="M238" s="55"/>
      <c r="N238" s="55"/>
      <c r="O238" s="102">
        <f t="shared" si="74"/>
        <v>65798.582849999992</v>
      </c>
    </row>
    <row r="239" spans="1:15" x14ac:dyDescent="0.25">
      <c r="A239" s="108">
        <v>63311</v>
      </c>
      <c r="B239" s="110" t="s">
        <v>253</v>
      </c>
      <c r="C239" s="85">
        <f t="shared" si="73"/>
        <v>0</v>
      </c>
      <c r="D239" s="49" t="s">
        <v>9</v>
      </c>
      <c r="E239" s="114" t="s">
        <v>254</v>
      </c>
      <c r="I239" s="110" t="s">
        <v>264</v>
      </c>
      <c r="J239" s="55">
        <v>6813</v>
      </c>
      <c r="K239" s="55"/>
      <c r="L239" s="55"/>
      <c r="M239" s="55"/>
      <c r="N239" s="55"/>
      <c r="O239" s="102">
        <f t="shared" si="74"/>
        <v>6813</v>
      </c>
    </row>
    <row r="240" spans="1:15" x14ac:dyDescent="0.25">
      <c r="A240" s="108">
        <v>63125</v>
      </c>
      <c r="B240" s="110" t="s">
        <v>261</v>
      </c>
      <c r="C240" s="85">
        <f t="shared" si="73"/>
        <v>0</v>
      </c>
      <c r="D240" s="49" t="s">
        <v>9</v>
      </c>
      <c r="E240" s="114" t="s">
        <v>254</v>
      </c>
      <c r="I240" s="110" t="s">
        <v>265</v>
      </c>
      <c r="J240" s="55">
        <v>33000</v>
      </c>
      <c r="K240" s="55"/>
      <c r="L240" s="55"/>
      <c r="M240" s="55"/>
      <c r="N240" s="55"/>
      <c r="O240" s="102">
        <f t="shared" si="74"/>
        <v>33000</v>
      </c>
    </row>
    <row r="241" spans="1:15" x14ac:dyDescent="0.25">
      <c r="A241" s="108">
        <v>63124</v>
      </c>
      <c r="B241" s="110" t="s">
        <v>261</v>
      </c>
      <c r="C241" s="85">
        <f t="shared" si="73"/>
        <v>0</v>
      </c>
      <c r="D241" s="49" t="s">
        <v>9</v>
      </c>
      <c r="E241" s="110" t="s">
        <v>266</v>
      </c>
      <c r="I241" s="110" t="s">
        <v>267</v>
      </c>
      <c r="J241" s="55">
        <v>12500</v>
      </c>
      <c r="K241" s="55"/>
      <c r="L241" s="55"/>
      <c r="M241" s="55"/>
      <c r="N241" s="55"/>
      <c r="O241" s="102">
        <f t="shared" si="74"/>
        <v>12500</v>
      </c>
    </row>
    <row r="242" spans="1:15" x14ac:dyDescent="0.25">
      <c r="A242" s="108">
        <v>63210</v>
      </c>
      <c r="B242" s="110" t="s">
        <v>268</v>
      </c>
      <c r="C242" s="85">
        <f t="shared" si="73"/>
        <v>0</v>
      </c>
      <c r="D242" s="49" t="s">
        <v>9</v>
      </c>
      <c r="E242" s="114" t="s">
        <v>254</v>
      </c>
      <c r="I242" s="110" t="s">
        <v>269</v>
      </c>
      <c r="J242" s="55">
        <f>(48*J17)+(60*12)</f>
        <v>6960</v>
      </c>
      <c r="K242" s="55"/>
      <c r="L242" s="55"/>
      <c r="M242" s="55"/>
      <c r="N242" s="55"/>
      <c r="O242" s="102">
        <f t="shared" si="74"/>
        <v>6960</v>
      </c>
    </row>
    <row r="243" spans="1:15" x14ac:dyDescent="0.25">
      <c r="A243" s="108">
        <v>63210</v>
      </c>
      <c r="B243" s="110" t="s">
        <v>268</v>
      </c>
      <c r="C243" s="85">
        <f t="shared" si="73"/>
        <v>0</v>
      </c>
      <c r="D243" s="49" t="s">
        <v>9</v>
      </c>
      <c r="E243" s="114" t="s">
        <v>254</v>
      </c>
      <c r="I243" s="110" t="s">
        <v>270</v>
      </c>
      <c r="J243" s="55">
        <v>15000</v>
      </c>
      <c r="K243" s="55"/>
      <c r="L243" s="55"/>
      <c r="M243" s="55"/>
      <c r="N243" s="55"/>
      <c r="O243" s="102">
        <f t="shared" si="74"/>
        <v>15000</v>
      </c>
    </row>
    <row r="244" spans="1:15" x14ac:dyDescent="0.25">
      <c r="A244" s="111">
        <v>63151</v>
      </c>
      <c r="B244" s="112" t="s">
        <v>271</v>
      </c>
      <c r="C244" s="85">
        <f t="shared" si="73"/>
        <v>0</v>
      </c>
      <c r="D244" s="49" t="s">
        <v>9</v>
      </c>
      <c r="E244" s="112" t="s">
        <v>272</v>
      </c>
      <c r="I244" s="112" t="s">
        <v>273</v>
      </c>
      <c r="J244" s="58">
        <f>(J68)*0.0125-8685.33</f>
        <v>6960.17</v>
      </c>
      <c r="K244" s="58"/>
      <c r="L244" s="58"/>
      <c r="M244" s="58"/>
      <c r="N244" s="58"/>
      <c r="O244" s="102">
        <f t="shared" si="74"/>
        <v>6960.17</v>
      </c>
    </row>
    <row r="245" spans="1:15" x14ac:dyDescent="0.25">
      <c r="A245" s="98"/>
      <c r="B245" s="98"/>
      <c r="C245" s="98"/>
      <c r="D245" s="98"/>
      <c r="E245" s="98"/>
      <c r="H245" s="93" t="s">
        <v>47</v>
      </c>
      <c r="I245" s="113"/>
      <c r="J245" s="92">
        <f t="shared" ref="J245:O245" si="75">SUM(J236:J244)</f>
        <v>197031.75285000002</v>
      </c>
      <c r="K245" s="92">
        <f t="shared" si="75"/>
        <v>0</v>
      </c>
      <c r="L245" s="92">
        <f t="shared" si="75"/>
        <v>0</v>
      </c>
      <c r="M245" s="92">
        <f t="shared" si="75"/>
        <v>0</v>
      </c>
      <c r="N245" s="92">
        <f t="shared" si="75"/>
        <v>0</v>
      </c>
      <c r="O245" s="92">
        <f t="shared" si="75"/>
        <v>197031.75285000002</v>
      </c>
    </row>
    <row r="246" spans="1:15" x14ac:dyDescent="0.25">
      <c r="J246" s="99"/>
      <c r="K246" s="99"/>
      <c r="L246" s="99"/>
      <c r="M246" s="99"/>
      <c r="N246" s="99"/>
      <c r="O246" s="99"/>
    </row>
    <row r="247" spans="1:15" x14ac:dyDescent="0.25">
      <c r="A247" s="81"/>
      <c r="B247" s="82"/>
      <c r="C247" s="82"/>
      <c r="D247" s="82"/>
      <c r="E247" s="82"/>
      <c r="G247" s="100" t="s">
        <v>274</v>
      </c>
      <c r="H247" s="105"/>
      <c r="I247" s="82"/>
      <c r="J247" s="101" t="str">
        <f>J20</f>
        <v>Operating</v>
      </c>
      <c r="K247" s="101" t="str">
        <f t="shared" ref="K247:O247" si="76">K20</f>
        <v>SPED</v>
      </c>
      <c r="L247" s="101" t="str">
        <f t="shared" si="76"/>
        <v>NSLP</v>
      </c>
      <c r="M247" s="101" t="str">
        <f t="shared" si="76"/>
        <v>Title(s)</v>
      </c>
      <c r="N247" s="101" t="str">
        <f t="shared" si="76"/>
        <v>Other</v>
      </c>
      <c r="O247" s="101" t="str">
        <f t="shared" si="76"/>
        <v>Total</v>
      </c>
    </row>
    <row r="248" spans="1:15" x14ac:dyDescent="0.25">
      <c r="A248" s="106">
        <v>63220</v>
      </c>
      <c r="B248" s="114" t="s">
        <v>275</v>
      </c>
      <c r="C248" s="85">
        <f t="shared" ref="C248:C265" si="77">$C$1</f>
        <v>0</v>
      </c>
      <c r="D248" s="49" t="s">
        <v>9</v>
      </c>
      <c r="E248" s="114" t="s">
        <v>254</v>
      </c>
      <c r="I248" s="114" t="s">
        <v>276</v>
      </c>
      <c r="J248" s="102">
        <f>'26-27'!J248*1.03</f>
        <v>3230.4405000000002</v>
      </c>
      <c r="K248" s="102"/>
      <c r="L248" s="102"/>
      <c r="M248" s="102"/>
      <c r="N248" s="102"/>
      <c r="O248" s="102">
        <f t="shared" ref="O248:O265" si="78">SUM(J248:N248)</f>
        <v>3230.4405000000002</v>
      </c>
    </row>
    <row r="249" spans="1:15" x14ac:dyDescent="0.25">
      <c r="A249" s="106">
        <v>63231</v>
      </c>
      <c r="B249" s="114" t="s">
        <v>277</v>
      </c>
      <c r="C249" s="85">
        <f t="shared" si="77"/>
        <v>0</v>
      </c>
      <c r="D249" s="49" t="s">
        <v>9</v>
      </c>
      <c r="E249" s="114" t="s">
        <v>278</v>
      </c>
      <c r="I249" s="114" t="s">
        <v>279</v>
      </c>
      <c r="J249" s="102">
        <f>'26-27'!J249*1.03</f>
        <v>4299.8276999999998</v>
      </c>
      <c r="K249" s="102"/>
      <c r="L249" s="102"/>
      <c r="M249" s="102"/>
      <c r="N249" s="102"/>
      <c r="O249" s="102">
        <f t="shared" si="78"/>
        <v>4299.8276999999998</v>
      </c>
    </row>
    <row r="250" spans="1:15" x14ac:dyDescent="0.25">
      <c r="A250" s="106">
        <v>63350</v>
      </c>
      <c r="B250" s="114" t="s">
        <v>280</v>
      </c>
      <c r="C250" s="85">
        <f t="shared" si="77"/>
        <v>0</v>
      </c>
      <c r="D250" s="49" t="s">
        <v>9</v>
      </c>
      <c r="E250" s="114" t="s">
        <v>114</v>
      </c>
      <c r="I250" s="110" t="s">
        <v>281</v>
      </c>
      <c r="J250" s="55">
        <v>2000</v>
      </c>
      <c r="K250" s="55"/>
      <c r="L250" s="55"/>
      <c r="M250" s="55"/>
      <c r="N250" s="55"/>
      <c r="O250" s="102">
        <f t="shared" si="78"/>
        <v>2000</v>
      </c>
    </row>
    <row r="251" spans="1:15" x14ac:dyDescent="0.25">
      <c r="A251" s="106">
        <v>63231</v>
      </c>
      <c r="B251" s="114" t="s">
        <v>277</v>
      </c>
      <c r="C251" s="85">
        <f t="shared" si="77"/>
        <v>0</v>
      </c>
      <c r="D251" s="49" t="s">
        <v>9</v>
      </c>
      <c r="E251" s="114" t="s">
        <v>278</v>
      </c>
      <c r="I251" s="110" t="s">
        <v>282</v>
      </c>
      <c r="J251" s="55">
        <v>5500</v>
      </c>
      <c r="K251" s="55"/>
      <c r="L251" s="55"/>
      <c r="M251" s="55"/>
      <c r="N251" s="55"/>
      <c r="O251" s="102">
        <f t="shared" si="78"/>
        <v>5500</v>
      </c>
    </row>
    <row r="252" spans="1:15" x14ac:dyDescent="0.25">
      <c r="A252" s="106">
        <v>64272</v>
      </c>
      <c r="B252" s="114" t="s">
        <v>283</v>
      </c>
      <c r="C252" s="85">
        <f t="shared" si="77"/>
        <v>0</v>
      </c>
      <c r="D252" s="49" t="s">
        <v>9</v>
      </c>
      <c r="E252" s="52" t="s">
        <v>186</v>
      </c>
      <c r="I252" s="110" t="s">
        <v>284</v>
      </c>
      <c r="J252" s="102">
        <f>'26-27'!J252*1.03</f>
        <v>14003.880000000001</v>
      </c>
      <c r="K252" s="55"/>
      <c r="L252" s="55"/>
      <c r="M252" s="55"/>
      <c r="N252" s="55"/>
      <c r="O252" s="102">
        <f t="shared" si="78"/>
        <v>14003.880000000001</v>
      </c>
    </row>
    <row r="253" spans="1:15" x14ac:dyDescent="0.25">
      <c r="A253" s="106">
        <v>62553</v>
      </c>
      <c r="B253" s="114" t="s">
        <v>285</v>
      </c>
      <c r="C253" s="85">
        <f t="shared" si="77"/>
        <v>0</v>
      </c>
      <c r="D253" s="49" t="s">
        <v>9</v>
      </c>
      <c r="E253" s="52" t="s">
        <v>186</v>
      </c>
      <c r="I253" s="110" t="s">
        <v>286</v>
      </c>
      <c r="J253" s="55">
        <f>((2+0.4+1.95)*J17)+7500</f>
        <v>8065.5</v>
      </c>
      <c r="K253" s="55"/>
      <c r="L253" s="55"/>
      <c r="M253" s="55"/>
      <c r="N253" s="55"/>
      <c r="O253" s="102">
        <f t="shared" si="78"/>
        <v>8065.5</v>
      </c>
    </row>
    <row r="254" spans="1:15" x14ac:dyDescent="0.25">
      <c r="A254" s="106">
        <v>65210</v>
      </c>
      <c r="B254" s="114" t="s">
        <v>287</v>
      </c>
      <c r="C254" s="85">
        <f t="shared" si="77"/>
        <v>0</v>
      </c>
      <c r="D254" s="49" t="s">
        <v>9</v>
      </c>
      <c r="E254" s="114" t="s">
        <v>242</v>
      </c>
      <c r="I254" s="110" t="s">
        <v>288</v>
      </c>
      <c r="J254" s="102">
        <f>'26-27'!J254*1.1</f>
        <v>44588.5</v>
      </c>
      <c r="K254" s="55"/>
      <c r="L254" s="55"/>
      <c r="M254" s="55"/>
      <c r="N254" s="55"/>
      <c r="O254" s="102">
        <f t="shared" si="78"/>
        <v>44588.5</v>
      </c>
    </row>
    <row r="255" spans="1:15" x14ac:dyDescent="0.25">
      <c r="A255" s="106">
        <v>64100</v>
      </c>
      <c r="B255" s="114" t="s">
        <v>289</v>
      </c>
      <c r="C255" s="85">
        <f t="shared" si="77"/>
        <v>0</v>
      </c>
      <c r="D255" s="52" t="s">
        <v>39</v>
      </c>
      <c r="E255" s="114" t="s">
        <v>160</v>
      </c>
      <c r="I255" s="110" t="s">
        <v>290</v>
      </c>
      <c r="J255" s="55"/>
      <c r="K255" s="55"/>
      <c r="L255" s="55">
        <f>(40*180*2.5)*1.015*1.015</f>
        <v>18544.05</v>
      </c>
      <c r="M255" s="55"/>
      <c r="N255" s="55"/>
      <c r="O255" s="102">
        <f t="shared" si="78"/>
        <v>18544.05</v>
      </c>
    </row>
    <row r="256" spans="1:15" x14ac:dyDescent="0.25">
      <c r="A256" s="106">
        <v>64100</v>
      </c>
      <c r="B256" s="114" t="s">
        <v>289</v>
      </c>
      <c r="C256" s="85">
        <f t="shared" si="77"/>
        <v>0</v>
      </c>
      <c r="D256" s="52" t="s">
        <v>39</v>
      </c>
      <c r="E256" s="114" t="s">
        <v>160</v>
      </c>
      <c r="I256" s="110" t="s">
        <v>291</v>
      </c>
      <c r="J256" s="55"/>
      <c r="K256" s="55"/>
      <c r="L256" s="55">
        <f>(60*3.86*180)*1.015*1.015</f>
        <v>42948.019799999987</v>
      </c>
      <c r="M256" s="55"/>
      <c r="N256" s="55"/>
      <c r="O256" s="102">
        <f t="shared" si="78"/>
        <v>42948.019799999987</v>
      </c>
    </row>
    <row r="257" spans="1:15" x14ac:dyDescent="0.25">
      <c r="A257" s="106">
        <v>63330</v>
      </c>
      <c r="B257" s="114" t="s">
        <v>292</v>
      </c>
      <c r="C257" s="85">
        <f t="shared" si="77"/>
        <v>0</v>
      </c>
      <c r="D257" s="49" t="s">
        <v>9</v>
      </c>
      <c r="E257" s="114" t="s">
        <v>293</v>
      </c>
      <c r="I257" s="110" t="s">
        <v>294</v>
      </c>
      <c r="J257" s="55">
        <v>30000</v>
      </c>
      <c r="K257" s="55"/>
      <c r="L257" s="55"/>
      <c r="M257" s="55"/>
      <c r="N257" s="55"/>
      <c r="O257" s="102">
        <f t="shared" si="78"/>
        <v>30000</v>
      </c>
    </row>
    <row r="258" spans="1:15" x14ac:dyDescent="0.25">
      <c r="A258" s="106">
        <v>61584</v>
      </c>
      <c r="B258" s="114" t="s">
        <v>295</v>
      </c>
      <c r="C258" s="85">
        <f t="shared" si="77"/>
        <v>0</v>
      </c>
      <c r="D258" s="49" t="s">
        <v>9</v>
      </c>
      <c r="E258" s="52" t="s">
        <v>114</v>
      </c>
      <c r="I258" s="110" t="s">
        <v>296</v>
      </c>
      <c r="J258" s="55">
        <v>5500</v>
      </c>
      <c r="K258" s="55"/>
      <c r="L258" s="55"/>
      <c r="M258" s="55">
        <v>2331</v>
      </c>
      <c r="N258" s="55"/>
      <c r="O258" s="102">
        <f t="shared" si="78"/>
        <v>7831</v>
      </c>
    </row>
    <row r="259" spans="1:15" x14ac:dyDescent="0.25">
      <c r="A259" s="106">
        <v>63127</v>
      </c>
      <c r="B259" s="114" t="s">
        <v>261</v>
      </c>
      <c r="C259" s="85">
        <f t="shared" si="77"/>
        <v>0</v>
      </c>
      <c r="D259" s="49" t="s">
        <v>9</v>
      </c>
      <c r="E259" s="114" t="s">
        <v>297</v>
      </c>
      <c r="I259" s="110" t="s">
        <v>298</v>
      </c>
      <c r="J259" s="55">
        <v>900</v>
      </c>
      <c r="K259" s="55"/>
      <c r="L259" s="55"/>
      <c r="M259" s="55"/>
      <c r="N259" s="55"/>
      <c r="O259" s="102">
        <f t="shared" si="78"/>
        <v>900</v>
      </c>
    </row>
    <row r="260" spans="1:15" x14ac:dyDescent="0.25">
      <c r="A260" s="108">
        <v>63610</v>
      </c>
      <c r="B260" s="110" t="s">
        <v>299</v>
      </c>
      <c r="C260" s="85">
        <f t="shared" si="77"/>
        <v>0</v>
      </c>
      <c r="D260" s="49" t="s">
        <v>9</v>
      </c>
      <c r="E260" s="110" t="s">
        <v>300</v>
      </c>
      <c r="I260" s="110" t="s">
        <v>301</v>
      </c>
      <c r="J260" s="55">
        <f>(6*J17)+1500+1000</f>
        <v>3280</v>
      </c>
      <c r="K260" s="55"/>
      <c r="L260" s="55"/>
      <c r="M260" s="55"/>
      <c r="N260" s="55"/>
      <c r="O260" s="102">
        <f t="shared" si="78"/>
        <v>3280</v>
      </c>
    </row>
    <row r="261" spans="1:15" x14ac:dyDescent="0.25">
      <c r="A261" s="108">
        <v>62670</v>
      </c>
      <c r="B261" s="110" t="s">
        <v>236</v>
      </c>
      <c r="C261" s="85">
        <f t="shared" si="77"/>
        <v>0</v>
      </c>
      <c r="D261" s="49" t="s">
        <v>9</v>
      </c>
      <c r="E261" s="110" t="s">
        <v>302</v>
      </c>
      <c r="I261" s="110" t="s">
        <v>303</v>
      </c>
      <c r="J261" s="55">
        <v>0</v>
      </c>
      <c r="K261" s="55"/>
      <c r="L261" s="55"/>
      <c r="M261" s="55"/>
      <c r="N261" s="55"/>
      <c r="O261" s="102">
        <f t="shared" si="78"/>
        <v>0</v>
      </c>
    </row>
    <row r="262" spans="1:15" x14ac:dyDescent="0.25">
      <c r="A262" s="108">
        <v>90002</v>
      </c>
      <c r="B262" s="110" t="s">
        <v>304</v>
      </c>
      <c r="C262" s="85">
        <f t="shared" si="77"/>
        <v>0</v>
      </c>
      <c r="D262" s="49" t="s">
        <v>9</v>
      </c>
      <c r="E262" s="110" t="s">
        <v>305</v>
      </c>
      <c r="I262" s="110" t="s">
        <v>306</v>
      </c>
      <c r="J262" s="55">
        <v>0</v>
      </c>
      <c r="K262" s="55"/>
      <c r="L262" s="55"/>
      <c r="M262" s="55"/>
      <c r="N262" s="55"/>
      <c r="O262" s="102">
        <f t="shared" si="78"/>
        <v>0</v>
      </c>
    </row>
    <row r="263" spans="1:15" x14ac:dyDescent="0.25">
      <c r="A263" s="108">
        <v>69990</v>
      </c>
      <c r="B263" s="110" t="s">
        <v>307</v>
      </c>
      <c r="C263" s="85">
        <f t="shared" si="77"/>
        <v>0</v>
      </c>
      <c r="D263" s="114" t="s">
        <v>33</v>
      </c>
      <c r="E263" s="110" t="s">
        <v>308</v>
      </c>
      <c r="I263" s="110" t="s">
        <v>309</v>
      </c>
      <c r="J263" s="55">
        <f>J80</f>
        <v>0</v>
      </c>
      <c r="K263" s="55"/>
      <c r="L263" s="55"/>
      <c r="M263" s="55"/>
      <c r="N263" s="55"/>
      <c r="O263" s="102">
        <f t="shared" si="78"/>
        <v>0</v>
      </c>
    </row>
    <row r="264" spans="1:15" x14ac:dyDescent="0.25">
      <c r="A264" s="108">
        <v>69900</v>
      </c>
      <c r="B264" s="110" t="s">
        <v>299</v>
      </c>
      <c r="C264" s="85">
        <f t="shared" si="77"/>
        <v>0</v>
      </c>
      <c r="D264" s="49" t="s">
        <v>9</v>
      </c>
      <c r="E264" s="110" t="s">
        <v>300</v>
      </c>
      <c r="I264" s="110" t="s">
        <v>310</v>
      </c>
      <c r="J264" s="55">
        <v>0</v>
      </c>
      <c r="K264" s="55"/>
      <c r="L264" s="55"/>
      <c r="M264" s="55"/>
      <c r="N264" s="55"/>
      <c r="O264" s="102">
        <f t="shared" si="78"/>
        <v>0</v>
      </c>
    </row>
    <row r="265" spans="1:15" x14ac:dyDescent="0.25">
      <c r="A265" s="111">
        <v>69900</v>
      </c>
      <c r="B265" s="112" t="s">
        <v>311</v>
      </c>
      <c r="C265" s="85">
        <f t="shared" si="77"/>
        <v>0</v>
      </c>
      <c r="D265" s="49" t="s">
        <v>9</v>
      </c>
      <c r="E265" s="112" t="s">
        <v>312</v>
      </c>
      <c r="I265" s="112" t="s">
        <v>313</v>
      </c>
      <c r="J265" s="58">
        <f>J68*0</f>
        <v>0</v>
      </c>
      <c r="K265" s="58"/>
      <c r="L265" s="58"/>
      <c r="M265" s="58"/>
      <c r="N265" s="58"/>
      <c r="O265" s="102">
        <f t="shared" si="78"/>
        <v>0</v>
      </c>
    </row>
    <row r="266" spans="1:15" x14ac:dyDescent="0.25">
      <c r="A266" s="98"/>
      <c r="B266" s="98"/>
      <c r="C266" s="98"/>
      <c r="D266" s="98"/>
      <c r="E266" s="98"/>
      <c r="H266" s="93" t="s">
        <v>47</v>
      </c>
      <c r="I266" s="113"/>
      <c r="J266" s="92">
        <f t="shared" ref="J266:K266" si="79">SUM(J248:J265)</f>
        <v>121368.1482</v>
      </c>
      <c r="K266" s="92">
        <f t="shared" si="79"/>
        <v>0</v>
      </c>
      <c r="L266" s="92">
        <f t="shared" ref="L266:O266" si="80">SUM(L248:L265)</f>
        <v>61492.069799999983</v>
      </c>
      <c r="M266" s="92">
        <f t="shared" si="80"/>
        <v>2331</v>
      </c>
      <c r="N266" s="92">
        <f t="shared" si="80"/>
        <v>0</v>
      </c>
      <c r="O266" s="92">
        <f t="shared" si="80"/>
        <v>185191.21799999999</v>
      </c>
    </row>
    <row r="267" spans="1:15" ht="16.5" thickBot="1" x14ac:dyDescent="0.3">
      <c r="J267" s="99"/>
      <c r="K267" s="99"/>
      <c r="L267" s="99"/>
      <c r="M267" s="99"/>
      <c r="N267" s="99"/>
      <c r="O267" s="99"/>
    </row>
    <row r="268" spans="1:15" ht="16.5" thickBot="1" x14ac:dyDescent="0.3">
      <c r="A268" s="68" t="s">
        <v>5</v>
      </c>
      <c r="B268" s="68" t="s">
        <v>91</v>
      </c>
      <c r="C268" s="68" t="s">
        <v>92</v>
      </c>
      <c r="D268" s="68" t="s">
        <v>4</v>
      </c>
      <c r="E268" s="68" t="s">
        <v>93</v>
      </c>
      <c r="G268" s="100" t="s">
        <v>314</v>
      </c>
      <c r="H268" s="105"/>
      <c r="I268" s="82"/>
      <c r="J268" s="101" t="str">
        <f>J20</f>
        <v>Operating</v>
      </c>
      <c r="K268" s="101" t="str">
        <f t="shared" ref="K268:O268" si="81">K20</f>
        <v>SPED</v>
      </c>
      <c r="L268" s="101" t="str">
        <f t="shared" si="81"/>
        <v>NSLP</v>
      </c>
      <c r="M268" s="101" t="str">
        <f t="shared" si="81"/>
        <v>Title(s)</v>
      </c>
      <c r="N268" s="101" t="str">
        <f t="shared" si="81"/>
        <v>Other</v>
      </c>
      <c r="O268" s="101" t="str">
        <f t="shared" si="81"/>
        <v>Total</v>
      </c>
    </row>
    <row r="269" spans="1:15" x14ac:dyDescent="0.25">
      <c r="A269" s="106">
        <v>65510</v>
      </c>
      <c r="B269" s="114" t="s">
        <v>315</v>
      </c>
      <c r="C269" s="85">
        <f t="shared" ref="C269:C279" si="82">$C$1</f>
        <v>0</v>
      </c>
      <c r="D269" s="49" t="s">
        <v>9</v>
      </c>
      <c r="E269" s="114" t="s">
        <v>242</v>
      </c>
      <c r="I269" s="114" t="s">
        <v>316</v>
      </c>
      <c r="J269" s="102">
        <f>'26-27'!J269*1.03</f>
        <v>47316.14</v>
      </c>
      <c r="K269" s="102"/>
      <c r="L269" s="102"/>
      <c r="M269" s="102"/>
      <c r="N269" s="102"/>
      <c r="O269" s="102">
        <f>SUM(J269:N269)</f>
        <v>47316.14</v>
      </c>
    </row>
    <row r="270" spans="1:15" x14ac:dyDescent="0.25">
      <c r="A270" s="106">
        <v>65530</v>
      </c>
      <c r="B270" s="114" t="s">
        <v>317</v>
      </c>
      <c r="C270" s="85">
        <f t="shared" si="82"/>
        <v>0</v>
      </c>
      <c r="D270" s="49" t="s">
        <v>9</v>
      </c>
      <c r="E270" s="114" t="s">
        <v>242</v>
      </c>
      <c r="I270" s="110" t="s">
        <v>318</v>
      </c>
      <c r="J270" s="102">
        <f>'26-27'!J270*1.03</f>
        <v>1909.6200000000001</v>
      </c>
      <c r="K270" s="55"/>
      <c r="L270" s="55"/>
      <c r="M270" s="55"/>
      <c r="N270" s="55"/>
      <c r="O270" s="102">
        <f t="shared" ref="O270:O279" si="83">SUM(J270:N270)</f>
        <v>1909.6200000000001</v>
      </c>
    </row>
    <row r="271" spans="1:15" x14ac:dyDescent="0.25">
      <c r="A271" s="106">
        <v>65540</v>
      </c>
      <c r="B271" s="114" t="s">
        <v>319</v>
      </c>
      <c r="C271" s="85">
        <f t="shared" si="82"/>
        <v>0</v>
      </c>
      <c r="D271" s="49" t="s">
        <v>9</v>
      </c>
      <c r="E271" s="114" t="s">
        <v>242</v>
      </c>
      <c r="I271" s="110" t="s">
        <v>320</v>
      </c>
      <c r="J271" s="102">
        <f>'26-27'!J271*1.03</f>
        <v>11245.54</v>
      </c>
      <c r="K271" s="55"/>
      <c r="L271" s="55"/>
      <c r="M271" s="55"/>
      <c r="N271" s="55"/>
      <c r="O271" s="102">
        <f t="shared" si="83"/>
        <v>11245.54</v>
      </c>
    </row>
    <row r="272" spans="1:15" x14ac:dyDescent="0.25">
      <c r="A272" s="106">
        <v>65550</v>
      </c>
      <c r="B272" s="114" t="s">
        <v>321</v>
      </c>
      <c r="C272" s="85">
        <f t="shared" si="82"/>
        <v>0</v>
      </c>
      <c r="D272" s="49" t="s">
        <v>9</v>
      </c>
      <c r="E272" s="114" t="s">
        <v>242</v>
      </c>
      <c r="I272" s="110" t="s">
        <v>322</v>
      </c>
      <c r="J272" s="102">
        <f>'26-27'!J272*1.03</f>
        <v>4243.6000000000004</v>
      </c>
      <c r="K272" s="55"/>
      <c r="L272" s="55"/>
      <c r="M272" s="55"/>
      <c r="N272" s="55"/>
      <c r="O272" s="102">
        <f t="shared" si="83"/>
        <v>4243.6000000000004</v>
      </c>
    </row>
    <row r="273" spans="1:15" x14ac:dyDescent="0.25">
      <c r="A273" s="106">
        <v>63632</v>
      </c>
      <c r="B273" s="114" t="s">
        <v>323</v>
      </c>
      <c r="C273" s="85">
        <f t="shared" si="82"/>
        <v>0</v>
      </c>
      <c r="D273" s="49" t="s">
        <v>9</v>
      </c>
      <c r="E273" s="114" t="s">
        <v>324</v>
      </c>
      <c r="I273" s="110" t="s">
        <v>325</v>
      </c>
      <c r="J273" s="102">
        <f>'26-27'!J273*1.03</f>
        <v>1060.9000000000001</v>
      </c>
      <c r="K273" s="55"/>
      <c r="L273" s="55"/>
      <c r="M273" s="55"/>
      <c r="N273" s="55"/>
      <c r="O273" s="102">
        <f t="shared" si="83"/>
        <v>1060.9000000000001</v>
      </c>
    </row>
    <row r="274" spans="1:15" x14ac:dyDescent="0.25">
      <c r="A274" s="106">
        <v>65100</v>
      </c>
      <c r="B274" s="114" t="s">
        <v>326</v>
      </c>
      <c r="C274" s="85">
        <f t="shared" si="82"/>
        <v>0</v>
      </c>
      <c r="D274" s="49" t="s">
        <v>9</v>
      </c>
      <c r="E274" s="114" t="s">
        <v>242</v>
      </c>
      <c r="I274" s="110" t="s">
        <v>327</v>
      </c>
      <c r="J274" s="102">
        <f>'26-27'!J274*1.03</f>
        <v>14269.105</v>
      </c>
      <c r="K274" s="55"/>
      <c r="L274" s="55"/>
      <c r="M274" s="55"/>
      <c r="N274" s="55"/>
      <c r="O274" s="102">
        <f t="shared" si="83"/>
        <v>14269.105</v>
      </c>
    </row>
    <row r="275" spans="1:15" x14ac:dyDescent="0.25">
      <c r="A275" s="106">
        <v>65310</v>
      </c>
      <c r="B275" s="114" t="s">
        <v>328</v>
      </c>
      <c r="C275" s="85">
        <f t="shared" si="82"/>
        <v>0</v>
      </c>
      <c r="D275" s="49" t="s">
        <v>9</v>
      </c>
      <c r="E275" s="114" t="s">
        <v>242</v>
      </c>
      <c r="I275" s="110" t="s">
        <v>329</v>
      </c>
      <c r="J275" s="55">
        <v>30000</v>
      </c>
      <c r="K275" s="55"/>
      <c r="L275" s="55"/>
      <c r="M275" s="55"/>
      <c r="N275" s="55"/>
      <c r="O275" s="102">
        <f t="shared" si="83"/>
        <v>30000</v>
      </c>
    </row>
    <row r="276" spans="1:15" x14ac:dyDescent="0.25">
      <c r="A276" s="106">
        <v>65310</v>
      </c>
      <c r="B276" s="114" t="s">
        <v>330</v>
      </c>
      <c r="C276" s="85">
        <f t="shared" si="82"/>
        <v>0</v>
      </c>
      <c r="D276" s="49" t="s">
        <v>9</v>
      </c>
      <c r="E276" s="114" t="s">
        <v>242</v>
      </c>
      <c r="I276" s="110" t="s">
        <v>331</v>
      </c>
      <c r="J276" s="55"/>
      <c r="K276" s="55"/>
      <c r="L276" s="55"/>
      <c r="M276" s="55"/>
      <c r="N276" s="55"/>
      <c r="O276" s="102">
        <f t="shared" si="83"/>
        <v>0</v>
      </c>
    </row>
    <row r="277" spans="1:15" x14ac:dyDescent="0.25">
      <c r="A277" s="106">
        <v>65112</v>
      </c>
      <c r="B277" s="114" t="s">
        <v>332</v>
      </c>
      <c r="C277" s="85">
        <f t="shared" si="82"/>
        <v>0</v>
      </c>
      <c r="D277" s="49" t="s">
        <v>9</v>
      </c>
      <c r="E277" s="114" t="s">
        <v>242</v>
      </c>
      <c r="I277" s="110" t="s">
        <v>333</v>
      </c>
      <c r="J277" s="55">
        <v>0</v>
      </c>
      <c r="K277" s="55"/>
      <c r="L277" s="55"/>
      <c r="M277" s="55"/>
      <c r="N277" s="55"/>
      <c r="O277" s="102">
        <f t="shared" si="83"/>
        <v>0</v>
      </c>
    </row>
    <row r="278" spans="1:15" x14ac:dyDescent="0.25">
      <c r="A278" s="106">
        <v>65111</v>
      </c>
      <c r="B278" s="114" t="s">
        <v>332</v>
      </c>
      <c r="C278" s="85">
        <f t="shared" si="82"/>
        <v>0</v>
      </c>
      <c r="D278" s="49" t="s">
        <v>9</v>
      </c>
      <c r="E278" s="114" t="s">
        <v>242</v>
      </c>
      <c r="I278" s="110" t="s">
        <v>334</v>
      </c>
      <c r="J278" s="55">
        <v>0</v>
      </c>
      <c r="K278" s="55"/>
      <c r="L278" s="55"/>
      <c r="M278" s="55"/>
      <c r="N278" s="55"/>
      <c r="O278" s="102">
        <f t="shared" si="83"/>
        <v>0</v>
      </c>
    </row>
    <row r="279" spans="1:15" x14ac:dyDescent="0.25">
      <c r="A279" s="117">
        <v>65311</v>
      </c>
      <c r="B279" s="118" t="s">
        <v>328</v>
      </c>
      <c r="C279" s="85">
        <f t="shared" si="82"/>
        <v>0</v>
      </c>
      <c r="D279" s="49" t="s">
        <v>9</v>
      </c>
      <c r="E279" s="114" t="s">
        <v>242</v>
      </c>
      <c r="I279" s="112" t="s">
        <v>335</v>
      </c>
      <c r="J279" s="58">
        <v>11000</v>
      </c>
      <c r="K279" s="58"/>
      <c r="L279" s="58"/>
      <c r="M279" s="58"/>
      <c r="N279" s="58"/>
      <c r="O279" s="102">
        <f t="shared" si="83"/>
        <v>11000</v>
      </c>
    </row>
    <row r="280" spans="1:15" x14ac:dyDescent="0.25">
      <c r="A280" s="98"/>
      <c r="B280" s="98"/>
      <c r="C280" s="98"/>
      <c r="D280" s="98"/>
      <c r="E280" s="98"/>
      <c r="H280" s="93" t="s">
        <v>47</v>
      </c>
      <c r="I280" s="113"/>
      <c r="J280" s="92">
        <f t="shared" ref="J280:O280" si="84">SUM(J269:J279)</f>
        <v>121044.905</v>
      </c>
      <c r="K280" s="92">
        <f t="shared" si="84"/>
        <v>0</v>
      </c>
      <c r="L280" s="92">
        <f t="shared" si="84"/>
        <v>0</v>
      </c>
      <c r="M280" s="92">
        <f t="shared" si="84"/>
        <v>0</v>
      </c>
      <c r="N280" s="92">
        <f t="shared" si="84"/>
        <v>0</v>
      </c>
      <c r="O280" s="92">
        <f t="shared" si="84"/>
        <v>121044.905</v>
      </c>
    </row>
    <row r="281" spans="1:15" ht="16.5" thickBot="1" x14ac:dyDescent="0.3">
      <c r="J281" s="99"/>
      <c r="K281" s="99"/>
      <c r="L281" s="99"/>
      <c r="M281" s="99"/>
      <c r="N281" s="99"/>
      <c r="O281" s="99"/>
    </row>
    <row r="282" spans="1:15" ht="16.149999999999999" customHeight="1" thickBot="1" x14ac:dyDescent="0.3">
      <c r="A282" s="81"/>
      <c r="B282" s="82"/>
      <c r="C282" s="82"/>
      <c r="D282" s="82"/>
      <c r="E282" s="82"/>
      <c r="G282" s="180" t="s">
        <v>336</v>
      </c>
      <c r="H282" s="181"/>
      <c r="I282" s="181"/>
      <c r="J282" s="119">
        <f t="shared" ref="J282:O282" si="85">J280+J266+J245+J233+J221+J212+J201+J180+J153+J134</f>
        <v>1612268.0646937499</v>
      </c>
      <c r="K282" s="119">
        <f t="shared" si="85"/>
        <v>179608.28980218747</v>
      </c>
      <c r="L282" s="119">
        <f t="shared" si="85"/>
        <v>137158.65879999998</v>
      </c>
      <c r="M282" s="119">
        <f t="shared" si="85"/>
        <v>125273.1525</v>
      </c>
      <c r="N282" s="119">
        <f t="shared" si="85"/>
        <v>0</v>
      </c>
      <c r="O282" s="119">
        <f t="shared" si="85"/>
        <v>2054308.1657959374</v>
      </c>
    </row>
    <row r="283" spans="1:15" ht="16.5" thickBot="1" x14ac:dyDescent="0.3">
      <c r="J283" s="99"/>
      <c r="K283" s="99"/>
      <c r="L283" s="99"/>
      <c r="M283" s="99"/>
      <c r="N283" s="99"/>
      <c r="O283" s="99"/>
    </row>
    <row r="284" spans="1:15" ht="16.5" thickBot="1" x14ac:dyDescent="0.3">
      <c r="A284" s="81"/>
      <c r="B284" s="82"/>
      <c r="C284" s="82"/>
      <c r="D284" s="82"/>
      <c r="E284" s="82"/>
      <c r="G284" s="69" t="s">
        <v>337</v>
      </c>
      <c r="H284" s="120"/>
      <c r="I284" s="121"/>
      <c r="J284" s="122"/>
      <c r="K284" s="122"/>
      <c r="L284" s="122"/>
      <c r="M284" s="122"/>
      <c r="N284" s="122"/>
      <c r="O284" s="122"/>
    </row>
    <row r="285" spans="1:15" x14ac:dyDescent="0.25">
      <c r="A285" s="123">
        <v>65400</v>
      </c>
      <c r="B285" s="124" t="s">
        <v>319</v>
      </c>
      <c r="C285" s="85">
        <f t="shared" ref="C285:C288" si="86">$C$1</f>
        <v>0</v>
      </c>
      <c r="D285" s="49" t="s">
        <v>9</v>
      </c>
      <c r="E285" s="114" t="s">
        <v>242</v>
      </c>
      <c r="I285" s="124" t="s">
        <v>338</v>
      </c>
      <c r="J285" s="125">
        <f>500*J17</f>
        <v>65000</v>
      </c>
      <c r="K285" s="125">
        <f>500*K17</f>
        <v>0</v>
      </c>
      <c r="L285" s="125">
        <f>500*L17</f>
        <v>0</v>
      </c>
      <c r="M285" s="125">
        <f>500*M17</f>
        <v>0</v>
      </c>
      <c r="N285" s="125">
        <f>500*N17</f>
        <v>0</v>
      </c>
      <c r="O285" s="102">
        <f>SUM(J285:N285)</f>
        <v>65000</v>
      </c>
    </row>
    <row r="286" spans="1:15" x14ac:dyDescent="0.25">
      <c r="A286" s="126">
        <v>90001</v>
      </c>
      <c r="B286" s="127" t="s">
        <v>304</v>
      </c>
      <c r="C286" s="85">
        <f t="shared" si="86"/>
        <v>0</v>
      </c>
      <c r="D286" s="49" t="s">
        <v>9</v>
      </c>
      <c r="E286" s="110" t="s">
        <v>305</v>
      </c>
      <c r="I286" s="127" t="s">
        <v>339</v>
      </c>
      <c r="J286" s="128">
        <v>0</v>
      </c>
      <c r="K286" s="128">
        <v>0</v>
      </c>
      <c r="L286" s="128">
        <v>0</v>
      </c>
      <c r="M286" s="128">
        <v>0</v>
      </c>
      <c r="N286" s="128">
        <v>0</v>
      </c>
      <c r="O286" s="102">
        <f t="shared" ref="O286:O288" si="87">SUM(J286:N286)</f>
        <v>0</v>
      </c>
    </row>
    <row r="287" spans="1:15" x14ac:dyDescent="0.25">
      <c r="A287" s="126">
        <v>68320</v>
      </c>
      <c r="B287" s="127" t="s">
        <v>340</v>
      </c>
      <c r="C287" s="85">
        <f t="shared" si="86"/>
        <v>0</v>
      </c>
      <c r="D287" s="49" t="s">
        <v>9</v>
      </c>
      <c r="E287" s="110" t="s">
        <v>305</v>
      </c>
      <c r="I287" s="127" t="s">
        <v>341</v>
      </c>
      <c r="J287" s="128">
        <v>0</v>
      </c>
      <c r="K287" s="128">
        <v>0</v>
      </c>
      <c r="L287" s="128">
        <v>0</v>
      </c>
      <c r="M287" s="128">
        <v>0</v>
      </c>
      <c r="N287" s="128">
        <v>0</v>
      </c>
      <c r="O287" s="102">
        <f t="shared" si="87"/>
        <v>0</v>
      </c>
    </row>
    <row r="288" spans="1:15" x14ac:dyDescent="0.25">
      <c r="A288" s="123">
        <v>65400</v>
      </c>
      <c r="B288" s="124" t="s">
        <v>319</v>
      </c>
      <c r="C288" s="85">
        <f t="shared" si="86"/>
        <v>0</v>
      </c>
      <c r="D288" s="49" t="s">
        <v>9</v>
      </c>
      <c r="E288" s="114" t="s">
        <v>242</v>
      </c>
      <c r="I288" s="129" t="s">
        <v>342</v>
      </c>
      <c r="J288" s="130">
        <v>0</v>
      </c>
      <c r="K288" s="130">
        <v>0</v>
      </c>
      <c r="L288" s="130">
        <v>0</v>
      </c>
      <c r="M288" s="130">
        <v>0</v>
      </c>
      <c r="N288" s="130">
        <v>0</v>
      </c>
      <c r="O288" s="102">
        <f t="shared" si="87"/>
        <v>0</v>
      </c>
    </row>
    <row r="289" spans="1:15" x14ac:dyDescent="0.25">
      <c r="A289" s="98"/>
      <c r="B289" s="98"/>
      <c r="C289" s="98"/>
      <c r="D289" s="98"/>
      <c r="E289" s="98"/>
      <c r="G289" s="2"/>
      <c r="H289" s="93" t="s">
        <v>343</v>
      </c>
      <c r="I289" s="94"/>
      <c r="J289" s="92">
        <f t="shared" ref="J289:O289" si="88">SUM(J285:J288)</f>
        <v>65000</v>
      </c>
      <c r="K289" s="92">
        <f t="shared" si="88"/>
        <v>0</v>
      </c>
      <c r="L289" s="92">
        <f t="shared" si="88"/>
        <v>0</v>
      </c>
      <c r="M289" s="92">
        <f t="shared" si="88"/>
        <v>0</v>
      </c>
      <c r="N289" s="92">
        <f t="shared" si="88"/>
        <v>0</v>
      </c>
      <c r="O289" s="92">
        <f t="shared" si="88"/>
        <v>65000</v>
      </c>
    </row>
    <row r="290" spans="1:15" ht="16.5" thickBot="1" x14ac:dyDescent="0.3">
      <c r="J290" s="99"/>
      <c r="K290" s="99"/>
      <c r="L290" s="99"/>
      <c r="M290" s="99"/>
      <c r="N290" s="99"/>
      <c r="O290" s="99"/>
    </row>
    <row r="291" spans="1:15" ht="16.5" thickBot="1" x14ac:dyDescent="0.3">
      <c r="A291" s="131"/>
      <c r="B291" s="132"/>
      <c r="C291" s="132"/>
      <c r="D291" s="132"/>
      <c r="E291" s="132"/>
      <c r="G291" s="133" t="s">
        <v>344</v>
      </c>
      <c r="H291" s="134"/>
      <c r="I291" s="135"/>
      <c r="J291" s="136">
        <f t="shared" ref="J291:O291" si="89">(J83+J89)-(J289+J282)</f>
        <v>91237.435306250118</v>
      </c>
      <c r="K291" s="136">
        <f t="shared" si="89"/>
        <v>7617.4569796306896</v>
      </c>
      <c r="L291" s="136">
        <f t="shared" si="89"/>
        <v>-65801.154399999985</v>
      </c>
      <c r="M291" s="136">
        <f t="shared" si="89"/>
        <v>-33053.5625</v>
      </c>
      <c r="N291" s="136">
        <f t="shared" si="89"/>
        <v>0</v>
      </c>
      <c r="O291" s="136">
        <f t="shared" si="89"/>
        <v>0.17538588121533394</v>
      </c>
    </row>
    <row r="292" spans="1:15" x14ac:dyDescent="0.25">
      <c r="J292" s="99"/>
      <c r="K292" s="99"/>
      <c r="L292" s="99"/>
      <c r="M292" s="99"/>
      <c r="N292" s="99"/>
      <c r="O292" s="99"/>
    </row>
    <row r="293" spans="1:15" x14ac:dyDescent="0.25">
      <c r="I293" s="17" t="str">
        <f>I1</f>
        <v>CIVICA Nevada</v>
      </c>
      <c r="J293" s="137" t="str">
        <f t="shared" ref="J293:O293" si="90">J20</f>
        <v>Operating</v>
      </c>
      <c r="K293" s="137" t="str">
        <f t="shared" si="90"/>
        <v>SPED</v>
      </c>
      <c r="L293" s="137" t="str">
        <f t="shared" si="90"/>
        <v>NSLP</v>
      </c>
      <c r="M293" s="137" t="str">
        <f t="shared" si="90"/>
        <v>Title(s)</v>
      </c>
      <c r="N293" s="137" t="str">
        <f t="shared" si="90"/>
        <v>Other</v>
      </c>
      <c r="O293" s="137" t="str">
        <f t="shared" si="90"/>
        <v>Total</v>
      </c>
    </row>
    <row r="294" spans="1:15" x14ac:dyDescent="0.25">
      <c r="J294" s="99"/>
      <c r="K294" s="99"/>
      <c r="L294" s="99"/>
      <c r="M294" s="99"/>
      <c r="N294" s="99"/>
      <c r="O294" s="99"/>
    </row>
    <row r="295" spans="1:15" ht="16.5" thickBot="1" x14ac:dyDescent="0.3">
      <c r="I295" s="138"/>
      <c r="J295" s="137" t="s">
        <v>44</v>
      </c>
      <c r="K295" s="137" t="s">
        <v>44</v>
      </c>
      <c r="L295" s="137" t="s">
        <v>44</v>
      </c>
      <c r="M295" s="137" t="s">
        <v>44</v>
      </c>
      <c r="N295" s="137" t="s">
        <v>44</v>
      </c>
      <c r="O295" s="137" t="s">
        <v>44</v>
      </c>
    </row>
    <row r="296" spans="1:15" ht="16.5" thickBot="1" x14ac:dyDescent="0.3">
      <c r="G296" s="139" t="s">
        <v>345</v>
      </c>
      <c r="H296" s="140"/>
      <c r="I296" s="141"/>
      <c r="J296" s="142"/>
      <c r="K296" s="142"/>
      <c r="L296" s="142"/>
      <c r="M296" s="142"/>
      <c r="N296" s="142"/>
      <c r="O296" s="142"/>
    </row>
    <row r="297" spans="1:15" x14ac:dyDescent="0.25">
      <c r="I297" s="2" t="s">
        <v>98</v>
      </c>
      <c r="J297" s="143">
        <f>J73</f>
        <v>0</v>
      </c>
      <c r="K297" s="143">
        <f>K73</f>
        <v>122895</v>
      </c>
      <c r="L297" s="143">
        <f>L73</f>
        <v>0</v>
      </c>
      <c r="M297" s="143">
        <f>M73</f>
        <v>0</v>
      </c>
      <c r="N297" s="143">
        <f>N73</f>
        <v>0</v>
      </c>
      <c r="O297" s="143">
        <f>SUM(J297:N297)</f>
        <v>122895</v>
      </c>
    </row>
    <row r="298" spans="1:15" x14ac:dyDescent="0.25">
      <c r="I298" s="2" t="s">
        <v>99</v>
      </c>
      <c r="J298" s="143">
        <f>J74</f>
        <v>0</v>
      </c>
      <c r="K298" s="143">
        <f>K74</f>
        <v>50865.09878181816</v>
      </c>
      <c r="L298" s="143">
        <f t="shared" ref="L298:N299" si="91">L74</f>
        <v>0</v>
      </c>
      <c r="M298" s="143">
        <f t="shared" si="91"/>
        <v>0</v>
      </c>
      <c r="N298" s="143">
        <f t="shared" si="91"/>
        <v>0</v>
      </c>
      <c r="O298" s="143">
        <f>SUM(J298:N298)</f>
        <v>50865.09878181816</v>
      </c>
    </row>
    <row r="299" spans="1:15" ht="16.5" thickBot="1" x14ac:dyDescent="0.3">
      <c r="I299" s="2" t="s">
        <v>100</v>
      </c>
      <c r="J299" s="143">
        <f>J75</f>
        <v>0</v>
      </c>
      <c r="K299" s="143">
        <f>K75</f>
        <v>13465.647999999999</v>
      </c>
      <c r="L299" s="143">
        <f t="shared" si="91"/>
        <v>0</v>
      </c>
      <c r="M299" s="143">
        <f t="shared" si="91"/>
        <v>0</v>
      </c>
      <c r="N299" s="143">
        <f t="shared" si="91"/>
        <v>0</v>
      </c>
      <c r="O299" s="143">
        <f>SUM(J299:N299)</f>
        <v>13465.647999999999</v>
      </c>
    </row>
    <row r="300" spans="1:15" ht="16.5" thickBot="1" x14ac:dyDescent="0.3">
      <c r="G300" s="139" t="s">
        <v>346</v>
      </c>
      <c r="H300" s="140"/>
      <c r="I300" s="141"/>
      <c r="J300" s="142"/>
      <c r="K300" s="142"/>
      <c r="L300" s="142"/>
      <c r="M300" s="142"/>
      <c r="N300" s="142"/>
      <c r="O300" s="142"/>
    </row>
    <row r="301" spans="1:15" x14ac:dyDescent="0.25">
      <c r="I301" s="2" t="s">
        <v>347</v>
      </c>
      <c r="J301" s="143">
        <f>J98+J99+J111+J112+J114+J116+J169+J176</f>
        <v>0</v>
      </c>
      <c r="K301" s="143">
        <f>K134+K180</f>
        <v>78087.835124999983</v>
      </c>
      <c r="L301" s="143">
        <f>L98+L99+L111+L112+L114+L116+L169+L176</f>
        <v>0</v>
      </c>
      <c r="M301" s="143">
        <f>M98+M99+M111+M112+M114+M116+M169+M176</f>
        <v>0</v>
      </c>
      <c r="N301" s="143">
        <f>N98+N99+N111+N112+N114+N116+N169+N176</f>
        <v>0</v>
      </c>
      <c r="O301" s="143">
        <f t="shared" ref="O301:O306" si="92">SUM(J301:N301)</f>
        <v>78087.835124999983</v>
      </c>
    </row>
    <row r="302" spans="1:15" x14ac:dyDescent="0.25">
      <c r="I302" s="2" t="s">
        <v>348</v>
      </c>
      <c r="J302" s="143">
        <f>J139+J146+J187+J195</f>
        <v>0</v>
      </c>
      <c r="K302" s="143">
        <f>K153+K201</f>
        <v>41785.454677187496</v>
      </c>
      <c r="L302" s="143">
        <f>L139+L146+L187+L195</f>
        <v>0</v>
      </c>
      <c r="M302" s="143">
        <f>M139+M146+M187+M195</f>
        <v>0</v>
      </c>
      <c r="N302" s="143">
        <f>N139+N146+N187+N195</f>
        <v>0</v>
      </c>
      <c r="O302" s="143">
        <f t="shared" si="92"/>
        <v>41785.454677187496</v>
      </c>
    </row>
    <row r="303" spans="1:15" x14ac:dyDescent="0.25">
      <c r="I303" s="2" t="s">
        <v>349</v>
      </c>
      <c r="J303" s="143">
        <f>J211</f>
        <v>0</v>
      </c>
      <c r="K303" s="143">
        <f>K212+K221</f>
        <v>2450</v>
      </c>
      <c r="L303" s="143">
        <f>L211</f>
        <v>0</v>
      </c>
      <c r="M303" s="143">
        <f>M211</f>
        <v>0</v>
      </c>
      <c r="N303" s="143">
        <f>N211</f>
        <v>0</v>
      </c>
      <c r="O303" s="143">
        <f t="shared" si="92"/>
        <v>2450</v>
      </c>
    </row>
    <row r="304" spans="1:15" x14ac:dyDescent="0.25">
      <c r="I304" s="2" t="s">
        <v>350</v>
      </c>
      <c r="J304" s="143">
        <f>J226</f>
        <v>0</v>
      </c>
      <c r="K304" s="143">
        <f>K233+K245</f>
        <v>57285</v>
      </c>
      <c r="L304" s="143">
        <f>L226</f>
        <v>0</v>
      </c>
      <c r="M304" s="143">
        <f>M226</f>
        <v>0</v>
      </c>
      <c r="N304" s="143">
        <f>N226</f>
        <v>0</v>
      </c>
      <c r="O304" s="143">
        <f t="shared" si="92"/>
        <v>57285</v>
      </c>
    </row>
    <row r="305" spans="7:15" x14ac:dyDescent="0.25">
      <c r="I305" s="2" t="s">
        <v>351</v>
      </c>
      <c r="J305" s="143">
        <f>0</f>
        <v>0</v>
      </c>
      <c r="K305" s="143">
        <f>0</f>
        <v>0</v>
      </c>
      <c r="L305" s="143">
        <f>0</f>
        <v>0</v>
      </c>
      <c r="M305" s="143">
        <f>0</f>
        <v>0</v>
      </c>
      <c r="N305" s="143">
        <f>0</f>
        <v>0</v>
      </c>
      <c r="O305" s="143">
        <f t="shared" si="92"/>
        <v>0</v>
      </c>
    </row>
    <row r="306" spans="7:15" ht="16.5" thickBot="1" x14ac:dyDescent="0.3">
      <c r="I306" s="2" t="s">
        <v>352</v>
      </c>
      <c r="J306" s="143">
        <v>0</v>
      </c>
      <c r="K306" s="143">
        <v>0</v>
      </c>
      <c r="L306" s="143">
        <v>0</v>
      </c>
      <c r="M306" s="143">
        <v>0</v>
      </c>
      <c r="N306" s="143">
        <v>0</v>
      </c>
      <c r="O306" s="143">
        <f t="shared" si="92"/>
        <v>0</v>
      </c>
    </row>
    <row r="307" spans="7:15" ht="16.5" thickBot="1" x14ac:dyDescent="0.3">
      <c r="G307" s="139" t="s">
        <v>353</v>
      </c>
      <c r="H307" s="140"/>
      <c r="I307" s="141"/>
      <c r="J307" s="142">
        <f t="shared" ref="J307:O307" si="93">SUM(J297:J299)-SUM(J301:J306)</f>
        <v>0</v>
      </c>
      <c r="K307" s="142">
        <f t="shared" si="93"/>
        <v>7617.4569796306896</v>
      </c>
      <c r="L307" s="142">
        <f t="shared" si="93"/>
        <v>0</v>
      </c>
      <c r="M307" s="142">
        <f t="shared" si="93"/>
        <v>0</v>
      </c>
      <c r="N307" s="142">
        <f t="shared" si="93"/>
        <v>0</v>
      </c>
      <c r="O307" s="142">
        <f t="shared" si="93"/>
        <v>7617.4569796306896</v>
      </c>
    </row>
    <row r="308" spans="7:15" x14ac:dyDescent="0.25">
      <c r="I308" s="1"/>
    </row>
    <row r="309" spans="7:15" ht="16.5" thickBot="1" x14ac:dyDescent="0.3">
      <c r="I309" s="138"/>
      <c r="J309" s="137" t="s">
        <v>40</v>
      </c>
      <c r="K309" s="137" t="s">
        <v>40</v>
      </c>
      <c r="L309" s="137" t="s">
        <v>40</v>
      </c>
      <c r="M309" s="137" t="s">
        <v>40</v>
      </c>
      <c r="N309" s="137" t="s">
        <v>40</v>
      </c>
      <c r="O309" s="137" t="s">
        <v>40</v>
      </c>
    </row>
    <row r="310" spans="7:15" ht="16.5" thickBot="1" x14ac:dyDescent="0.3">
      <c r="G310" s="133" t="s">
        <v>354</v>
      </c>
      <c r="H310" s="134"/>
      <c r="I310" s="135"/>
      <c r="J310" s="136"/>
      <c r="K310" s="136"/>
      <c r="L310" s="136"/>
      <c r="M310" s="136"/>
      <c r="N310" s="136"/>
      <c r="O310" s="136"/>
    </row>
    <row r="311" spans="7:15" x14ac:dyDescent="0.25">
      <c r="I311" s="2" t="s">
        <v>103</v>
      </c>
      <c r="J311" s="143">
        <f t="shared" ref="J311:N312" si="94">J81</f>
        <v>0</v>
      </c>
      <c r="K311" s="143">
        <f t="shared" si="94"/>
        <v>0</v>
      </c>
      <c r="L311" s="143">
        <f t="shared" si="94"/>
        <v>21066.040799999995</v>
      </c>
      <c r="M311" s="143">
        <f t="shared" si="94"/>
        <v>0</v>
      </c>
      <c r="N311" s="143">
        <f t="shared" si="94"/>
        <v>0</v>
      </c>
      <c r="O311" s="143">
        <f>SUM(J311:N311)</f>
        <v>21066.040799999995</v>
      </c>
    </row>
    <row r="312" spans="7:15" ht="16.5" thickBot="1" x14ac:dyDescent="0.3">
      <c r="I312" s="2" t="s">
        <v>104</v>
      </c>
      <c r="J312" s="143">
        <f t="shared" si="94"/>
        <v>0</v>
      </c>
      <c r="K312" s="143">
        <f t="shared" si="94"/>
        <v>0</v>
      </c>
      <c r="L312" s="143">
        <f t="shared" si="94"/>
        <v>50291.463599999995</v>
      </c>
      <c r="M312" s="143">
        <f t="shared" si="94"/>
        <v>0</v>
      </c>
      <c r="N312" s="143">
        <f t="shared" si="94"/>
        <v>0</v>
      </c>
      <c r="O312" s="143">
        <f>SUM(J312:N312)</f>
        <v>50291.463599999995</v>
      </c>
    </row>
    <row r="313" spans="7:15" ht="16.5" thickBot="1" x14ac:dyDescent="0.3">
      <c r="G313" s="133" t="s">
        <v>355</v>
      </c>
      <c r="H313" s="134"/>
      <c r="I313" s="135"/>
      <c r="J313" s="136"/>
      <c r="K313" s="136"/>
      <c r="L313" s="136"/>
      <c r="M313" s="136"/>
      <c r="N313" s="136"/>
      <c r="O313" s="136"/>
    </row>
    <row r="314" spans="7:15" x14ac:dyDescent="0.25">
      <c r="I314" s="2" t="s">
        <v>347</v>
      </c>
      <c r="J314" s="143">
        <f>J132</f>
        <v>0</v>
      </c>
      <c r="K314" s="143">
        <f>K132</f>
        <v>0</v>
      </c>
      <c r="L314" s="143">
        <f>L134+L180</f>
        <v>49450.799999999988</v>
      </c>
      <c r="M314" s="143">
        <f>M132</f>
        <v>0</v>
      </c>
      <c r="N314" s="143">
        <f>N132</f>
        <v>0</v>
      </c>
      <c r="O314" s="143">
        <f t="shared" ref="O314:O319" si="95">SUM(J314:N314)</f>
        <v>49450.799999999988</v>
      </c>
    </row>
    <row r="315" spans="7:15" x14ac:dyDescent="0.25">
      <c r="I315" s="2" t="s">
        <v>348</v>
      </c>
      <c r="J315" s="143">
        <f>J141+J148</f>
        <v>0</v>
      </c>
      <c r="K315" s="143">
        <f>K141+K148</f>
        <v>0</v>
      </c>
      <c r="L315" s="143">
        <f>L201+L153</f>
        <v>26215.788999999997</v>
      </c>
      <c r="M315" s="143">
        <f>M141+M148</f>
        <v>0</v>
      </c>
      <c r="N315" s="143">
        <f>N141+N148</f>
        <v>0</v>
      </c>
      <c r="O315" s="143">
        <f t="shared" si="95"/>
        <v>26215.788999999997</v>
      </c>
    </row>
    <row r="316" spans="7:15" x14ac:dyDescent="0.25">
      <c r="I316" s="2" t="s">
        <v>349</v>
      </c>
      <c r="J316" s="143">
        <f>0</f>
        <v>0</v>
      </c>
      <c r="K316" s="143">
        <f>0</f>
        <v>0</v>
      </c>
      <c r="L316" s="143">
        <f>0</f>
        <v>0</v>
      </c>
      <c r="M316" s="143">
        <f>0</f>
        <v>0</v>
      </c>
      <c r="N316" s="143">
        <f>0</f>
        <v>0</v>
      </c>
      <c r="O316" s="143">
        <f t="shared" si="95"/>
        <v>0</v>
      </c>
    </row>
    <row r="317" spans="7:15" x14ac:dyDescent="0.25">
      <c r="I317" s="2" t="s">
        <v>350</v>
      </c>
      <c r="J317" s="143">
        <f>0</f>
        <v>0</v>
      </c>
      <c r="K317" s="143">
        <f>0</f>
        <v>0</v>
      </c>
      <c r="L317" s="143">
        <f>0</f>
        <v>0</v>
      </c>
      <c r="M317" s="143">
        <f>0</f>
        <v>0</v>
      </c>
      <c r="N317" s="143">
        <f>0</f>
        <v>0</v>
      </c>
      <c r="O317" s="143">
        <f t="shared" si="95"/>
        <v>0</v>
      </c>
    </row>
    <row r="318" spans="7:15" x14ac:dyDescent="0.25">
      <c r="I318" s="2" t="s">
        <v>351</v>
      </c>
      <c r="J318" s="143">
        <f>J255+J256</f>
        <v>0</v>
      </c>
      <c r="K318" s="143">
        <f>K255+K256</f>
        <v>0</v>
      </c>
      <c r="L318" s="143">
        <f>L255+L256</f>
        <v>61492.069799999983</v>
      </c>
      <c r="M318" s="143">
        <f>M255+M256</f>
        <v>0</v>
      </c>
      <c r="N318" s="143">
        <f>N255+N256</f>
        <v>0</v>
      </c>
      <c r="O318" s="143">
        <f t="shared" si="95"/>
        <v>61492.069799999983</v>
      </c>
    </row>
    <row r="319" spans="7:15" ht="16.5" thickBot="1" x14ac:dyDescent="0.3">
      <c r="I319" s="2" t="s">
        <v>352</v>
      </c>
      <c r="J319" s="143">
        <v>0</v>
      </c>
      <c r="K319" s="143">
        <v>0</v>
      </c>
      <c r="L319" s="143">
        <v>0</v>
      </c>
      <c r="M319" s="143">
        <v>0</v>
      </c>
      <c r="N319" s="143">
        <v>0</v>
      </c>
      <c r="O319" s="143">
        <f t="shared" si="95"/>
        <v>0</v>
      </c>
    </row>
    <row r="320" spans="7:15" ht="16.5" thickBot="1" x14ac:dyDescent="0.3">
      <c r="G320" s="133" t="s">
        <v>356</v>
      </c>
      <c r="H320" s="134"/>
      <c r="I320" s="135"/>
      <c r="J320" s="136">
        <f t="shared" ref="J320:O320" si="96">SUM(J311:J312)-SUM(J314:J319)</f>
        <v>0</v>
      </c>
      <c r="K320" s="136">
        <f t="shared" si="96"/>
        <v>0</v>
      </c>
      <c r="L320" s="136">
        <f t="shared" si="96"/>
        <v>-65801.154399999985</v>
      </c>
      <c r="M320" s="136">
        <f t="shared" si="96"/>
        <v>0</v>
      </c>
      <c r="N320" s="136">
        <f t="shared" si="96"/>
        <v>0</v>
      </c>
      <c r="O320" s="136">
        <f t="shared" si="96"/>
        <v>-65801.154399999985</v>
      </c>
    </row>
  </sheetData>
  <mergeCells count="1">
    <mergeCell ref="G282:I282"/>
  </mergeCells>
  <pageMargins left="0.7" right="0.7" top="0.75" bottom="0.75" header="0.3" footer="0.3"/>
  <pageSetup scale="34" fitToHeight="0" orientation="portrait" r:id="rId1"/>
  <rowBreaks count="2" manualBreakCount="2">
    <brk id="90" min="6" max="19" man="1"/>
    <brk id="201" min="6" max="1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565A-5BEE-4130-9E59-74762A2E5B1D}">
  <sheetPr>
    <pageSetUpPr fitToPage="1"/>
  </sheetPr>
  <dimension ref="A1:P320"/>
  <sheetViews>
    <sheetView topLeftCell="F1" zoomScale="75" zoomScaleNormal="75" workbookViewId="0">
      <pane xSplit="4" ySplit="1" topLeftCell="J79" activePane="bottomRight" state="frozen"/>
      <selection activeCell="J80" sqref="J80"/>
      <selection pane="topRight" activeCell="J80" sqref="J80"/>
      <selection pane="bottomLeft" activeCell="J80" sqref="J80"/>
      <selection pane="bottomRight" activeCell="J80" sqref="J80"/>
    </sheetView>
  </sheetViews>
  <sheetFormatPr defaultColWidth="8.7109375" defaultRowHeight="15.75" x14ac:dyDescent="0.25"/>
  <cols>
    <col min="1" max="1" width="46.7109375" style="1" customWidth="1"/>
    <col min="2" max="2" width="24.5703125" style="1" customWidth="1"/>
    <col min="3" max="3" width="31.28515625" style="1" customWidth="1"/>
    <col min="4" max="4" width="41.7109375" style="1" customWidth="1"/>
    <col min="5" max="5" width="57.28515625" style="1" bestFit="1" customWidth="1"/>
    <col min="6" max="8" width="1.7109375" style="1" customWidth="1"/>
    <col min="9" max="9" width="53.85546875" style="11" bestFit="1" customWidth="1"/>
    <col min="10" max="15" width="18.5703125" style="1" customWidth="1"/>
    <col min="16" max="16" width="6.28515625" style="1" bestFit="1" customWidth="1"/>
    <col min="17" max="16384" width="8.7109375" style="1"/>
  </cols>
  <sheetData>
    <row r="1" spans="1:16" x14ac:dyDescent="0.25">
      <c r="B1" s="2" t="s">
        <v>0</v>
      </c>
      <c r="C1" s="2"/>
      <c r="G1" s="3"/>
      <c r="I1" s="4" t="s">
        <v>400</v>
      </c>
      <c r="J1" s="4" t="s">
        <v>10</v>
      </c>
      <c r="K1" s="144" t="s">
        <v>44</v>
      </c>
      <c r="L1" s="144" t="s">
        <v>40</v>
      </c>
      <c r="M1" s="144" t="s">
        <v>45</v>
      </c>
      <c r="N1" s="144" t="s">
        <v>46</v>
      </c>
      <c r="O1" s="144" t="s">
        <v>382</v>
      </c>
    </row>
    <row r="2" spans="1:16" x14ac:dyDescent="0.25">
      <c r="B2" s="2" t="s">
        <v>1</v>
      </c>
      <c r="C2" s="2"/>
      <c r="I2" s="5" t="s">
        <v>2</v>
      </c>
      <c r="J2" s="6">
        <f>ROUND(9486*1.015*1.015,0)</f>
        <v>9773</v>
      </c>
      <c r="K2" s="6"/>
      <c r="L2" s="6"/>
      <c r="M2" s="6"/>
      <c r="N2" s="6"/>
      <c r="O2" s="6">
        <f>SUM(J2:N2)</f>
        <v>9773</v>
      </c>
    </row>
    <row r="3" spans="1:16" x14ac:dyDescent="0.25">
      <c r="I3" s="7" t="s">
        <v>3</v>
      </c>
      <c r="J3" s="8">
        <f>J4+J5+J6+J7+J8+J9+J10+J11+J12+J13+J14+J15+J16</f>
        <v>155</v>
      </c>
      <c r="K3" s="8"/>
      <c r="L3" s="8"/>
      <c r="M3" s="8"/>
      <c r="N3" s="8"/>
      <c r="O3" s="8">
        <f t="shared" ref="O3" si="0">O4+O5+O6+O7+O8+O9+O10+O11+O12+O13+O14+O15+O16</f>
        <v>155</v>
      </c>
    </row>
    <row r="4" spans="1:16" x14ac:dyDescent="0.25">
      <c r="A4" s="4" t="s">
        <v>4</v>
      </c>
      <c r="C4" s="4" t="s">
        <v>5</v>
      </c>
      <c r="D4" s="4" t="s">
        <v>6</v>
      </c>
      <c r="E4" s="4" t="s">
        <v>7</v>
      </c>
      <c r="I4" s="9" t="s">
        <v>8</v>
      </c>
      <c r="J4" s="10">
        <v>0</v>
      </c>
      <c r="K4" s="10"/>
      <c r="L4" s="10"/>
      <c r="M4" s="10"/>
      <c r="N4" s="10"/>
      <c r="O4" s="10">
        <f>SUM(J4:N4)</f>
        <v>0</v>
      </c>
    </row>
    <row r="5" spans="1:16" x14ac:dyDescent="0.25">
      <c r="A5" s="11" t="s">
        <v>9</v>
      </c>
      <c r="B5" s="11" t="s">
        <v>10</v>
      </c>
      <c r="C5" s="12" t="e">
        <f>SUMIF('28-29'!$D$68:$D$88,A5,'28-29'!#REF!)</f>
        <v>#REF!</v>
      </c>
      <c r="D5" s="12" t="e">
        <f>SUMIF('28-29'!$D$92:$D$289,A5,'28-29'!#REF!)</f>
        <v>#REF!</v>
      </c>
      <c r="E5" s="13" t="e">
        <f t="shared" ref="E5:E12" si="1">C5-D5</f>
        <v>#REF!</v>
      </c>
      <c r="I5" s="7" t="s">
        <v>11</v>
      </c>
      <c r="J5" s="10">
        <v>0</v>
      </c>
      <c r="K5" s="10"/>
      <c r="L5" s="10"/>
      <c r="M5" s="10"/>
      <c r="N5" s="10"/>
      <c r="O5" s="10">
        <f t="shared" ref="O5:O16" si="2">SUM(J5:N5)</f>
        <v>0</v>
      </c>
    </row>
    <row r="6" spans="1:16" x14ac:dyDescent="0.25">
      <c r="A6" s="11" t="s">
        <v>12</v>
      </c>
      <c r="B6" s="11" t="s">
        <v>13</v>
      </c>
      <c r="C6" s="12" t="e">
        <f>SUMIF('28-29'!$D$68:$D$88,A6,'28-29'!#REF!)</f>
        <v>#REF!</v>
      </c>
      <c r="D6" s="12" t="e">
        <f>SUMIF('28-29'!$D$92:$D$289,A6,'28-29'!#REF!)</f>
        <v>#REF!</v>
      </c>
      <c r="E6" s="13" t="e">
        <f t="shared" si="1"/>
        <v>#REF!</v>
      </c>
      <c r="I6" s="7" t="s">
        <v>14</v>
      </c>
      <c r="J6" s="10">
        <v>0</v>
      </c>
      <c r="K6" s="10"/>
      <c r="L6" s="10"/>
      <c r="M6" s="10"/>
      <c r="N6" s="10"/>
      <c r="O6" s="10">
        <f t="shared" si="2"/>
        <v>0</v>
      </c>
    </row>
    <row r="7" spans="1:16" x14ac:dyDescent="0.25">
      <c r="A7" s="11" t="s">
        <v>15</v>
      </c>
      <c r="B7" s="11" t="s">
        <v>16</v>
      </c>
      <c r="C7" s="12" t="e">
        <f>SUMIF('28-29'!$D$68:$D$88,A7,'28-29'!#REF!)</f>
        <v>#REF!</v>
      </c>
      <c r="D7" s="12" t="e">
        <f>SUMIF('28-29'!$D$92:$D$289,A7,'28-29'!#REF!)</f>
        <v>#REF!</v>
      </c>
      <c r="E7" s="13" t="e">
        <f t="shared" si="1"/>
        <v>#REF!</v>
      </c>
      <c r="I7" s="14" t="s">
        <v>17</v>
      </c>
      <c r="J7" s="10">
        <v>0</v>
      </c>
      <c r="K7" s="10"/>
      <c r="L7" s="10"/>
      <c r="M7" s="10"/>
      <c r="N7" s="10"/>
      <c r="O7" s="10">
        <f t="shared" si="2"/>
        <v>0</v>
      </c>
    </row>
    <row r="8" spans="1:16" x14ac:dyDescent="0.25">
      <c r="A8" s="11" t="s">
        <v>18</v>
      </c>
      <c r="B8" s="11" t="s">
        <v>19</v>
      </c>
      <c r="C8" s="12" t="e">
        <f>SUMIF('28-29'!$D$68:$D$88,A8,'28-29'!#REF!)</f>
        <v>#REF!</v>
      </c>
      <c r="D8" s="12" t="e">
        <f>SUMIF('28-29'!$D$92:$D$289,A8,'28-29'!#REF!)</f>
        <v>#REF!</v>
      </c>
      <c r="E8" s="13" t="e">
        <f t="shared" si="1"/>
        <v>#REF!</v>
      </c>
      <c r="I8" s="14" t="s">
        <v>20</v>
      </c>
      <c r="J8" s="10">
        <v>0</v>
      </c>
      <c r="K8" s="10"/>
      <c r="L8" s="10"/>
      <c r="M8" s="10"/>
      <c r="N8" s="10"/>
      <c r="O8" s="10">
        <f t="shared" si="2"/>
        <v>0</v>
      </c>
    </row>
    <row r="9" spans="1:16" x14ac:dyDescent="0.25">
      <c r="A9" s="11" t="s">
        <v>21</v>
      </c>
      <c r="B9" s="11" t="s">
        <v>22</v>
      </c>
      <c r="C9" s="12" t="e">
        <f>SUMIF('28-29'!$D$68:$D$88,A9,'28-29'!#REF!)</f>
        <v>#REF!</v>
      </c>
      <c r="D9" s="12" t="e">
        <f>SUMIF('28-29'!$D$92:$D$289,A9,'28-29'!#REF!)</f>
        <v>#REF!</v>
      </c>
      <c r="E9" s="13" t="e">
        <f t="shared" si="1"/>
        <v>#REF!</v>
      </c>
      <c r="I9" s="14" t="s">
        <v>23</v>
      </c>
      <c r="J9" s="10">
        <v>0</v>
      </c>
      <c r="K9" s="10"/>
      <c r="L9" s="10"/>
      <c r="M9" s="10"/>
      <c r="N9" s="10"/>
      <c r="O9" s="10">
        <f t="shared" si="2"/>
        <v>0</v>
      </c>
    </row>
    <row r="10" spans="1:16" x14ac:dyDescent="0.25">
      <c r="A10" s="11" t="s">
        <v>24</v>
      </c>
      <c r="B10" s="11" t="s">
        <v>25</v>
      </c>
      <c r="C10" s="12" t="e">
        <f>SUMIF('28-29'!$D$68:$D$88,A10,'28-29'!#REF!)</f>
        <v>#REF!</v>
      </c>
      <c r="D10" s="12" t="e">
        <f>SUMIF('28-29'!$D$92:$D$289,A10,'28-29'!#REF!)</f>
        <v>#REF!</v>
      </c>
      <c r="E10" s="13" t="e">
        <f t="shared" si="1"/>
        <v>#REF!</v>
      </c>
      <c r="I10" s="14" t="s">
        <v>26</v>
      </c>
      <c r="J10" s="15">
        <v>30</v>
      </c>
      <c r="K10" s="15"/>
      <c r="L10" s="15"/>
      <c r="M10" s="15"/>
      <c r="N10" s="15"/>
      <c r="O10" s="10">
        <f t="shared" si="2"/>
        <v>30</v>
      </c>
      <c r="P10" s="157">
        <v>1</v>
      </c>
    </row>
    <row r="11" spans="1:16" x14ac:dyDescent="0.25">
      <c r="A11" s="11" t="s">
        <v>27</v>
      </c>
      <c r="B11" s="11" t="s">
        <v>28</v>
      </c>
      <c r="C11" s="12" t="e">
        <f>SUMIF('28-29'!$D$68:$D$88,A11,'28-29'!#REF!)</f>
        <v>#REF!</v>
      </c>
      <c r="D11" s="12" t="e">
        <f>SUMIF('28-29'!$D$92:$D$289,A11,'28-29'!#REF!)</f>
        <v>#REF!</v>
      </c>
      <c r="E11" s="13" t="e">
        <f t="shared" si="1"/>
        <v>#REF!</v>
      </c>
      <c r="I11" s="14" t="s">
        <v>29</v>
      </c>
      <c r="J11" s="15">
        <v>30</v>
      </c>
      <c r="K11" s="15"/>
      <c r="L11" s="15"/>
      <c r="M11" s="15"/>
      <c r="N11" s="15"/>
      <c r="O11" s="10">
        <f t="shared" si="2"/>
        <v>30</v>
      </c>
      <c r="P11" s="157">
        <v>1</v>
      </c>
    </row>
    <row r="12" spans="1:16" x14ac:dyDescent="0.25">
      <c r="A12" s="11" t="s">
        <v>30</v>
      </c>
      <c r="B12" s="11" t="s">
        <v>31</v>
      </c>
      <c r="C12" s="12" t="e">
        <f>SUMIF('28-29'!$D$68:$D$88,A12,'28-29'!#REF!)</f>
        <v>#REF!</v>
      </c>
      <c r="D12" s="12" t="e">
        <f>SUMIF('28-29'!$D$92:$D$289,A12,'28-29'!#REF!)</f>
        <v>#REF!</v>
      </c>
      <c r="E12" s="13" t="e">
        <f t="shared" si="1"/>
        <v>#REF!</v>
      </c>
      <c r="I12" s="14" t="s">
        <v>32</v>
      </c>
      <c r="J12" s="15">
        <v>30</v>
      </c>
      <c r="K12" s="15"/>
      <c r="L12" s="15"/>
      <c r="M12" s="15"/>
      <c r="N12" s="15"/>
      <c r="O12" s="10">
        <f t="shared" si="2"/>
        <v>30</v>
      </c>
      <c r="P12" s="157">
        <v>1</v>
      </c>
    </row>
    <row r="13" spans="1:16" x14ac:dyDescent="0.25">
      <c r="A13" s="16" t="s">
        <v>33</v>
      </c>
      <c r="B13" s="11" t="s">
        <v>34</v>
      </c>
      <c r="C13" s="12" t="e">
        <f>SUMIF('28-29'!$D$68:$D$88,A13,'28-29'!#REF!)</f>
        <v>#REF!</v>
      </c>
      <c r="D13" s="12" t="e">
        <f>SUMIF('28-29'!$D$92:$D$289,A13,'28-29'!#REF!)</f>
        <v>#REF!</v>
      </c>
      <c r="E13" s="13" t="e">
        <f>C13-D13</f>
        <v>#REF!</v>
      </c>
      <c r="I13" s="14" t="s">
        <v>35</v>
      </c>
      <c r="J13" s="15">
        <v>20</v>
      </c>
      <c r="K13" s="15"/>
      <c r="L13" s="15"/>
      <c r="M13" s="15"/>
      <c r="N13" s="15"/>
      <c r="O13" s="10">
        <f t="shared" si="2"/>
        <v>20</v>
      </c>
      <c r="P13" s="157">
        <v>1</v>
      </c>
    </row>
    <row r="14" spans="1:16" x14ac:dyDescent="0.25">
      <c r="A14" s="11" t="s">
        <v>36</v>
      </c>
      <c r="B14" s="11" t="s">
        <v>37</v>
      </c>
      <c r="C14" s="12" t="e">
        <f>SUMIF('28-29'!$D$68:$D$88,A14,'28-29'!#REF!)</f>
        <v>#REF!</v>
      </c>
      <c r="D14" s="12" t="e">
        <f>SUMIF('28-29'!$D$92:$D$289,A14,'28-29'!#REF!)</f>
        <v>#REF!</v>
      </c>
      <c r="E14" s="13" t="e">
        <f>C14-D14</f>
        <v>#REF!</v>
      </c>
      <c r="I14" s="14" t="s">
        <v>38</v>
      </c>
      <c r="J14" s="15">
        <v>15</v>
      </c>
      <c r="K14" s="15"/>
      <c r="L14" s="15"/>
      <c r="M14" s="15"/>
      <c r="N14" s="15"/>
      <c r="O14" s="10">
        <f t="shared" si="2"/>
        <v>15</v>
      </c>
      <c r="P14" s="157">
        <v>1</v>
      </c>
    </row>
    <row r="15" spans="1:16" x14ac:dyDescent="0.25">
      <c r="A15" s="11" t="s">
        <v>39</v>
      </c>
      <c r="B15" s="11" t="s">
        <v>40</v>
      </c>
      <c r="C15" s="12" t="e">
        <f>SUMIF('28-29'!$D$68:$D$88,A15,'28-29'!#REF!)</f>
        <v>#REF!</v>
      </c>
      <c r="D15" s="12" t="e">
        <f>SUMIF('28-29'!$D$92:$D$289,A15,'28-29'!#REF!)</f>
        <v>#REF!</v>
      </c>
      <c r="E15" s="13" t="e">
        <f>C15-D15</f>
        <v>#REF!</v>
      </c>
      <c r="I15" s="14" t="s">
        <v>41</v>
      </c>
      <c r="J15" s="15">
        <v>15</v>
      </c>
      <c r="K15" s="15"/>
      <c r="L15" s="15"/>
      <c r="M15" s="15"/>
      <c r="N15" s="15"/>
      <c r="O15" s="10">
        <f t="shared" si="2"/>
        <v>15</v>
      </c>
      <c r="P15" s="157">
        <v>1</v>
      </c>
    </row>
    <row r="16" spans="1:16" x14ac:dyDescent="0.25">
      <c r="A16" s="17"/>
      <c r="C16" s="4"/>
      <c r="D16" s="4"/>
      <c r="E16" s="4"/>
      <c r="I16" s="14" t="s">
        <v>42</v>
      </c>
      <c r="J16" s="10">
        <v>15</v>
      </c>
      <c r="K16" s="10"/>
      <c r="L16" s="10"/>
      <c r="M16" s="10"/>
      <c r="N16" s="10"/>
      <c r="O16" s="10">
        <f t="shared" si="2"/>
        <v>15</v>
      </c>
      <c r="P16" s="157">
        <v>1</v>
      </c>
    </row>
    <row r="17" spans="1:16" x14ac:dyDescent="0.25">
      <c r="A17" s="4"/>
      <c r="C17" s="18" t="e">
        <f>SUM(C5:C16)</f>
        <v>#REF!</v>
      </c>
      <c r="D17" s="18" t="e">
        <f>SUM(D5:D16)</f>
        <v>#REF!</v>
      </c>
      <c r="E17" s="18" t="e">
        <f>SUM(E5:E16)</f>
        <v>#REF!</v>
      </c>
      <c r="I17" s="19" t="s">
        <v>3</v>
      </c>
      <c r="J17" s="8">
        <f>SUM(J4:J16)</f>
        <v>155</v>
      </c>
      <c r="K17" s="8">
        <f t="shared" ref="K17:O17" si="3">SUM(K4:K16)</f>
        <v>0</v>
      </c>
      <c r="L17" s="8">
        <f t="shared" si="3"/>
        <v>0</v>
      </c>
      <c r="M17" s="8">
        <f t="shared" si="3"/>
        <v>0</v>
      </c>
      <c r="N17" s="8">
        <f t="shared" si="3"/>
        <v>0</v>
      </c>
      <c r="O17" s="8">
        <f t="shared" si="3"/>
        <v>155</v>
      </c>
      <c r="P17" s="157">
        <f>SUM(P4:P16)</f>
        <v>7</v>
      </c>
    </row>
    <row r="18" spans="1:16" x14ac:dyDescent="0.25">
      <c r="A18" s="11"/>
      <c r="C18" s="20" t="e">
        <f>C17=('28-29'!#REF!+'28-29'!#REF!)</f>
        <v>#REF!</v>
      </c>
      <c r="D18" s="1" t="e">
        <f>D17=('28-29'!#REF!+'28-29'!#REF!)</f>
        <v>#REF!</v>
      </c>
      <c r="E18" s="20" t="e">
        <f>ROUND(E17,2)=ROUND('28-29'!#REF!,2)</f>
        <v>#REF!</v>
      </c>
    </row>
    <row r="20" spans="1:16" x14ac:dyDescent="0.25">
      <c r="I20" s="21" t="s">
        <v>43</v>
      </c>
      <c r="J20" s="22" t="s">
        <v>10</v>
      </c>
      <c r="K20" s="22" t="s">
        <v>44</v>
      </c>
      <c r="L20" s="22" t="s">
        <v>40</v>
      </c>
      <c r="M20" s="22" t="s">
        <v>45</v>
      </c>
      <c r="N20" s="22" t="s">
        <v>46</v>
      </c>
      <c r="O20" s="22" t="s">
        <v>47</v>
      </c>
    </row>
    <row r="21" spans="1:16" x14ac:dyDescent="0.25">
      <c r="I21" s="14" t="s">
        <v>49</v>
      </c>
      <c r="J21" s="10">
        <v>0</v>
      </c>
      <c r="K21" s="10">
        <f>ROUND(('27-28'!K21/'27-28'!J17)*'28-29'!J17,0)</f>
        <v>17</v>
      </c>
      <c r="L21" s="10"/>
      <c r="M21" s="10"/>
      <c r="N21" s="10"/>
      <c r="O21" s="10">
        <f>SUM(J21:N21)</f>
        <v>17</v>
      </c>
    </row>
    <row r="22" spans="1:16" x14ac:dyDescent="0.25">
      <c r="I22" s="14" t="s">
        <v>50</v>
      </c>
      <c r="J22" s="10">
        <f>ROUND(('27-28'!J22/'27-28'!J17)*'28-29'!J17,0)</f>
        <v>21</v>
      </c>
      <c r="K22" s="10"/>
      <c r="L22" s="10"/>
      <c r="M22" s="10"/>
      <c r="N22" s="10"/>
      <c r="O22" s="10">
        <f t="shared" ref="O22:O25" si="4">SUM(J22:N22)</f>
        <v>21</v>
      </c>
    </row>
    <row r="23" spans="1:16" x14ac:dyDescent="0.25">
      <c r="I23" s="14" t="s">
        <v>51</v>
      </c>
      <c r="J23" s="15">
        <v>0</v>
      </c>
      <c r="K23" s="15"/>
      <c r="L23" s="15"/>
      <c r="M23" s="15"/>
      <c r="N23" s="15"/>
      <c r="O23" s="10">
        <f t="shared" si="4"/>
        <v>0</v>
      </c>
    </row>
    <row r="24" spans="1:16" x14ac:dyDescent="0.25">
      <c r="I24" s="14" t="s">
        <v>52</v>
      </c>
      <c r="J24" s="15">
        <v>3</v>
      </c>
      <c r="K24" s="15"/>
      <c r="L24" s="15"/>
      <c r="M24" s="15"/>
      <c r="N24" s="15"/>
      <c r="O24" s="10">
        <f t="shared" si="4"/>
        <v>3</v>
      </c>
    </row>
    <row r="25" spans="1:16" x14ac:dyDescent="0.25">
      <c r="I25" s="14" t="s">
        <v>53</v>
      </c>
      <c r="J25" s="23"/>
      <c r="K25" s="23"/>
      <c r="L25" s="23">
        <v>1</v>
      </c>
      <c r="M25" s="23"/>
      <c r="N25" s="23"/>
      <c r="O25" s="24">
        <f t="shared" si="4"/>
        <v>1</v>
      </c>
    </row>
    <row r="26" spans="1:16" x14ac:dyDescent="0.25">
      <c r="I26" s="25" t="s">
        <v>54</v>
      </c>
      <c r="J26" s="22" t="str">
        <f>J20</f>
        <v>Operating</v>
      </c>
      <c r="K26" s="22" t="str">
        <f t="shared" ref="K26:O26" si="5">K20</f>
        <v>SPED</v>
      </c>
      <c r="L26" s="22" t="str">
        <f t="shared" si="5"/>
        <v>NSLP</v>
      </c>
      <c r="M26" s="22" t="str">
        <f t="shared" si="5"/>
        <v>Title(s)</v>
      </c>
      <c r="N26" s="22" t="str">
        <f t="shared" si="5"/>
        <v>Other</v>
      </c>
      <c r="O26" s="22" t="str">
        <f t="shared" si="5"/>
        <v>Total</v>
      </c>
    </row>
    <row r="27" spans="1:16" x14ac:dyDescent="0.25">
      <c r="I27" s="26" t="s">
        <v>55</v>
      </c>
      <c r="J27" s="27">
        <v>7</v>
      </c>
      <c r="K27" s="27"/>
      <c r="L27" s="27"/>
      <c r="M27" s="27"/>
      <c r="N27" s="27"/>
      <c r="O27" s="27">
        <f>SUM(J27:N27)</f>
        <v>7</v>
      </c>
    </row>
    <row r="28" spans="1:16" x14ac:dyDescent="0.25">
      <c r="I28" s="26" t="s">
        <v>56</v>
      </c>
      <c r="J28" s="28"/>
      <c r="K28" s="28">
        <v>1</v>
      </c>
      <c r="L28" s="28"/>
      <c r="M28" s="28"/>
      <c r="N28" s="28"/>
      <c r="O28" s="27">
        <f t="shared" ref="O28:O35" si="6">SUM(J28:N28)</f>
        <v>1</v>
      </c>
    </row>
    <row r="29" spans="1:16" x14ac:dyDescent="0.25">
      <c r="I29" s="26" t="s">
        <v>57</v>
      </c>
      <c r="J29" s="27">
        <v>0</v>
      </c>
      <c r="K29" s="27"/>
      <c r="L29" s="27"/>
      <c r="M29" s="27"/>
      <c r="N29" s="27"/>
      <c r="O29" s="27">
        <f t="shared" si="6"/>
        <v>0</v>
      </c>
    </row>
    <row r="30" spans="1:16" x14ac:dyDescent="0.25">
      <c r="I30" s="26" t="s">
        <v>58</v>
      </c>
      <c r="J30" s="27">
        <v>0</v>
      </c>
      <c r="K30" s="27"/>
      <c r="L30" s="27"/>
      <c r="M30" s="27"/>
      <c r="N30" s="27"/>
      <c r="O30" s="27">
        <f t="shared" si="6"/>
        <v>0</v>
      </c>
    </row>
    <row r="31" spans="1:16" x14ac:dyDescent="0.25">
      <c r="I31" s="26" t="s">
        <v>59</v>
      </c>
      <c r="J31" s="27">
        <v>0</v>
      </c>
      <c r="K31" s="27"/>
      <c r="L31" s="27"/>
      <c r="M31" s="27"/>
      <c r="N31" s="27"/>
      <c r="O31" s="27">
        <f t="shared" si="6"/>
        <v>0</v>
      </c>
    </row>
    <row r="32" spans="1:16" x14ac:dyDescent="0.25">
      <c r="I32" s="29" t="s">
        <v>60</v>
      </c>
      <c r="J32" s="27">
        <v>0</v>
      </c>
      <c r="K32" s="27"/>
      <c r="L32" s="27"/>
      <c r="M32" s="27"/>
      <c r="N32" s="27"/>
      <c r="O32" s="27">
        <f t="shared" si="6"/>
        <v>0</v>
      </c>
    </row>
    <row r="33" spans="9:15" x14ac:dyDescent="0.25">
      <c r="I33" s="29" t="s">
        <v>61</v>
      </c>
      <c r="J33" s="27">
        <v>0</v>
      </c>
      <c r="K33" s="27"/>
      <c r="L33" s="27"/>
      <c r="M33" s="27"/>
      <c r="N33" s="27"/>
      <c r="O33" s="27">
        <f t="shared" si="6"/>
        <v>0</v>
      </c>
    </row>
    <row r="34" spans="9:15" x14ac:dyDescent="0.25">
      <c r="I34" s="29" t="s">
        <v>62</v>
      </c>
      <c r="J34" s="27">
        <v>1</v>
      </c>
      <c r="K34" s="27"/>
      <c r="L34" s="27"/>
      <c r="M34" s="27"/>
      <c r="N34" s="27"/>
      <c r="O34" s="27">
        <f t="shared" si="6"/>
        <v>1</v>
      </c>
    </row>
    <row r="35" spans="9:15" x14ac:dyDescent="0.25">
      <c r="I35" s="30" t="s">
        <v>63</v>
      </c>
      <c r="J35" s="27">
        <v>0</v>
      </c>
      <c r="K35" s="27"/>
      <c r="L35" s="27"/>
      <c r="M35" s="27"/>
      <c r="N35" s="27"/>
      <c r="O35" s="27">
        <f t="shared" si="6"/>
        <v>0</v>
      </c>
    </row>
    <row r="36" spans="9:15" x14ac:dyDescent="0.25">
      <c r="I36" s="25" t="s">
        <v>64</v>
      </c>
      <c r="J36" s="31">
        <f t="shared" ref="J36:O36" si="7">SUM(J27:J35)</f>
        <v>8</v>
      </c>
      <c r="K36" s="31">
        <f t="shared" si="7"/>
        <v>1</v>
      </c>
      <c r="L36" s="31">
        <f t="shared" si="7"/>
        <v>0</v>
      </c>
      <c r="M36" s="31">
        <f t="shared" si="7"/>
        <v>0</v>
      </c>
      <c r="N36" s="31">
        <f t="shared" si="7"/>
        <v>0</v>
      </c>
      <c r="O36" s="31">
        <f t="shared" si="7"/>
        <v>9</v>
      </c>
    </row>
    <row r="37" spans="9:15" x14ac:dyDescent="0.25">
      <c r="I37" s="32"/>
      <c r="J37" s="10"/>
      <c r="K37" s="10"/>
      <c r="L37" s="10"/>
      <c r="M37" s="10"/>
      <c r="N37" s="10"/>
      <c r="O37" s="10"/>
    </row>
    <row r="38" spans="9:15" x14ac:dyDescent="0.25">
      <c r="I38" s="25" t="s">
        <v>65</v>
      </c>
      <c r="J38" s="22" t="str">
        <f>J20</f>
        <v>Operating</v>
      </c>
      <c r="K38" s="22" t="str">
        <f t="shared" ref="K38:N38" si="8">K20</f>
        <v>SPED</v>
      </c>
      <c r="L38" s="22" t="str">
        <f t="shared" si="8"/>
        <v>NSLP</v>
      </c>
      <c r="M38" s="22" t="str">
        <f t="shared" si="8"/>
        <v>Title(s)</v>
      </c>
      <c r="N38" s="22" t="str">
        <f t="shared" si="8"/>
        <v>Other</v>
      </c>
      <c r="O38" s="22" t="str">
        <f>O20</f>
        <v>Total</v>
      </c>
    </row>
    <row r="39" spans="9:15" x14ac:dyDescent="0.25">
      <c r="I39" s="29" t="s">
        <v>402</v>
      </c>
      <c r="J39" s="28">
        <v>0</v>
      </c>
      <c r="K39" s="28"/>
      <c r="L39" s="28"/>
      <c r="M39" s="28"/>
      <c r="N39" s="28"/>
      <c r="O39" s="27">
        <f>SUM(J39:N39)</f>
        <v>0</v>
      </c>
    </row>
    <row r="40" spans="9:15" x14ac:dyDescent="0.25">
      <c r="I40" s="29" t="s">
        <v>66</v>
      </c>
      <c r="J40" s="28">
        <v>1</v>
      </c>
      <c r="K40" s="28"/>
      <c r="L40" s="28"/>
      <c r="M40" s="28"/>
      <c r="N40" s="28"/>
      <c r="O40" s="27">
        <f t="shared" ref="O40:O60" si="9">SUM(J40:N40)</f>
        <v>1</v>
      </c>
    </row>
    <row r="41" spans="9:15" x14ac:dyDescent="0.25">
      <c r="I41" s="33" t="s">
        <v>67</v>
      </c>
      <c r="J41" s="28"/>
      <c r="K41" s="28"/>
      <c r="L41" s="28"/>
      <c r="M41" s="28">
        <v>0</v>
      </c>
      <c r="N41" s="28"/>
      <c r="O41" s="27">
        <f t="shared" si="9"/>
        <v>0</v>
      </c>
    </row>
    <row r="42" spans="9:15" x14ac:dyDescent="0.25">
      <c r="I42" s="29" t="s">
        <v>68</v>
      </c>
      <c r="J42" s="28">
        <v>0</v>
      </c>
      <c r="K42" s="28"/>
      <c r="L42" s="28"/>
      <c r="M42" s="28"/>
      <c r="N42" s="28"/>
      <c r="O42" s="27">
        <f t="shared" si="9"/>
        <v>0</v>
      </c>
    </row>
    <row r="43" spans="9:15" x14ac:dyDescent="0.25">
      <c r="I43" s="29" t="s">
        <v>69</v>
      </c>
      <c r="J43" s="28">
        <v>0</v>
      </c>
      <c r="K43" s="28"/>
      <c r="L43" s="28"/>
      <c r="M43" s="28"/>
      <c r="N43" s="28"/>
      <c r="O43" s="27">
        <f t="shared" si="9"/>
        <v>0</v>
      </c>
    </row>
    <row r="44" spans="9:15" x14ac:dyDescent="0.25">
      <c r="I44" s="29" t="s">
        <v>70</v>
      </c>
      <c r="J44" s="28">
        <v>1</v>
      </c>
      <c r="K44" s="28"/>
      <c r="L44" s="28"/>
      <c r="M44" s="28"/>
      <c r="N44" s="28"/>
      <c r="O44" s="27">
        <f t="shared" si="9"/>
        <v>1</v>
      </c>
    </row>
    <row r="45" spans="9:15" x14ac:dyDescent="0.25">
      <c r="I45" s="29" t="s">
        <v>71</v>
      </c>
      <c r="J45" s="28">
        <v>0</v>
      </c>
      <c r="K45" s="28"/>
      <c r="L45" s="28"/>
      <c r="M45" s="28"/>
      <c r="N45" s="28"/>
      <c r="O45" s="27">
        <f t="shared" si="9"/>
        <v>0</v>
      </c>
    </row>
    <row r="46" spans="9:15" x14ac:dyDescent="0.25">
      <c r="I46" s="29" t="s">
        <v>72</v>
      </c>
      <c r="J46" s="28">
        <v>1</v>
      </c>
      <c r="K46" s="28"/>
      <c r="L46" s="28"/>
      <c r="M46" s="28"/>
      <c r="N46" s="28"/>
      <c r="O46" s="27">
        <f t="shared" si="9"/>
        <v>1</v>
      </c>
    </row>
    <row r="47" spans="9:15" x14ac:dyDescent="0.25">
      <c r="I47" s="29" t="s">
        <v>73</v>
      </c>
      <c r="J47" s="28">
        <v>0</v>
      </c>
      <c r="K47" s="28"/>
      <c r="L47" s="28"/>
      <c r="M47" s="28"/>
      <c r="N47" s="28"/>
      <c r="O47" s="27">
        <f t="shared" si="9"/>
        <v>0</v>
      </c>
    </row>
    <row r="48" spans="9:15" x14ac:dyDescent="0.25">
      <c r="I48" s="29" t="s">
        <v>74</v>
      </c>
      <c r="J48" s="28">
        <v>0</v>
      </c>
      <c r="K48" s="28"/>
      <c r="L48" s="28"/>
      <c r="M48" s="28"/>
      <c r="N48" s="28"/>
      <c r="O48" s="27">
        <f t="shared" si="9"/>
        <v>0</v>
      </c>
    </row>
    <row r="49" spans="9:15" x14ac:dyDescent="0.25">
      <c r="I49" s="29" t="s">
        <v>75</v>
      </c>
      <c r="J49" s="28">
        <v>0</v>
      </c>
      <c r="K49" s="28"/>
      <c r="L49" s="28"/>
      <c r="M49" s="28"/>
      <c r="N49" s="28"/>
      <c r="O49" s="27">
        <f t="shared" si="9"/>
        <v>0</v>
      </c>
    </row>
    <row r="50" spans="9:15" x14ac:dyDescent="0.25">
      <c r="I50" s="29" t="s">
        <v>76</v>
      </c>
      <c r="J50" s="28">
        <v>0</v>
      </c>
      <c r="K50" s="28"/>
      <c r="L50" s="28"/>
      <c r="M50" s="28">
        <v>1</v>
      </c>
      <c r="N50" s="28"/>
      <c r="O50" s="27">
        <f t="shared" si="9"/>
        <v>1</v>
      </c>
    </row>
    <row r="51" spans="9:15" x14ac:dyDescent="0.25">
      <c r="I51" s="29" t="s">
        <v>77</v>
      </c>
      <c r="J51" s="28">
        <v>0</v>
      </c>
      <c r="K51" s="28"/>
      <c r="L51" s="28"/>
      <c r="M51" s="28"/>
      <c r="N51" s="28"/>
      <c r="O51" s="27">
        <f t="shared" si="9"/>
        <v>0</v>
      </c>
    </row>
    <row r="52" spans="9:15" x14ac:dyDescent="0.25">
      <c r="I52" s="29" t="s">
        <v>78</v>
      </c>
      <c r="J52" s="28"/>
      <c r="K52" s="28"/>
      <c r="L52" s="28">
        <v>1</v>
      </c>
      <c r="M52" s="28"/>
      <c r="N52" s="28"/>
      <c r="O52" s="27">
        <f t="shared" si="9"/>
        <v>1</v>
      </c>
    </row>
    <row r="53" spans="9:15" x14ac:dyDescent="0.25">
      <c r="I53" s="29" t="s">
        <v>79</v>
      </c>
      <c r="J53" s="28">
        <v>0</v>
      </c>
      <c r="K53" s="28"/>
      <c r="L53" s="28"/>
      <c r="M53" s="28"/>
      <c r="N53" s="28"/>
      <c r="O53" s="27">
        <f t="shared" si="9"/>
        <v>0</v>
      </c>
    </row>
    <row r="54" spans="9:15" x14ac:dyDescent="0.25">
      <c r="I54" s="33" t="s">
        <v>80</v>
      </c>
      <c r="J54" s="28">
        <v>0</v>
      </c>
      <c r="K54" s="28"/>
      <c r="L54" s="28"/>
      <c r="M54" s="28"/>
      <c r="N54" s="28"/>
      <c r="O54" s="27">
        <f t="shared" si="9"/>
        <v>0</v>
      </c>
    </row>
    <row r="55" spans="9:15" x14ac:dyDescent="0.25">
      <c r="I55" s="33" t="s">
        <v>81</v>
      </c>
      <c r="J55" s="28">
        <v>0</v>
      </c>
      <c r="K55" s="28"/>
      <c r="L55" s="28"/>
      <c r="M55" s="28"/>
      <c r="N55" s="28"/>
      <c r="O55" s="27">
        <f t="shared" si="9"/>
        <v>0</v>
      </c>
    </row>
    <row r="56" spans="9:15" x14ac:dyDescent="0.25">
      <c r="I56" s="33" t="s">
        <v>82</v>
      </c>
      <c r="J56" s="28">
        <v>0</v>
      </c>
      <c r="K56" s="28"/>
      <c r="L56" s="28"/>
      <c r="M56" s="28"/>
      <c r="N56" s="28"/>
      <c r="O56" s="27">
        <f t="shared" si="9"/>
        <v>0</v>
      </c>
    </row>
    <row r="57" spans="9:15" x14ac:dyDescent="0.25">
      <c r="I57" s="33" t="s">
        <v>83</v>
      </c>
      <c r="J57" s="28">
        <v>0</v>
      </c>
      <c r="K57" s="28"/>
      <c r="L57" s="28"/>
      <c r="M57" s="28"/>
      <c r="N57" s="28"/>
      <c r="O57" s="27">
        <f t="shared" si="9"/>
        <v>0</v>
      </c>
    </row>
    <row r="58" spans="9:15" x14ac:dyDescent="0.25">
      <c r="I58" s="33" t="s">
        <v>84</v>
      </c>
      <c r="J58" s="28">
        <v>0</v>
      </c>
      <c r="K58" s="28"/>
      <c r="L58" s="28"/>
      <c r="M58" s="28"/>
      <c r="N58" s="28"/>
      <c r="O58" s="27">
        <f t="shared" si="9"/>
        <v>0</v>
      </c>
    </row>
    <row r="59" spans="9:15" x14ac:dyDescent="0.25">
      <c r="I59" s="33" t="s">
        <v>85</v>
      </c>
      <c r="J59" s="28">
        <v>0</v>
      </c>
      <c r="K59" s="28"/>
      <c r="L59" s="28"/>
      <c r="M59" s="28"/>
      <c r="N59" s="28"/>
      <c r="O59" s="27">
        <f t="shared" si="9"/>
        <v>0</v>
      </c>
    </row>
    <row r="60" spans="9:15" x14ac:dyDescent="0.25">
      <c r="I60" s="29" t="s">
        <v>86</v>
      </c>
      <c r="J60" s="27">
        <v>0</v>
      </c>
      <c r="K60" s="27"/>
      <c r="L60" s="27"/>
      <c r="M60" s="27"/>
      <c r="N60" s="27"/>
      <c r="O60" s="27">
        <f t="shared" si="9"/>
        <v>0</v>
      </c>
    </row>
    <row r="61" spans="9:15" x14ac:dyDescent="0.25">
      <c r="I61" s="25" t="s">
        <v>87</v>
      </c>
      <c r="J61" s="31">
        <f t="shared" ref="J61:O61" si="10">SUM(J39:J60)</f>
        <v>3</v>
      </c>
      <c r="K61" s="31">
        <f t="shared" si="10"/>
        <v>0</v>
      </c>
      <c r="L61" s="31">
        <f t="shared" si="10"/>
        <v>1</v>
      </c>
      <c r="M61" s="31">
        <f t="shared" si="10"/>
        <v>1</v>
      </c>
      <c r="N61" s="31">
        <f t="shared" si="10"/>
        <v>0</v>
      </c>
      <c r="O61" s="31">
        <f t="shared" si="10"/>
        <v>5</v>
      </c>
    </row>
    <row r="62" spans="9:15" ht="16.5" thickBot="1" x14ac:dyDescent="0.3">
      <c r="I62" s="34"/>
      <c r="J62" s="35"/>
      <c r="K62" s="35"/>
      <c r="L62" s="35"/>
      <c r="M62" s="35"/>
      <c r="N62" s="35"/>
      <c r="O62" s="35"/>
    </row>
    <row r="63" spans="9:15" x14ac:dyDescent="0.25">
      <c r="I63" s="36" t="s">
        <v>88</v>
      </c>
      <c r="J63" s="37">
        <f t="shared" ref="J63:O63" si="11">J36</f>
        <v>8</v>
      </c>
      <c r="K63" s="37">
        <f t="shared" si="11"/>
        <v>1</v>
      </c>
      <c r="L63" s="37">
        <f t="shared" si="11"/>
        <v>0</v>
      </c>
      <c r="M63" s="37">
        <f t="shared" si="11"/>
        <v>0</v>
      </c>
      <c r="N63" s="37">
        <f t="shared" si="11"/>
        <v>0</v>
      </c>
      <c r="O63" s="37">
        <f t="shared" si="11"/>
        <v>9</v>
      </c>
    </row>
    <row r="64" spans="9:15" x14ac:dyDescent="0.25">
      <c r="I64" s="38" t="s">
        <v>89</v>
      </c>
      <c r="J64" s="39">
        <f t="shared" ref="J64:O64" si="12">J61</f>
        <v>3</v>
      </c>
      <c r="K64" s="39">
        <f t="shared" si="12"/>
        <v>0</v>
      </c>
      <c r="L64" s="39">
        <f t="shared" si="12"/>
        <v>1</v>
      </c>
      <c r="M64" s="39">
        <f t="shared" si="12"/>
        <v>1</v>
      </c>
      <c r="N64" s="39">
        <f t="shared" si="12"/>
        <v>0</v>
      </c>
      <c r="O64" s="39">
        <f t="shared" si="12"/>
        <v>5</v>
      </c>
    </row>
    <row r="65" spans="1:15" ht="16.5" thickBot="1" x14ac:dyDescent="0.3">
      <c r="I65" s="40" t="s">
        <v>90</v>
      </c>
      <c r="J65" s="41">
        <f t="shared" ref="J65:O65" si="13">SUM(J63:J64)</f>
        <v>11</v>
      </c>
      <c r="K65" s="41">
        <f t="shared" si="13"/>
        <v>1</v>
      </c>
      <c r="L65" s="41">
        <f t="shared" si="13"/>
        <v>1</v>
      </c>
      <c r="M65" s="41">
        <f t="shared" si="13"/>
        <v>1</v>
      </c>
      <c r="N65" s="41">
        <f t="shared" si="13"/>
        <v>0</v>
      </c>
      <c r="O65" s="41">
        <f t="shared" si="13"/>
        <v>14</v>
      </c>
    </row>
    <row r="66" spans="1:15" ht="16.5" thickBot="1" x14ac:dyDescent="0.3"/>
    <row r="67" spans="1:15" ht="16.5" thickBot="1" x14ac:dyDescent="0.3">
      <c r="A67" s="42" t="s">
        <v>5</v>
      </c>
      <c r="B67" s="42" t="s">
        <v>91</v>
      </c>
      <c r="C67" s="42" t="s">
        <v>92</v>
      </c>
      <c r="D67" s="42" t="s">
        <v>4</v>
      </c>
      <c r="E67" s="42" t="s">
        <v>93</v>
      </c>
      <c r="G67" s="43" t="s">
        <v>94</v>
      </c>
      <c r="H67" s="43"/>
      <c r="I67" s="44"/>
      <c r="J67" s="45" t="str">
        <f>J20</f>
        <v>Operating</v>
      </c>
      <c r="K67" s="45" t="str">
        <f t="shared" ref="K67:O67" si="14">K20</f>
        <v>SPED</v>
      </c>
      <c r="L67" s="45" t="str">
        <f t="shared" si="14"/>
        <v>NSLP</v>
      </c>
      <c r="M67" s="45" t="str">
        <f t="shared" si="14"/>
        <v>Title(s)</v>
      </c>
      <c r="N67" s="45" t="str">
        <f t="shared" si="14"/>
        <v>Other</v>
      </c>
      <c r="O67" s="45" t="str">
        <f t="shared" si="14"/>
        <v>Total</v>
      </c>
    </row>
    <row r="68" spans="1:15" x14ac:dyDescent="0.25">
      <c r="A68" s="46">
        <v>40010</v>
      </c>
      <c r="B68" s="47" t="s">
        <v>95</v>
      </c>
      <c r="C68" s="48">
        <f t="shared" ref="C68:C82" si="15">$C$1</f>
        <v>0</v>
      </c>
      <c r="D68" s="49" t="s">
        <v>9</v>
      </c>
      <c r="E68" s="47" t="s">
        <v>96</v>
      </c>
      <c r="I68" s="49" t="s">
        <v>97</v>
      </c>
      <c r="J68" s="50">
        <f>J17*J2</f>
        <v>1514815</v>
      </c>
      <c r="K68" s="50"/>
      <c r="L68" s="50"/>
      <c r="M68" s="50"/>
      <c r="N68" s="50"/>
      <c r="O68" s="50">
        <f>SUM(J68:N68)</f>
        <v>1514815</v>
      </c>
    </row>
    <row r="69" spans="1:15" x14ac:dyDescent="0.25">
      <c r="A69" s="51">
        <v>40012</v>
      </c>
      <c r="B69" s="47" t="s">
        <v>95</v>
      </c>
      <c r="C69" s="48">
        <f t="shared" si="15"/>
        <v>0</v>
      </c>
      <c r="D69" s="52" t="s">
        <v>12</v>
      </c>
      <c r="E69" s="47" t="s">
        <v>96</v>
      </c>
      <c r="I69" s="52" t="s">
        <v>13</v>
      </c>
      <c r="J69" s="53">
        <f>J22*(0.45*J2)</f>
        <v>92354.85</v>
      </c>
      <c r="K69" s="53"/>
      <c r="L69" s="53"/>
      <c r="M69" s="53"/>
      <c r="N69" s="53"/>
      <c r="O69" s="50">
        <f t="shared" ref="O69:O82" si="16">SUM(J69:N69)</f>
        <v>92354.85</v>
      </c>
    </row>
    <row r="70" spans="1:15" x14ac:dyDescent="0.25">
      <c r="A70" s="51">
        <v>40014</v>
      </c>
      <c r="B70" s="47" t="s">
        <v>95</v>
      </c>
      <c r="C70" s="48">
        <f t="shared" si="15"/>
        <v>0</v>
      </c>
      <c r="D70" s="52" t="s">
        <v>15</v>
      </c>
      <c r="E70" s="47" t="s">
        <v>96</v>
      </c>
      <c r="I70" s="52" t="s">
        <v>16</v>
      </c>
      <c r="J70" s="53">
        <f>J23*(0.12*J2)</f>
        <v>0</v>
      </c>
      <c r="K70" s="53"/>
      <c r="L70" s="53"/>
      <c r="M70" s="53"/>
      <c r="N70" s="53"/>
      <c r="O70" s="50">
        <f t="shared" si="16"/>
        <v>0</v>
      </c>
    </row>
    <row r="71" spans="1:15" x14ac:dyDescent="0.25">
      <c r="A71" s="51">
        <v>40013</v>
      </c>
      <c r="B71" s="47" t="s">
        <v>95</v>
      </c>
      <c r="C71" s="48">
        <f t="shared" si="15"/>
        <v>0</v>
      </c>
      <c r="D71" s="52" t="s">
        <v>18</v>
      </c>
      <c r="E71" s="47" t="s">
        <v>96</v>
      </c>
      <c r="I71" s="52" t="s">
        <v>19</v>
      </c>
      <c r="J71" s="53">
        <f>J24*(0.35*J2)</f>
        <v>10261.65</v>
      </c>
      <c r="K71" s="53"/>
      <c r="L71" s="53"/>
      <c r="M71" s="53"/>
      <c r="N71" s="53"/>
      <c r="O71" s="50">
        <f t="shared" si="16"/>
        <v>10261.65</v>
      </c>
    </row>
    <row r="72" spans="1:15" x14ac:dyDescent="0.25">
      <c r="A72" s="51">
        <v>40015</v>
      </c>
      <c r="B72" s="47" t="s">
        <v>95</v>
      </c>
      <c r="C72" s="48">
        <f t="shared" si="15"/>
        <v>0</v>
      </c>
      <c r="D72" s="52" t="s">
        <v>21</v>
      </c>
      <c r="E72" s="47" t="s">
        <v>96</v>
      </c>
      <c r="I72" s="52" t="s">
        <v>22</v>
      </c>
      <c r="J72" s="53">
        <v>49722.3</v>
      </c>
      <c r="K72" s="53"/>
      <c r="L72" s="53"/>
      <c r="M72" s="53"/>
      <c r="N72" s="53"/>
      <c r="O72" s="50">
        <f t="shared" si="16"/>
        <v>49722.3</v>
      </c>
    </row>
    <row r="73" spans="1:15" x14ac:dyDescent="0.25">
      <c r="A73" s="51">
        <v>40011</v>
      </c>
      <c r="B73" s="47" t="s">
        <v>95</v>
      </c>
      <c r="C73" s="48">
        <f t="shared" si="15"/>
        <v>0</v>
      </c>
      <c r="D73" s="54" t="s">
        <v>27</v>
      </c>
      <c r="E73" s="47" t="s">
        <v>96</v>
      </c>
      <c r="I73" s="52" t="s">
        <v>98</v>
      </c>
      <c r="J73" s="53"/>
      <c r="K73" s="53">
        <v>122895</v>
      </c>
      <c r="L73" s="53"/>
      <c r="M73" s="53"/>
      <c r="N73" s="53"/>
      <c r="O73" s="50">
        <f t="shared" si="16"/>
        <v>122895</v>
      </c>
    </row>
    <row r="74" spans="1:15" x14ac:dyDescent="0.25">
      <c r="A74" s="51">
        <v>40020</v>
      </c>
      <c r="B74" s="47" t="s">
        <v>95</v>
      </c>
      <c r="C74" s="48">
        <f t="shared" si="15"/>
        <v>0</v>
      </c>
      <c r="D74" s="52" t="s">
        <v>27</v>
      </c>
      <c r="E74" s="47" t="s">
        <v>96</v>
      </c>
      <c r="I74" s="52" t="s">
        <v>99</v>
      </c>
      <c r="J74" s="55"/>
      <c r="K74" s="55">
        <f>3633.22134155844*K21</f>
        <v>61764.762806493483</v>
      </c>
      <c r="L74" s="55"/>
      <c r="M74" s="55"/>
      <c r="N74" s="55"/>
      <c r="O74" s="50">
        <f t="shared" si="16"/>
        <v>61764.762806493483</v>
      </c>
    </row>
    <row r="75" spans="1:15" x14ac:dyDescent="0.25">
      <c r="A75" s="51">
        <v>42010</v>
      </c>
      <c r="B75" s="47" t="s">
        <v>95</v>
      </c>
      <c r="C75" s="48">
        <f t="shared" si="15"/>
        <v>0</v>
      </c>
      <c r="D75" s="52" t="s">
        <v>36</v>
      </c>
      <c r="E75" s="47" t="s">
        <v>96</v>
      </c>
      <c r="I75" s="52" t="s">
        <v>100</v>
      </c>
      <c r="J75" s="55"/>
      <c r="K75" s="55">
        <f>961.832*K21</f>
        <v>16351.144</v>
      </c>
      <c r="L75" s="55"/>
      <c r="M75" s="55"/>
      <c r="N75" s="55"/>
      <c r="O75" s="50">
        <f t="shared" si="16"/>
        <v>16351.144</v>
      </c>
    </row>
    <row r="76" spans="1:15" x14ac:dyDescent="0.25">
      <c r="A76" s="51">
        <v>70200</v>
      </c>
      <c r="B76" s="47" t="s">
        <v>95</v>
      </c>
      <c r="C76" s="48">
        <f t="shared" si="15"/>
        <v>0</v>
      </c>
      <c r="D76" s="49" t="s">
        <v>9</v>
      </c>
      <c r="E76" s="47" t="s">
        <v>96</v>
      </c>
      <c r="I76" s="52" t="s">
        <v>101</v>
      </c>
      <c r="J76" s="55">
        <v>0</v>
      </c>
      <c r="K76" s="55"/>
      <c r="L76" s="55"/>
      <c r="M76" s="55"/>
      <c r="N76" s="55"/>
      <c r="O76" s="50">
        <f t="shared" si="16"/>
        <v>0</v>
      </c>
    </row>
    <row r="77" spans="1:15" x14ac:dyDescent="0.25">
      <c r="A77" s="51">
        <v>40020</v>
      </c>
      <c r="B77" s="47" t="s">
        <v>95</v>
      </c>
      <c r="C77" s="48">
        <f t="shared" si="15"/>
        <v>0</v>
      </c>
      <c r="D77" s="52" t="s">
        <v>24</v>
      </c>
      <c r="E77" s="47" t="s">
        <v>96</v>
      </c>
      <c r="I77" s="52" t="s">
        <v>25</v>
      </c>
      <c r="J77" s="55"/>
      <c r="K77" s="55"/>
      <c r="L77" s="55"/>
      <c r="M77" s="55"/>
      <c r="N77" s="55"/>
      <c r="O77" s="50">
        <f t="shared" si="16"/>
        <v>0</v>
      </c>
    </row>
    <row r="78" spans="1:15" x14ac:dyDescent="0.25">
      <c r="A78" s="51">
        <v>42010</v>
      </c>
      <c r="B78" s="47" t="s">
        <v>95</v>
      </c>
      <c r="C78" s="48">
        <f t="shared" si="15"/>
        <v>0</v>
      </c>
      <c r="D78" s="52" t="s">
        <v>36</v>
      </c>
      <c r="E78" s="47" t="s">
        <v>96</v>
      </c>
      <c r="I78" s="52" t="s">
        <v>37</v>
      </c>
      <c r="J78" s="55"/>
      <c r="K78" s="55"/>
      <c r="L78" s="55"/>
      <c r="M78" s="55">
        <f>37760+2596.59+1446+3353+2331+44733</f>
        <v>92219.59</v>
      </c>
      <c r="N78" s="55"/>
      <c r="O78" s="50">
        <f t="shared" si="16"/>
        <v>92219.59</v>
      </c>
    </row>
    <row r="79" spans="1:15" x14ac:dyDescent="0.25">
      <c r="A79" s="51">
        <v>44000</v>
      </c>
      <c r="B79" s="47" t="s">
        <v>95</v>
      </c>
      <c r="C79" s="48">
        <f t="shared" si="15"/>
        <v>0</v>
      </c>
      <c r="D79" s="52" t="s">
        <v>30</v>
      </c>
      <c r="E79" s="47" t="s">
        <v>96</v>
      </c>
      <c r="I79" s="52" t="s">
        <v>31</v>
      </c>
      <c r="J79" s="55">
        <v>177757</v>
      </c>
      <c r="K79" s="55"/>
      <c r="L79" s="55"/>
      <c r="M79" s="55"/>
      <c r="N79" s="55"/>
      <c r="O79" s="50">
        <f t="shared" si="16"/>
        <v>177757</v>
      </c>
    </row>
    <row r="80" spans="1:15" x14ac:dyDescent="0.25">
      <c r="A80" s="51">
        <v>43040</v>
      </c>
      <c r="B80" s="47" t="s">
        <v>95</v>
      </c>
      <c r="C80" s="48">
        <f t="shared" si="15"/>
        <v>0</v>
      </c>
      <c r="D80" s="52" t="s">
        <v>33</v>
      </c>
      <c r="E80" s="47" t="s">
        <v>96</v>
      </c>
      <c r="I80" s="52" t="s">
        <v>102</v>
      </c>
      <c r="J80" s="55">
        <v>0</v>
      </c>
      <c r="K80" s="55"/>
      <c r="L80" s="55"/>
      <c r="M80" s="55"/>
      <c r="N80" s="55"/>
      <c r="O80" s="50">
        <f t="shared" si="16"/>
        <v>0</v>
      </c>
    </row>
    <row r="81" spans="1:15" x14ac:dyDescent="0.25">
      <c r="A81" s="51">
        <v>43020</v>
      </c>
      <c r="B81" s="47" t="s">
        <v>95</v>
      </c>
      <c r="C81" s="48">
        <f t="shared" si="15"/>
        <v>0</v>
      </c>
      <c r="D81" s="52" t="s">
        <v>39</v>
      </c>
      <c r="E81" s="47" t="s">
        <v>96</v>
      </c>
      <c r="I81" s="52" t="s">
        <v>103</v>
      </c>
      <c r="J81" s="55"/>
      <c r="K81" s="55"/>
      <c r="L81" s="55">
        <f>(40*2.84*180)*1.015*1.015*1.015</f>
        <v>21382.031411999993</v>
      </c>
      <c r="M81" s="55"/>
      <c r="N81" s="55"/>
      <c r="O81" s="50">
        <f t="shared" si="16"/>
        <v>21382.031411999993</v>
      </c>
    </row>
    <row r="82" spans="1:15" x14ac:dyDescent="0.25">
      <c r="A82" s="56">
        <v>43020</v>
      </c>
      <c r="B82" s="47" t="s">
        <v>95</v>
      </c>
      <c r="C82" s="48">
        <f t="shared" si="15"/>
        <v>0</v>
      </c>
      <c r="D82" s="57" t="s">
        <v>39</v>
      </c>
      <c r="E82" s="47" t="s">
        <v>96</v>
      </c>
      <c r="I82" s="57" t="s">
        <v>104</v>
      </c>
      <c r="J82" s="58"/>
      <c r="K82" s="58"/>
      <c r="L82" s="58">
        <f>(60*4.52*180)*1.015*1.015*1.015</f>
        <v>51045.83555399999</v>
      </c>
      <c r="M82" s="58"/>
      <c r="N82" s="58"/>
      <c r="O82" s="50">
        <f t="shared" si="16"/>
        <v>51045.83555399999</v>
      </c>
    </row>
    <row r="83" spans="1:15" x14ac:dyDescent="0.25">
      <c r="A83" s="59"/>
      <c r="B83" s="60"/>
      <c r="C83" s="60"/>
      <c r="D83" s="60"/>
      <c r="E83" s="60"/>
      <c r="H83" s="61" t="s">
        <v>105</v>
      </c>
      <c r="I83" s="62"/>
      <c r="J83" s="63">
        <f t="shared" ref="J83:O83" si="17">SUM(J68:J82)</f>
        <v>1844910.8</v>
      </c>
      <c r="K83" s="63">
        <f t="shared" si="17"/>
        <v>201010.9068064935</v>
      </c>
      <c r="L83" s="63">
        <f t="shared" si="17"/>
        <v>72427.866965999987</v>
      </c>
      <c r="M83" s="63">
        <f t="shared" si="17"/>
        <v>92219.59</v>
      </c>
      <c r="N83" s="63">
        <f t="shared" si="17"/>
        <v>0</v>
      </c>
      <c r="O83" s="63">
        <f t="shared" si="17"/>
        <v>2210569.1637724936</v>
      </c>
    </row>
    <row r="85" spans="1:15" x14ac:dyDescent="0.25">
      <c r="A85" s="59"/>
      <c r="B85" s="60"/>
      <c r="C85" s="60"/>
      <c r="D85" s="60"/>
      <c r="E85" s="60"/>
      <c r="G85" s="61" t="s">
        <v>106</v>
      </c>
      <c r="H85" s="64"/>
      <c r="I85" s="65"/>
      <c r="J85" s="66" t="str">
        <f>J20</f>
        <v>Operating</v>
      </c>
      <c r="K85" s="66" t="str">
        <f t="shared" ref="K85:O85" si="18">K20</f>
        <v>SPED</v>
      </c>
      <c r="L85" s="66" t="str">
        <f t="shared" si="18"/>
        <v>NSLP</v>
      </c>
      <c r="M85" s="66" t="str">
        <f t="shared" si="18"/>
        <v>Title(s)</v>
      </c>
      <c r="N85" s="66" t="str">
        <f t="shared" si="18"/>
        <v>Other</v>
      </c>
      <c r="O85" s="66" t="str">
        <f t="shared" si="18"/>
        <v>Total</v>
      </c>
    </row>
    <row r="86" spans="1:15" x14ac:dyDescent="0.25">
      <c r="A86" s="67">
        <v>45000</v>
      </c>
      <c r="B86" s="47" t="s">
        <v>95</v>
      </c>
      <c r="C86" s="48">
        <f>$C$1</f>
        <v>0</v>
      </c>
      <c r="D86" s="49" t="s">
        <v>9</v>
      </c>
      <c r="E86" s="47" t="s">
        <v>96</v>
      </c>
      <c r="I86" s="49" t="s">
        <v>107</v>
      </c>
      <c r="J86" s="177"/>
      <c r="K86" s="177"/>
      <c r="L86" s="177"/>
      <c r="M86" s="177"/>
      <c r="N86" s="177"/>
      <c r="O86" s="50">
        <f t="shared" ref="O86:O88" si="19">SUM(J86:N86)</f>
        <v>0</v>
      </c>
    </row>
    <row r="87" spans="1:15" x14ac:dyDescent="0.25">
      <c r="A87" s="67">
        <v>45000</v>
      </c>
      <c r="B87" s="47" t="s">
        <v>95</v>
      </c>
      <c r="C87" s="48">
        <f>$C$1</f>
        <v>0</v>
      </c>
      <c r="D87" s="49" t="s">
        <v>9</v>
      </c>
      <c r="E87" s="47" t="s">
        <v>96</v>
      </c>
      <c r="I87" s="52" t="s">
        <v>108</v>
      </c>
      <c r="J87" s="55"/>
      <c r="K87" s="55"/>
      <c r="L87" s="55"/>
      <c r="M87" s="55"/>
      <c r="N87" s="55"/>
      <c r="O87" s="50">
        <f t="shared" si="19"/>
        <v>0</v>
      </c>
    </row>
    <row r="88" spans="1:15" x14ac:dyDescent="0.25">
      <c r="A88" s="67">
        <v>45000</v>
      </c>
      <c r="B88" s="47" t="s">
        <v>95</v>
      </c>
      <c r="C88" s="48">
        <f>$C$1</f>
        <v>0</v>
      </c>
      <c r="D88" s="49" t="s">
        <v>9</v>
      </c>
      <c r="E88" s="47" t="s">
        <v>96</v>
      </c>
      <c r="I88" s="57" t="s">
        <v>109</v>
      </c>
      <c r="J88" s="178"/>
      <c r="K88" s="178"/>
      <c r="L88" s="178"/>
      <c r="M88" s="178"/>
      <c r="N88" s="178"/>
      <c r="O88" s="50">
        <f t="shared" si="19"/>
        <v>0</v>
      </c>
    </row>
    <row r="89" spans="1:15" x14ac:dyDescent="0.25">
      <c r="A89" s="59"/>
      <c r="B89" s="60"/>
      <c r="C89" s="60"/>
      <c r="D89" s="60"/>
      <c r="E89" s="60"/>
      <c r="H89" s="61" t="s">
        <v>110</v>
      </c>
      <c r="I89" s="65"/>
      <c r="J89" s="63">
        <f t="shared" ref="J89:O89" si="20">SUM(J86:J88)</f>
        <v>0</v>
      </c>
      <c r="K89" s="63">
        <f t="shared" si="20"/>
        <v>0</v>
      </c>
      <c r="L89" s="63">
        <f t="shared" si="20"/>
        <v>0</v>
      </c>
      <c r="M89" s="63">
        <f t="shared" si="20"/>
        <v>0</v>
      </c>
      <c r="N89" s="63">
        <f t="shared" si="20"/>
        <v>0</v>
      </c>
      <c r="O89" s="63">
        <f t="shared" si="20"/>
        <v>0</v>
      </c>
    </row>
    <row r="91" spans="1:15" ht="16.5" thickBot="1" x14ac:dyDescent="0.3"/>
    <row r="92" spans="1:15" ht="16.5" thickBot="1" x14ac:dyDescent="0.3">
      <c r="A92" s="68" t="s">
        <v>5</v>
      </c>
      <c r="B92" s="68" t="s">
        <v>91</v>
      </c>
      <c r="C92" s="68" t="s">
        <v>92</v>
      </c>
      <c r="D92" s="68" t="s">
        <v>4</v>
      </c>
      <c r="E92" s="68" t="s">
        <v>93</v>
      </c>
      <c r="G92" s="69" t="s">
        <v>111</v>
      </c>
      <c r="H92" s="70"/>
      <c r="I92" s="71"/>
      <c r="J92" s="72" t="str">
        <f>J20</f>
        <v>Operating</v>
      </c>
      <c r="K92" s="72" t="str">
        <f t="shared" ref="K92:O92" si="21">K20</f>
        <v>SPED</v>
      </c>
      <c r="L92" s="72" t="str">
        <f t="shared" si="21"/>
        <v>NSLP</v>
      </c>
      <c r="M92" s="72" t="str">
        <f t="shared" si="21"/>
        <v>Title(s)</v>
      </c>
      <c r="N92" s="72" t="str">
        <f t="shared" si="21"/>
        <v>Other</v>
      </c>
      <c r="O92" s="72" t="str">
        <f t="shared" si="21"/>
        <v>Total</v>
      </c>
    </row>
    <row r="93" spans="1:15" x14ac:dyDescent="0.25">
      <c r="A93" s="73"/>
      <c r="B93" s="74"/>
      <c r="C93" s="75"/>
      <c r="D93" s="76"/>
      <c r="E93" s="74"/>
      <c r="H93" s="77" t="s">
        <v>112</v>
      </c>
      <c r="I93" s="78"/>
      <c r="J93" s="79"/>
      <c r="K93" s="79"/>
      <c r="L93" s="79"/>
      <c r="M93" s="79"/>
      <c r="N93" s="79"/>
      <c r="O93" s="79"/>
    </row>
    <row r="94" spans="1:15" x14ac:dyDescent="0.25">
      <c r="A94" s="51">
        <v>60036</v>
      </c>
      <c r="B94" s="80" t="s">
        <v>113</v>
      </c>
      <c r="C94" s="48">
        <f>$C$1</f>
        <v>0</v>
      </c>
      <c r="D94" s="49" t="s">
        <v>9</v>
      </c>
      <c r="E94" s="52" t="s">
        <v>114</v>
      </c>
      <c r="I94" s="49" t="s">
        <v>402</v>
      </c>
      <c r="J94" s="50">
        <v>0</v>
      </c>
      <c r="K94" s="50"/>
      <c r="L94" s="50"/>
      <c r="M94" s="50"/>
      <c r="N94" s="50"/>
      <c r="O94" s="50">
        <f t="shared" ref="O94:O152" si="22">SUM(J94:N94)</f>
        <v>0</v>
      </c>
    </row>
    <row r="95" spans="1:15" x14ac:dyDescent="0.25">
      <c r="A95" s="51">
        <v>60036</v>
      </c>
      <c r="B95" s="80" t="s">
        <v>113</v>
      </c>
      <c r="C95" s="48">
        <f>$C$1</f>
        <v>0</v>
      </c>
      <c r="D95" s="49" t="s">
        <v>9</v>
      </c>
      <c r="E95" s="52" t="s">
        <v>114</v>
      </c>
      <c r="I95" s="52" t="s">
        <v>66</v>
      </c>
      <c r="J95" s="55">
        <f>'27-28'!J95*1.015</f>
        <v>133323.99281249996</v>
      </c>
      <c r="K95" s="55"/>
      <c r="L95" s="55"/>
      <c r="M95" s="55"/>
      <c r="N95" s="55"/>
      <c r="O95" s="50">
        <f t="shared" si="22"/>
        <v>133323.99281249996</v>
      </c>
    </row>
    <row r="96" spans="1:15" x14ac:dyDescent="0.25">
      <c r="A96" s="51">
        <v>60036</v>
      </c>
      <c r="B96" s="80" t="s">
        <v>113</v>
      </c>
      <c r="C96" s="48">
        <f>$C$1</f>
        <v>0</v>
      </c>
      <c r="D96" s="52" t="s">
        <v>36</v>
      </c>
      <c r="E96" s="52" t="s">
        <v>114</v>
      </c>
      <c r="I96" s="52" t="s">
        <v>115</v>
      </c>
      <c r="J96" s="55"/>
      <c r="K96" s="55"/>
      <c r="L96" s="55"/>
      <c r="M96" s="55"/>
      <c r="N96" s="55"/>
      <c r="O96" s="50">
        <f t="shared" si="22"/>
        <v>0</v>
      </c>
    </row>
    <row r="97" spans="1:15" x14ac:dyDescent="0.25">
      <c r="A97" s="81"/>
      <c r="B97" s="82"/>
      <c r="C97" s="82"/>
      <c r="D97" s="82"/>
      <c r="E97" s="82"/>
      <c r="H97" s="83" t="s">
        <v>116</v>
      </c>
      <c r="I97" s="84"/>
      <c r="J97" s="79"/>
      <c r="K97" s="79"/>
      <c r="L97" s="79"/>
      <c r="M97" s="79"/>
      <c r="N97" s="79"/>
      <c r="O97" s="79"/>
    </row>
    <row r="98" spans="1:15" x14ac:dyDescent="0.25">
      <c r="A98" s="51">
        <v>60036</v>
      </c>
      <c r="B98" s="80" t="s">
        <v>113</v>
      </c>
      <c r="C98" s="85">
        <f>$C$1</f>
        <v>0</v>
      </c>
      <c r="D98" s="52" t="s">
        <v>27</v>
      </c>
      <c r="E98" s="52" t="s">
        <v>114</v>
      </c>
      <c r="I98" s="52" t="s">
        <v>117</v>
      </c>
      <c r="J98" s="50">
        <v>0</v>
      </c>
      <c r="K98" s="50">
        <v>0</v>
      </c>
      <c r="L98" s="50"/>
      <c r="M98" s="50"/>
      <c r="N98" s="50"/>
      <c r="O98" s="50">
        <f t="shared" si="22"/>
        <v>0</v>
      </c>
    </row>
    <row r="99" spans="1:15" x14ac:dyDescent="0.25">
      <c r="A99" s="51">
        <v>60036</v>
      </c>
      <c r="B99" s="80" t="s">
        <v>113</v>
      </c>
      <c r="C99" s="85">
        <f>$C$1</f>
        <v>0</v>
      </c>
      <c r="D99" s="52" t="s">
        <v>27</v>
      </c>
      <c r="E99" s="52" t="s">
        <v>114</v>
      </c>
      <c r="I99" s="52" t="s">
        <v>118</v>
      </c>
      <c r="J99" s="50">
        <v>0</v>
      </c>
      <c r="K99" s="50"/>
      <c r="L99" s="50"/>
      <c r="M99" s="50"/>
      <c r="N99" s="50"/>
      <c r="O99" s="50">
        <f t="shared" si="22"/>
        <v>0</v>
      </c>
    </row>
    <row r="100" spans="1:15" x14ac:dyDescent="0.25">
      <c r="A100" s="81"/>
      <c r="B100" s="82"/>
      <c r="C100" s="82"/>
      <c r="D100" s="82"/>
      <c r="E100" s="82"/>
      <c r="H100" s="83" t="s">
        <v>119</v>
      </c>
      <c r="I100" s="84"/>
      <c r="J100" s="79"/>
      <c r="K100" s="79"/>
      <c r="L100" s="79"/>
      <c r="M100" s="79"/>
      <c r="N100" s="79"/>
      <c r="O100" s="79"/>
    </row>
    <row r="101" spans="1:15" x14ac:dyDescent="0.25">
      <c r="A101" s="51">
        <v>60036</v>
      </c>
      <c r="B101" s="80" t="s">
        <v>113</v>
      </c>
      <c r="C101" s="48">
        <f t="shared" ref="C101:C119" si="23">$C$1</f>
        <v>0</v>
      </c>
      <c r="D101" s="49" t="s">
        <v>9</v>
      </c>
      <c r="E101" s="52" t="s">
        <v>120</v>
      </c>
      <c r="I101" s="52" t="s">
        <v>70</v>
      </c>
      <c r="J101" s="55">
        <f>(70000*1.015*1.015*1.015)-J103</f>
        <v>71223.486249999987</v>
      </c>
      <c r="K101" s="55"/>
      <c r="L101" s="55"/>
      <c r="M101" s="55"/>
      <c r="N101" s="55"/>
      <c r="O101" s="50">
        <f t="shared" si="22"/>
        <v>71223.486249999987</v>
      </c>
    </row>
    <row r="102" spans="1:15" x14ac:dyDescent="0.25">
      <c r="A102" s="86">
        <v>60036</v>
      </c>
      <c r="B102" s="87" t="s">
        <v>113</v>
      </c>
      <c r="C102" s="88">
        <f t="shared" si="23"/>
        <v>0</v>
      </c>
      <c r="D102" s="89" t="s">
        <v>18</v>
      </c>
      <c r="E102" s="89" t="s">
        <v>120</v>
      </c>
      <c r="I102" s="52" t="s">
        <v>121</v>
      </c>
      <c r="J102" s="55">
        <v>0</v>
      </c>
      <c r="K102" s="55"/>
      <c r="L102" s="55"/>
      <c r="M102" s="55"/>
      <c r="N102" s="55"/>
      <c r="O102" s="50">
        <f t="shared" si="22"/>
        <v>0</v>
      </c>
    </row>
    <row r="103" spans="1:15" x14ac:dyDescent="0.25">
      <c r="A103" s="86">
        <v>60036</v>
      </c>
      <c r="B103" s="87" t="s">
        <v>113</v>
      </c>
      <c r="C103" s="88">
        <f t="shared" si="23"/>
        <v>0</v>
      </c>
      <c r="D103" s="89" t="s">
        <v>21</v>
      </c>
      <c r="E103" s="89" t="s">
        <v>120</v>
      </c>
      <c r="I103" s="52" t="s">
        <v>122</v>
      </c>
      <c r="J103" s="55">
        <v>1974</v>
      </c>
      <c r="K103" s="55"/>
      <c r="L103" s="55"/>
      <c r="M103" s="55"/>
      <c r="N103" s="55"/>
      <c r="O103" s="50">
        <f t="shared" si="22"/>
        <v>1974</v>
      </c>
    </row>
    <row r="104" spans="1:15" x14ac:dyDescent="0.25">
      <c r="A104" s="51">
        <v>60036</v>
      </c>
      <c r="B104" s="80" t="s">
        <v>113</v>
      </c>
      <c r="C104" s="48">
        <f t="shared" si="23"/>
        <v>0</v>
      </c>
      <c r="D104" s="52" t="s">
        <v>36</v>
      </c>
      <c r="E104" s="52" t="s">
        <v>120</v>
      </c>
      <c r="I104" s="52" t="s">
        <v>123</v>
      </c>
      <c r="J104" s="55">
        <v>0</v>
      </c>
      <c r="K104" s="55"/>
      <c r="L104" s="55"/>
      <c r="M104" s="55"/>
      <c r="N104" s="55"/>
      <c r="O104" s="50">
        <f t="shared" si="22"/>
        <v>0</v>
      </c>
    </row>
    <row r="105" spans="1:15" ht="17.649999999999999" customHeight="1" x14ac:dyDescent="0.25">
      <c r="A105" s="51">
        <v>60036</v>
      </c>
      <c r="B105" s="80" t="s">
        <v>113</v>
      </c>
      <c r="C105" s="48">
        <f t="shared" si="23"/>
        <v>0</v>
      </c>
      <c r="D105" s="49" t="s">
        <v>9</v>
      </c>
      <c r="E105" s="52" t="s">
        <v>124</v>
      </c>
      <c r="I105" s="52" t="s">
        <v>125</v>
      </c>
      <c r="J105" s="55">
        <v>0</v>
      </c>
      <c r="K105" s="55"/>
      <c r="L105" s="55"/>
      <c r="M105" s="55"/>
      <c r="N105" s="55"/>
      <c r="O105" s="50">
        <f t="shared" si="22"/>
        <v>0</v>
      </c>
    </row>
    <row r="106" spans="1:15" ht="17.649999999999999" customHeight="1" x14ac:dyDescent="0.25">
      <c r="A106" s="86">
        <v>60036</v>
      </c>
      <c r="B106" s="87" t="s">
        <v>113</v>
      </c>
      <c r="C106" s="88">
        <f t="shared" si="23"/>
        <v>0</v>
      </c>
      <c r="D106" s="89" t="s">
        <v>21</v>
      </c>
      <c r="E106" s="89" t="s">
        <v>124</v>
      </c>
      <c r="I106" s="52" t="s">
        <v>126</v>
      </c>
      <c r="J106" s="55">
        <v>0</v>
      </c>
      <c r="K106" s="55"/>
      <c r="L106" s="55"/>
      <c r="M106" s="55"/>
      <c r="N106" s="55"/>
      <c r="O106" s="50">
        <f t="shared" si="22"/>
        <v>0</v>
      </c>
    </row>
    <row r="107" spans="1:15" ht="17.649999999999999" customHeight="1" x14ac:dyDescent="0.25">
      <c r="A107" s="51">
        <v>60036</v>
      </c>
      <c r="B107" s="80" t="s">
        <v>113</v>
      </c>
      <c r="C107" s="48">
        <f t="shared" si="23"/>
        <v>0</v>
      </c>
      <c r="D107" s="52" t="s">
        <v>36</v>
      </c>
      <c r="E107" s="52" t="s">
        <v>124</v>
      </c>
      <c r="I107" s="52" t="s">
        <v>127</v>
      </c>
      <c r="J107" s="55">
        <v>0</v>
      </c>
      <c r="K107" s="55"/>
      <c r="L107" s="55"/>
      <c r="M107" s="55"/>
      <c r="N107" s="55"/>
      <c r="O107" s="50">
        <f t="shared" si="22"/>
        <v>0</v>
      </c>
    </row>
    <row r="108" spans="1:15" x14ac:dyDescent="0.25">
      <c r="A108" s="51">
        <v>60036</v>
      </c>
      <c r="B108" s="80" t="s">
        <v>113</v>
      </c>
      <c r="C108" s="48">
        <f t="shared" si="23"/>
        <v>0</v>
      </c>
      <c r="D108" s="49" t="s">
        <v>9</v>
      </c>
      <c r="E108" s="52" t="s">
        <v>114</v>
      </c>
      <c r="I108" s="52" t="s">
        <v>128</v>
      </c>
      <c r="J108" s="55">
        <v>0</v>
      </c>
      <c r="K108" s="55"/>
      <c r="L108" s="55"/>
      <c r="M108" s="55"/>
      <c r="N108" s="55"/>
      <c r="O108" s="50">
        <f t="shared" si="22"/>
        <v>0</v>
      </c>
    </row>
    <row r="109" spans="1:15" x14ac:dyDescent="0.25">
      <c r="A109" s="86">
        <v>60036</v>
      </c>
      <c r="B109" s="87" t="s">
        <v>113</v>
      </c>
      <c r="C109" s="88">
        <f t="shared" si="23"/>
        <v>0</v>
      </c>
      <c r="D109" s="89" t="s">
        <v>21</v>
      </c>
      <c r="E109" s="89" t="s">
        <v>114</v>
      </c>
      <c r="I109" s="52" t="s">
        <v>129</v>
      </c>
      <c r="J109" s="55">
        <v>0</v>
      </c>
      <c r="K109" s="55"/>
      <c r="L109" s="55"/>
      <c r="M109" s="55"/>
      <c r="N109" s="55"/>
      <c r="O109" s="50">
        <f t="shared" si="22"/>
        <v>0</v>
      </c>
    </row>
    <row r="110" spans="1:15" x14ac:dyDescent="0.25">
      <c r="A110" s="51">
        <v>60036</v>
      </c>
      <c r="B110" s="80" t="s">
        <v>113</v>
      </c>
      <c r="C110" s="48">
        <f t="shared" si="23"/>
        <v>0</v>
      </c>
      <c r="D110" s="52" t="s">
        <v>36</v>
      </c>
      <c r="E110" s="52" t="s">
        <v>114</v>
      </c>
      <c r="I110" s="52" t="s">
        <v>130</v>
      </c>
      <c r="J110" s="55">
        <v>0</v>
      </c>
      <c r="K110" s="55"/>
      <c r="L110" s="55"/>
      <c r="M110" s="55"/>
      <c r="N110" s="55"/>
      <c r="O110" s="50">
        <f t="shared" si="22"/>
        <v>0</v>
      </c>
    </row>
    <row r="111" spans="1:15" x14ac:dyDescent="0.25">
      <c r="A111" s="51">
        <v>60070</v>
      </c>
      <c r="B111" s="52" t="s">
        <v>131</v>
      </c>
      <c r="C111" s="48">
        <f t="shared" si="23"/>
        <v>0</v>
      </c>
      <c r="D111" s="52" t="s">
        <v>27</v>
      </c>
      <c r="E111" s="52" t="s">
        <v>132</v>
      </c>
      <c r="I111" s="52" t="s">
        <v>133</v>
      </c>
      <c r="J111" s="55"/>
      <c r="K111" s="55"/>
      <c r="L111" s="55"/>
      <c r="M111" s="55"/>
      <c r="N111" s="55"/>
      <c r="O111" s="50">
        <f t="shared" si="22"/>
        <v>0</v>
      </c>
    </row>
    <row r="112" spans="1:15" x14ac:dyDescent="0.25">
      <c r="A112" s="51">
        <v>60041</v>
      </c>
      <c r="B112" s="52" t="s">
        <v>134</v>
      </c>
      <c r="C112" s="48">
        <f t="shared" si="23"/>
        <v>0</v>
      </c>
      <c r="D112" s="52" t="s">
        <v>27</v>
      </c>
      <c r="E112" s="52" t="s">
        <v>135</v>
      </c>
      <c r="I112" s="52" t="s">
        <v>80</v>
      </c>
      <c r="J112" s="55">
        <v>0</v>
      </c>
      <c r="K112" s="55"/>
      <c r="L112" s="55"/>
      <c r="M112" s="55"/>
      <c r="N112" s="55"/>
      <c r="O112" s="50">
        <f t="shared" si="22"/>
        <v>0</v>
      </c>
    </row>
    <row r="113" spans="1:15" x14ac:dyDescent="0.25">
      <c r="A113" s="86">
        <v>60041</v>
      </c>
      <c r="B113" s="89" t="s">
        <v>134</v>
      </c>
      <c r="C113" s="88">
        <f t="shared" si="23"/>
        <v>0</v>
      </c>
      <c r="D113" s="89" t="s">
        <v>21</v>
      </c>
      <c r="E113" s="89" t="s">
        <v>135</v>
      </c>
      <c r="I113" s="52" t="s">
        <v>136</v>
      </c>
      <c r="J113" s="55">
        <v>0</v>
      </c>
      <c r="K113" s="55"/>
      <c r="L113" s="55"/>
      <c r="M113" s="55"/>
      <c r="N113" s="55"/>
      <c r="O113" s="50">
        <f t="shared" si="22"/>
        <v>0</v>
      </c>
    </row>
    <row r="114" spans="1:15" x14ac:dyDescent="0.25">
      <c r="A114" s="51">
        <v>60070</v>
      </c>
      <c r="B114" s="52" t="s">
        <v>131</v>
      </c>
      <c r="C114" s="48">
        <f t="shared" si="23"/>
        <v>0</v>
      </c>
      <c r="D114" s="52" t="s">
        <v>27</v>
      </c>
      <c r="E114" s="52" t="s">
        <v>137</v>
      </c>
      <c r="I114" s="52" t="s">
        <v>138</v>
      </c>
      <c r="J114" s="55"/>
      <c r="K114" s="55"/>
      <c r="L114" s="55"/>
      <c r="M114" s="55"/>
      <c r="N114" s="55"/>
      <c r="O114" s="50">
        <f t="shared" si="22"/>
        <v>0</v>
      </c>
    </row>
    <row r="115" spans="1:15" x14ac:dyDescent="0.25">
      <c r="A115" s="86">
        <v>60070</v>
      </c>
      <c r="B115" s="89" t="s">
        <v>131</v>
      </c>
      <c r="C115" s="88">
        <f t="shared" si="23"/>
        <v>0</v>
      </c>
      <c r="D115" s="89" t="s">
        <v>21</v>
      </c>
      <c r="E115" s="89" t="s">
        <v>137</v>
      </c>
      <c r="I115" s="52" t="s">
        <v>139</v>
      </c>
      <c r="J115" s="55">
        <v>0</v>
      </c>
      <c r="K115" s="55"/>
      <c r="L115" s="55"/>
      <c r="M115" s="55"/>
      <c r="N115" s="55"/>
      <c r="O115" s="50">
        <f t="shared" si="22"/>
        <v>0</v>
      </c>
    </row>
    <row r="116" spans="1:15" x14ac:dyDescent="0.25">
      <c r="A116" s="51">
        <v>60070</v>
      </c>
      <c r="B116" s="52" t="s">
        <v>131</v>
      </c>
      <c r="C116" s="48">
        <f t="shared" si="23"/>
        <v>0</v>
      </c>
      <c r="D116" s="52" t="s">
        <v>27</v>
      </c>
      <c r="E116" s="52" t="s">
        <v>140</v>
      </c>
      <c r="I116" s="52" t="s">
        <v>141</v>
      </c>
      <c r="J116" s="55"/>
      <c r="K116" s="55"/>
      <c r="L116" s="55"/>
      <c r="M116" s="55"/>
      <c r="N116" s="55"/>
      <c r="O116" s="50">
        <f t="shared" si="22"/>
        <v>0</v>
      </c>
    </row>
    <row r="117" spans="1:15" x14ac:dyDescent="0.25">
      <c r="A117" s="86">
        <v>60070</v>
      </c>
      <c r="B117" s="89" t="s">
        <v>131</v>
      </c>
      <c r="C117" s="88">
        <f t="shared" si="23"/>
        <v>0</v>
      </c>
      <c r="D117" s="89" t="s">
        <v>21</v>
      </c>
      <c r="E117" s="89" t="s">
        <v>140</v>
      </c>
      <c r="I117" s="52" t="s">
        <v>142</v>
      </c>
      <c r="J117" s="55">
        <v>0</v>
      </c>
      <c r="K117" s="55"/>
      <c r="L117" s="55"/>
      <c r="M117" s="55"/>
      <c r="N117" s="55"/>
      <c r="O117" s="50">
        <f t="shared" si="22"/>
        <v>0</v>
      </c>
    </row>
    <row r="118" spans="1:15" x14ac:dyDescent="0.25">
      <c r="A118" s="51">
        <v>60070</v>
      </c>
      <c r="B118" s="52" t="s">
        <v>131</v>
      </c>
      <c r="C118" s="48">
        <f t="shared" si="23"/>
        <v>0</v>
      </c>
      <c r="D118" s="49" t="s">
        <v>9</v>
      </c>
      <c r="E118" s="52" t="s">
        <v>143</v>
      </c>
      <c r="I118" s="52" t="s">
        <v>84</v>
      </c>
      <c r="J118" s="55">
        <v>0</v>
      </c>
      <c r="K118" s="55"/>
      <c r="L118" s="55"/>
      <c r="M118" s="55"/>
      <c r="N118" s="55"/>
      <c r="O118" s="50">
        <f t="shared" si="22"/>
        <v>0</v>
      </c>
    </row>
    <row r="119" spans="1:15" x14ac:dyDescent="0.25">
      <c r="A119" s="86">
        <v>60070</v>
      </c>
      <c r="B119" s="89" t="s">
        <v>131</v>
      </c>
      <c r="C119" s="88">
        <f t="shared" si="23"/>
        <v>0</v>
      </c>
      <c r="D119" s="89" t="s">
        <v>21</v>
      </c>
      <c r="E119" s="89" t="s">
        <v>143</v>
      </c>
      <c r="I119" s="52" t="s">
        <v>144</v>
      </c>
      <c r="J119" s="55">
        <v>0</v>
      </c>
      <c r="K119" s="55"/>
      <c r="L119" s="55"/>
      <c r="M119" s="55"/>
      <c r="N119" s="55"/>
      <c r="O119" s="50">
        <f t="shared" si="22"/>
        <v>0</v>
      </c>
    </row>
    <row r="120" spans="1:15" x14ac:dyDescent="0.25">
      <c r="A120" s="81"/>
      <c r="B120" s="82"/>
      <c r="C120" s="82"/>
      <c r="D120" s="82"/>
      <c r="E120" s="82"/>
      <c r="H120" s="83" t="s">
        <v>145</v>
      </c>
      <c r="I120" s="84"/>
      <c r="J120" s="79"/>
      <c r="K120" s="79"/>
      <c r="L120" s="79"/>
      <c r="M120" s="79"/>
      <c r="N120" s="79"/>
      <c r="O120" s="79"/>
    </row>
    <row r="121" spans="1:15" x14ac:dyDescent="0.25">
      <c r="A121" s="51">
        <v>60043</v>
      </c>
      <c r="B121" s="90" t="s">
        <v>146</v>
      </c>
      <c r="C121" s="85">
        <f t="shared" ref="C121:C126" si="24">$C$1</f>
        <v>0</v>
      </c>
      <c r="D121" s="49" t="s">
        <v>9</v>
      </c>
      <c r="E121" s="52" t="s">
        <v>147</v>
      </c>
      <c r="I121" s="52" t="s">
        <v>148</v>
      </c>
      <c r="J121" s="55">
        <f>(65000*1.015*1.015*1.015)-J123</f>
        <v>61994.094375000001</v>
      </c>
      <c r="K121" s="55"/>
      <c r="L121" s="55"/>
      <c r="M121" s="55"/>
      <c r="N121" s="55"/>
      <c r="O121" s="50">
        <f t="shared" si="22"/>
        <v>61994.094375000001</v>
      </c>
    </row>
    <row r="122" spans="1:15" x14ac:dyDescent="0.25">
      <c r="A122" s="51">
        <v>60043</v>
      </c>
      <c r="B122" s="52" t="s">
        <v>146</v>
      </c>
      <c r="C122" s="85">
        <f t="shared" si="24"/>
        <v>0</v>
      </c>
      <c r="D122" s="49" t="s">
        <v>9</v>
      </c>
      <c r="E122" s="52" t="s">
        <v>147</v>
      </c>
      <c r="I122" s="52" t="s">
        <v>149</v>
      </c>
      <c r="J122" s="55">
        <f>(22.25*8*190)*(J48+J49)</f>
        <v>0</v>
      </c>
      <c r="K122" s="55"/>
      <c r="L122" s="55"/>
      <c r="M122" s="55"/>
      <c r="N122" s="55"/>
      <c r="O122" s="50">
        <f t="shared" si="22"/>
        <v>0</v>
      </c>
    </row>
    <row r="123" spans="1:15" x14ac:dyDescent="0.25">
      <c r="A123" s="86">
        <v>60043</v>
      </c>
      <c r="B123" s="91" t="s">
        <v>146</v>
      </c>
      <c r="C123" s="89">
        <f t="shared" si="24"/>
        <v>0</v>
      </c>
      <c r="D123" s="89" t="s">
        <v>21</v>
      </c>
      <c r="E123" s="89" t="s">
        <v>147</v>
      </c>
      <c r="I123" s="52" t="s">
        <v>150</v>
      </c>
      <c r="J123" s="55">
        <v>5975</v>
      </c>
      <c r="K123" s="55"/>
      <c r="L123" s="55"/>
      <c r="M123" s="55"/>
      <c r="N123" s="55"/>
      <c r="O123" s="50">
        <f t="shared" si="22"/>
        <v>5975</v>
      </c>
    </row>
    <row r="124" spans="1:15" x14ac:dyDescent="0.25">
      <c r="A124" s="51">
        <v>60043</v>
      </c>
      <c r="B124" s="52" t="s">
        <v>146</v>
      </c>
      <c r="C124" s="85">
        <f t="shared" si="24"/>
        <v>0</v>
      </c>
      <c r="D124" s="52" t="s">
        <v>24</v>
      </c>
      <c r="E124" s="52" t="s">
        <v>147</v>
      </c>
      <c r="I124" s="52" t="s">
        <v>151</v>
      </c>
      <c r="J124" s="55"/>
      <c r="K124" s="55"/>
      <c r="L124" s="55"/>
      <c r="M124" s="55"/>
      <c r="N124" s="55"/>
      <c r="O124" s="50">
        <f t="shared" si="22"/>
        <v>0</v>
      </c>
    </row>
    <row r="125" spans="1:15" x14ac:dyDescent="0.25">
      <c r="A125" s="51">
        <v>60043</v>
      </c>
      <c r="B125" s="52" t="s">
        <v>146</v>
      </c>
      <c r="C125" s="85">
        <f t="shared" si="24"/>
        <v>0</v>
      </c>
      <c r="D125" s="49" t="s">
        <v>9</v>
      </c>
      <c r="E125" s="52" t="s">
        <v>147</v>
      </c>
      <c r="I125" s="52" t="s">
        <v>152</v>
      </c>
      <c r="J125" s="55"/>
      <c r="K125" s="55"/>
      <c r="L125" s="55"/>
      <c r="M125" s="55"/>
      <c r="N125" s="55"/>
      <c r="O125" s="50">
        <f t="shared" si="22"/>
        <v>0</v>
      </c>
    </row>
    <row r="126" spans="1:15" x14ac:dyDescent="0.25">
      <c r="A126" s="51">
        <v>60043</v>
      </c>
      <c r="B126" s="52" t="s">
        <v>146</v>
      </c>
      <c r="C126" s="85">
        <f t="shared" si="24"/>
        <v>0</v>
      </c>
      <c r="D126" s="52" t="s">
        <v>36</v>
      </c>
      <c r="E126" s="52" t="s">
        <v>147</v>
      </c>
      <c r="I126" s="52" t="s">
        <v>153</v>
      </c>
      <c r="J126" s="55">
        <v>0</v>
      </c>
      <c r="K126" s="55"/>
      <c r="L126" s="55"/>
      <c r="M126" s="55"/>
      <c r="N126" s="55"/>
      <c r="O126" s="50">
        <f t="shared" si="22"/>
        <v>0</v>
      </c>
    </row>
    <row r="127" spans="1:15" x14ac:dyDescent="0.25">
      <c r="A127" s="81"/>
      <c r="B127" s="82"/>
      <c r="C127" s="82"/>
      <c r="D127" s="82"/>
      <c r="E127" s="82"/>
      <c r="H127" s="83" t="s">
        <v>154</v>
      </c>
      <c r="I127" s="84"/>
      <c r="J127" s="79"/>
      <c r="K127" s="79"/>
      <c r="L127" s="79"/>
      <c r="M127" s="79"/>
      <c r="N127" s="79"/>
      <c r="O127" s="79"/>
    </row>
    <row r="128" spans="1:15" x14ac:dyDescent="0.25">
      <c r="A128" s="51">
        <v>60043</v>
      </c>
      <c r="B128" s="52" t="s">
        <v>146</v>
      </c>
      <c r="C128" s="85">
        <f>$C$1</f>
        <v>0</v>
      </c>
      <c r="D128" s="49" t="s">
        <v>9</v>
      </c>
      <c r="E128" s="52" t="s">
        <v>147</v>
      </c>
      <c r="I128" s="52" t="s">
        <v>155</v>
      </c>
      <c r="J128" s="55">
        <f>(20*8*240)*J51</f>
        <v>0</v>
      </c>
      <c r="K128" s="55"/>
      <c r="L128" s="55"/>
      <c r="M128" s="55"/>
      <c r="N128" s="55"/>
      <c r="O128" s="50">
        <f t="shared" si="22"/>
        <v>0</v>
      </c>
    </row>
    <row r="129" spans="1:15" x14ac:dyDescent="0.25">
      <c r="A129" s="51">
        <v>60070</v>
      </c>
      <c r="B129" s="52" t="s">
        <v>131</v>
      </c>
      <c r="C129" s="85">
        <f>$C$1</f>
        <v>0</v>
      </c>
      <c r="D129" s="49" t="s">
        <v>9</v>
      </c>
      <c r="E129" s="52" t="s">
        <v>156</v>
      </c>
      <c r="I129" s="57" t="s">
        <v>157</v>
      </c>
      <c r="J129" s="58"/>
      <c r="K129" s="58"/>
      <c r="L129" s="58"/>
      <c r="M129" s="58"/>
      <c r="N129" s="58"/>
      <c r="O129" s="50">
        <f t="shared" si="22"/>
        <v>0</v>
      </c>
    </row>
    <row r="130" spans="1:15" x14ac:dyDescent="0.25">
      <c r="A130" s="86">
        <v>60070</v>
      </c>
      <c r="B130" s="89" t="s">
        <v>131</v>
      </c>
      <c r="C130" s="89">
        <f>$C$1</f>
        <v>0</v>
      </c>
      <c r="D130" s="89" t="s">
        <v>21</v>
      </c>
      <c r="E130" s="89" t="s">
        <v>156</v>
      </c>
      <c r="I130" s="57" t="s">
        <v>158</v>
      </c>
      <c r="J130" s="55">
        <v>0</v>
      </c>
      <c r="K130" s="55"/>
      <c r="L130" s="55"/>
      <c r="M130" s="55"/>
      <c r="N130" s="55"/>
      <c r="O130" s="50">
        <f t="shared" si="22"/>
        <v>0</v>
      </c>
    </row>
    <row r="131" spans="1:15" x14ac:dyDescent="0.25">
      <c r="A131" s="81"/>
      <c r="B131" s="82"/>
      <c r="C131" s="82"/>
      <c r="D131" s="82"/>
      <c r="E131" s="82"/>
      <c r="H131" s="83" t="s">
        <v>159</v>
      </c>
      <c r="I131" s="84"/>
      <c r="J131" s="79"/>
      <c r="K131" s="79"/>
      <c r="L131" s="79"/>
      <c r="M131" s="79"/>
      <c r="N131" s="79"/>
      <c r="O131" s="79"/>
    </row>
    <row r="132" spans="1:15" x14ac:dyDescent="0.25">
      <c r="A132" s="51">
        <v>60070</v>
      </c>
      <c r="B132" s="52" t="s">
        <v>131</v>
      </c>
      <c r="C132" s="85">
        <f>$C$1</f>
        <v>0</v>
      </c>
      <c r="D132" s="52" t="s">
        <v>39</v>
      </c>
      <c r="E132" s="52" t="s">
        <v>160</v>
      </c>
      <c r="I132" s="52" t="s">
        <v>161</v>
      </c>
      <c r="J132" s="55">
        <f>(24*8*200)*J52</f>
        <v>0</v>
      </c>
      <c r="K132" s="55"/>
      <c r="L132" s="55">
        <f>(48000*1.015*1.015*1.015)-L133</f>
        <v>47021.561999999984</v>
      </c>
      <c r="M132" s="55"/>
      <c r="N132" s="55"/>
      <c r="O132" s="50">
        <f t="shared" si="22"/>
        <v>47021.561999999984</v>
      </c>
    </row>
    <row r="133" spans="1:15" x14ac:dyDescent="0.25">
      <c r="A133" s="86">
        <v>60070</v>
      </c>
      <c r="B133" s="89" t="s">
        <v>131</v>
      </c>
      <c r="C133" s="89">
        <f>$C$1</f>
        <v>0</v>
      </c>
      <c r="D133" s="89" t="s">
        <v>21</v>
      </c>
      <c r="E133" s="89" t="s">
        <v>160</v>
      </c>
      <c r="I133" s="52" t="s">
        <v>162</v>
      </c>
      <c r="J133" s="55">
        <v>0</v>
      </c>
      <c r="K133" s="55"/>
      <c r="L133" s="55">
        <v>3171</v>
      </c>
      <c r="M133" s="55"/>
      <c r="N133" s="55"/>
      <c r="O133" s="50">
        <f t="shared" si="22"/>
        <v>3171</v>
      </c>
    </row>
    <row r="134" spans="1:15" x14ac:dyDescent="0.25">
      <c r="A134" s="92" t="s">
        <v>5</v>
      </c>
      <c r="B134" s="92" t="s">
        <v>91</v>
      </c>
      <c r="C134" s="92" t="s">
        <v>92</v>
      </c>
      <c r="D134" s="92" t="s">
        <v>4</v>
      </c>
      <c r="E134" s="92" t="s">
        <v>93</v>
      </c>
      <c r="H134" s="115" t="s">
        <v>163</v>
      </c>
      <c r="I134" s="94"/>
      <c r="J134" s="92">
        <f>SUM(J94:J133)</f>
        <v>274490.57343749993</v>
      </c>
      <c r="K134" s="92">
        <f t="shared" ref="K134:O134" si="25">SUM(K94:K133)</f>
        <v>0</v>
      </c>
      <c r="L134" s="92">
        <f t="shared" si="25"/>
        <v>50192.561999999984</v>
      </c>
      <c r="M134" s="92">
        <f t="shared" si="25"/>
        <v>0</v>
      </c>
      <c r="N134" s="92">
        <f t="shared" si="25"/>
        <v>0</v>
      </c>
      <c r="O134" s="92">
        <f t="shared" si="25"/>
        <v>324683.13543749991</v>
      </c>
    </row>
    <row r="135" spans="1:15" x14ac:dyDescent="0.25">
      <c r="A135" s="46">
        <v>60503</v>
      </c>
      <c r="B135" s="49" t="s">
        <v>164</v>
      </c>
      <c r="C135" s="85">
        <f t="shared" ref="C135:C152" si="26">$C$1</f>
        <v>0</v>
      </c>
      <c r="D135" s="49" t="s">
        <v>9</v>
      </c>
      <c r="E135" s="49" t="s">
        <v>165</v>
      </c>
      <c r="I135" s="49" t="s">
        <v>166</v>
      </c>
      <c r="J135" s="55">
        <f>SUMIF($D$94:$D$133,D135,$J$94:$J$133)*0.3825</f>
        <v>101952.15183984372</v>
      </c>
      <c r="K135" s="55">
        <f>SUMIF($D$94:$D$133,D135,$K$94:$K$133)*0.3675</f>
        <v>0</v>
      </c>
      <c r="L135" s="55">
        <f>SUMIF($D$94:$D$133,D135,$L$94:$L$133)*0.3675</f>
        <v>0</v>
      </c>
      <c r="M135" s="55">
        <f>SUMIF($D$94:$D$133,D135,$M$94:$M$133)*0.3675</f>
        <v>0</v>
      </c>
      <c r="N135" s="55">
        <f>SUMIF($D$94:$D$133,D135,$N$94:$N$133)*0.3675</f>
        <v>0</v>
      </c>
      <c r="O135" s="50">
        <f>SUM(J135:N135)</f>
        <v>101952.15183984372</v>
      </c>
    </row>
    <row r="136" spans="1:15" x14ac:dyDescent="0.25">
      <c r="A136" s="97">
        <v>60503</v>
      </c>
      <c r="B136" s="88" t="s">
        <v>164</v>
      </c>
      <c r="C136" s="89">
        <f t="shared" si="26"/>
        <v>0</v>
      </c>
      <c r="D136" s="89" t="s">
        <v>18</v>
      </c>
      <c r="E136" s="88" t="s">
        <v>165</v>
      </c>
      <c r="I136" s="52" t="s">
        <v>167</v>
      </c>
      <c r="J136" s="55">
        <f t="shared" ref="J136:J141" si="27">SUMIF($D$94:$D$133,D136,$J$94:$J$133)*0.3675</f>
        <v>0</v>
      </c>
      <c r="K136" s="55">
        <f t="shared" ref="K136:K141" si="28">SUMIF($D$94:$D$133,D136,$K$94:$K$133)*0.3675</f>
        <v>0</v>
      </c>
      <c r="L136" s="55">
        <f t="shared" ref="L136:L140" si="29">SUMIF($D$94:$D$133,D136,$L$94:$L$133)*0.3675</f>
        <v>0</v>
      </c>
      <c r="M136" s="55">
        <f t="shared" ref="M136:M141" si="30">SUMIF($D$94:$D$133,D136,$M$94:$M$133)*0.3675</f>
        <v>0</v>
      </c>
      <c r="N136" s="55">
        <f t="shared" ref="N136:N141" si="31">SUMIF($D$94:$D$133,D136,$N$94:$N$133)*0.3675</f>
        <v>0</v>
      </c>
      <c r="O136" s="50">
        <f t="shared" si="22"/>
        <v>0</v>
      </c>
    </row>
    <row r="137" spans="1:15" x14ac:dyDescent="0.25">
      <c r="A137" s="97">
        <v>60503</v>
      </c>
      <c r="B137" s="88" t="s">
        <v>164</v>
      </c>
      <c r="C137" s="89">
        <f t="shared" si="26"/>
        <v>0</v>
      </c>
      <c r="D137" s="89" t="s">
        <v>21</v>
      </c>
      <c r="E137" s="88" t="s">
        <v>165</v>
      </c>
      <c r="I137" s="52" t="s">
        <v>168</v>
      </c>
      <c r="J137" s="55">
        <f>SUMIF($D$94:$D$133,D137,$J$94:$J$133)*0.3825</f>
        <v>3040.4924999999998</v>
      </c>
      <c r="K137" s="55">
        <f t="shared" si="28"/>
        <v>0</v>
      </c>
      <c r="L137" s="55">
        <f>SUMIF($D$94:$D$133,D137,$L$94:$L$133)*0.3825</f>
        <v>1212.9075</v>
      </c>
      <c r="M137" s="55">
        <f t="shared" si="30"/>
        <v>0</v>
      </c>
      <c r="N137" s="55">
        <f t="shared" si="31"/>
        <v>0</v>
      </c>
      <c r="O137" s="50">
        <f t="shared" si="22"/>
        <v>4253.3999999999996</v>
      </c>
    </row>
    <row r="138" spans="1:15" x14ac:dyDescent="0.25">
      <c r="A138" s="46">
        <v>60503</v>
      </c>
      <c r="B138" s="49" t="s">
        <v>164</v>
      </c>
      <c r="C138" s="85">
        <f t="shared" si="26"/>
        <v>0</v>
      </c>
      <c r="D138" s="52" t="s">
        <v>24</v>
      </c>
      <c r="E138" s="49" t="s">
        <v>165</v>
      </c>
      <c r="I138" s="49" t="s">
        <v>169</v>
      </c>
      <c r="J138" s="55">
        <f t="shared" si="27"/>
        <v>0</v>
      </c>
      <c r="K138" s="55">
        <f t="shared" si="28"/>
        <v>0</v>
      </c>
      <c r="L138" s="55">
        <f t="shared" si="29"/>
        <v>0</v>
      </c>
      <c r="M138" s="55">
        <f t="shared" si="30"/>
        <v>0</v>
      </c>
      <c r="N138" s="55">
        <f t="shared" si="31"/>
        <v>0</v>
      </c>
      <c r="O138" s="50">
        <f t="shared" si="22"/>
        <v>0</v>
      </c>
    </row>
    <row r="139" spans="1:15" x14ac:dyDescent="0.25">
      <c r="A139" s="46">
        <v>60503</v>
      </c>
      <c r="B139" s="49" t="s">
        <v>164</v>
      </c>
      <c r="C139" s="85">
        <f t="shared" si="26"/>
        <v>0</v>
      </c>
      <c r="D139" s="52" t="s">
        <v>27</v>
      </c>
      <c r="E139" s="49" t="s">
        <v>165</v>
      </c>
      <c r="I139" s="49" t="s">
        <v>170</v>
      </c>
      <c r="J139" s="55">
        <f t="shared" si="27"/>
        <v>0</v>
      </c>
      <c r="K139" s="55">
        <f t="shared" si="28"/>
        <v>0</v>
      </c>
      <c r="L139" s="55">
        <f t="shared" si="29"/>
        <v>0</v>
      </c>
      <c r="M139" s="55">
        <f t="shared" si="30"/>
        <v>0</v>
      </c>
      <c r="N139" s="55">
        <f t="shared" si="31"/>
        <v>0</v>
      </c>
      <c r="O139" s="50">
        <f t="shared" si="22"/>
        <v>0</v>
      </c>
    </row>
    <row r="140" spans="1:15" x14ac:dyDescent="0.25">
      <c r="A140" s="46">
        <v>60503</v>
      </c>
      <c r="B140" s="49" t="s">
        <v>164</v>
      </c>
      <c r="C140" s="85">
        <f t="shared" si="26"/>
        <v>0</v>
      </c>
      <c r="D140" s="52" t="s">
        <v>36</v>
      </c>
      <c r="E140" s="49" t="s">
        <v>165</v>
      </c>
      <c r="I140" s="49" t="s">
        <v>171</v>
      </c>
      <c r="J140" s="55">
        <f t="shared" si="27"/>
        <v>0</v>
      </c>
      <c r="K140" s="55">
        <f t="shared" si="28"/>
        <v>0</v>
      </c>
      <c r="L140" s="55">
        <f t="shared" si="29"/>
        <v>0</v>
      </c>
      <c r="M140" s="55">
        <f t="shared" si="30"/>
        <v>0</v>
      </c>
      <c r="N140" s="55">
        <f t="shared" si="31"/>
        <v>0</v>
      </c>
      <c r="O140" s="50">
        <f t="shared" si="22"/>
        <v>0</v>
      </c>
    </row>
    <row r="141" spans="1:15" x14ac:dyDescent="0.25">
      <c r="A141" s="46">
        <v>60503</v>
      </c>
      <c r="B141" s="49" t="s">
        <v>164</v>
      </c>
      <c r="C141" s="85">
        <f t="shared" si="26"/>
        <v>0</v>
      </c>
      <c r="D141" s="52" t="s">
        <v>39</v>
      </c>
      <c r="E141" s="49" t="s">
        <v>165</v>
      </c>
      <c r="I141" s="49" t="s">
        <v>172</v>
      </c>
      <c r="J141" s="55">
        <f t="shared" si="27"/>
        <v>0</v>
      </c>
      <c r="K141" s="55">
        <f t="shared" si="28"/>
        <v>0</v>
      </c>
      <c r="L141" s="55">
        <f>SUMIF($D$94:$D$133,D141,$L$94:$L$133)*0.3825</f>
        <v>17985.747464999993</v>
      </c>
      <c r="M141" s="55">
        <f t="shared" si="30"/>
        <v>0</v>
      </c>
      <c r="N141" s="55">
        <f t="shared" si="31"/>
        <v>0</v>
      </c>
      <c r="O141" s="50">
        <f t="shared" si="22"/>
        <v>17985.747464999993</v>
      </c>
    </row>
    <row r="142" spans="1:15" x14ac:dyDescent="0.25">
      <c r="A142" s="51">
        <v>61012</v>
      </c>
      <c r="B142" s="49" t="s">
        <v>173</v>
      </c>
      <c r="C142" s="85">
        <f t="shared" si="26"/>
        <v>0</v>
      </c>
      <c r="D142" s="49" t="s">
        <v>9</v>
      </c>
      <c r="E142" s="49" t="s">
        <v>165</v>
      </c>
      <c r="I142" s="52" t="s">
        <v>174</v>
      </c>
      <c r="J142" s="55">
        <f>SUMIF($D$94:$D$132,D142,$J$94:$J$133)*0.145+SUMIF($D$94:$D$132,D144,$J$94:$J$133)*0.145</f>
        <v>39801.13314843749</v>
      </c>
      <c r="K142" s="55">
        <f>SUMIF($D$94:$D$132,D142,$K$94:$K$133)*0.13</f>
        <v>0</v>
      </c>
      <c r="L142" s="55">
        <f>SUMIF($D$94:$D$133,D142,$L$94:$L$133)*0.13</f>
        <v>0</v>
      </c>
      <c r="M142" s="55">
        <f>SUMIF($D$94:$D$132,D142,$M$94:$M$133)*0.13</f>
        <v>0</v>
      </c>
      <c r="N142" s="55">
        <f>SUMIF($D$94:$D$132,D142,$N$94:$N$133)*0.13</f>
        <v>0</v>
      </c>
      <c r="O142" s="50">
        <f t="shared" si="22"/>
        <v>39801.13314843749</v>
      </c>
    </row>
    <row r="143" spans="1:15" x14ac:dyDescent="0.25">
      <c r="A143" s="86">
        <v>61012</v>
      </c>
      <c r="B143" s="89" t="s">
        <v>173</v>
      </c>
      <c r="C143" s="89">
        <f>$C$1</f>
        <v>0</v>
      </c>
      <c r="D143" s="89" t="s">
        <v>18</v>
      </c>
      <c r="E143" s="89" t="s">
        <v>165</v>
      </c>
      <c r="I143" s="52" t="s">
        <v>175</v>
      </c>
      <c r="J143" s="55">
        <f t="shared" ref="J143:J148" si="32">SUMIF($D$94:$D$132,D143,$J$94:$J$133)*0.13</f>
        <v>0</v>
      </c>
      <c r="K143" s="55">
        <f t="shared" ref="K143:K148" si="33">SUMIF($D$94:$D$132,D143,$K$94:$K$133)*0.13</f>
        <v>0</v>
      </c>
      <c r="L143" s="55">
        <f t="shared" ref="L143:L147" si="34">SUMIF($D$94:$D$132,D143,$L$94:$L$133)*0.13</f>
        <v>0</v>
      </c>
      <c r="M143" s="55">
        <f t="shared" ref="M143:M148" si="35">SUMIF($D$94:$D$132,D143,$M$94:$M$133)*0.13</f>
        <v>0</v>
      </c>
      <c r="N143" s="55">
        <f t="shared" ref="N143:N148" si="36">SUMIF($D$94:$D$132,D143,$N$94:$N$133)*0.13</f>
        <v>0</v>
      </c>
      <c r="O143" s="50">
        <f t="shared" si="22"/>
        <v>0</v>
      </c>
    </row>
    <row r="144" spans="1:15" x14ac:dyDescent="0.25">
      <c r="A144" s="86">
        <v>61012</v>
      </c>
      <c r="B144" s="89" t="s">
        <v>173</v>
      </c>
      <c r="C144" s="89">
        <f>$C$1</f>
        <v>0</v>
      </c>
      <c r="D144" s="89" t="s">
        <v>21</v>
      </c>
      <c r="E144" s="89" t="s">
        <v>165</v>
      </c>
      <c r="I144" s="52" t="s">
        <v>176</v>
      </c>
      <c r="J144" s="55">
        <f>SUMIF($D$94:$D$133,D144,$J$94:$J$133)*0.13*0</f>
        <v>0</v>
      </c>
      <c r="K144" s="55">
        <f>SUMIF($D$94:$D$133,D144,$K$94:$K$133)*0.13</f>
        <v>0</v>
      </c>
      <c r="L144" s="55">
        <f>SUMIF($D$94:$D$133,D144,$L$94:$L$133)*0.13*0</f>
        <v>0</v>
      </c>
      <c r="M144" s="55">
        <f>SUMIF($D$94:$D$133,D144,$M$94:$M$133)*0.13</f>
        <v>0</v>
      </c>
      <c r="N144" s="55">
        <f>SUMIF($D$94:$D$133,D144,$N$94:$N$133)*0.13</f>
        <v>0</v>
      </c>
      <c r="O144" s="50">
        <f t="shared" si="22"/>
        <v>0</v>
      </c>
    </row>
    <row r="145" spans="1:16" x14ac:dyDescent="0.25">
      <c r="A145" s="51">
        <v>61012</v>
      </c>
      <c r="B145" s="49" t="s">
        <v>173</v>
      </c>
      <c r="C145" s="85">
        <f t="shared" si="26"/>
        <v>0</v>
      </c>
      <c r="D145" s="52" t="s">
        <v>24</v>
      </c>
      <c r="E145" s="49" t="s">
        <v>165</v>
      </c>
      <c r="I145" s="52" t="s">
        <v>177</v>
      </c>
      <c r="J145" s="55">
        <f t="shared" si="32"/>
        <v>0</v>
      </c>
      <c r="K145" s="55">
        <f t="shared" si="33"/>
        <v>0</v>
      </c>
      <c r="L145" s="55">
        <f t="shared" si="34"/>
        <v>0</v>
      </c>
      <c r="M145" s="55">
        <f t="shared" si="35"/>
        <v>0</v>
      </c>
      <c r="N145" s="55">
        <f t="shared" si="36"/>
        <v>0</v>
      </c>
      <c r="O145" s="50">
        <f t="shared" si="22"/>
        <v>0</v>
      </c>
    </row>
    <row r="146" spans="1:16" x14ac:dyDescent="0.25">
      <c r="A146" s="51">
        <v>61012</v>
      </c>
      <c r="B146" s="49" t="s">
        <v>173</v>
      </c>
      <c r="C146" s="85">
        <f t="shared" si="26"/>
        <v>0</v>
      </c>
      <c r="D146" s="52" t="s">
        <v>27</v>
      </c>
      <c r="E146" s="49" t="s">
        <v>165</v>
      </c>
      <c r="I146" s="52" t="s">
        <v>178</v>
      </c>
      <c r="J146" s="55">
        <f t="shared" si="32"/>
        <v>0</v>
      </c>
      <c r="K146" s="55">
        <f t="shared" si="33"/>
        <v>0</v>
      </c>
      <c r="L146" s="55">
        <f t="shared" si="34"/>
        <v>0</v>
      </c>
      <c r="M146" s="55">
        <f t="shared" si="35"/>
        <v>0</v>
      </c>
      <c r="N146" s="55">
        <f t="shared" si="36"/>
        <v>0</v>
      </c>
      <c r="O146" s="50">
        <f t="shared" si="22"/>
        <v>0</v>
      </c>
    </row>
    <row r="147" spans="1:16" x14ac:dyDescent="0.25">
      <c r="A147" s="51">
        <v>61012</v>
      </c>
      <c r="B147" s="49" t="s">
        <v>173</v>
      </c>
      <c r="C147" s="85">
        <f t="shared" si="26"/>
        <v>0</v>
      </c>
      <c r="D147" s="52" t="s">
        <v>36</v>
      </c>
      <c r="E147" s="49" t="s">
        <v>165</v>
      </c>
      <c r="I147" s="52" t="s">
        <v>179</v>
      </c>
      <c r="J147" s="55">
        <f t="shared" si="32"/>
        <v>0</v>
      </c>
      <c r="K147" s="55">
        <f t="shared" si="33"/>
        <v>0</v>
      </c>
      <c r="L147" s="55">
        <f t="shared" si="34"/>
        <v>0</v>
      </c>
      <c r="M147" s="55">
        <f t="shared" si="35"/>
        <v>0</v>
      </c>
      <c r="N147" s="55">
        <f t="shared" si="36"/>
        <v>0</v>
      </c>
      <c r="O147" s="50">
        <f t="shared" si="22"/>
        <v>0</v>
      </c>
    </row>
    <row r="148" spans="1:16" x14ac:dyDescent="0.25">
      <c r="A148" s="51">
        <v>61012</v>
      </c>
      <c r="B148" s="49" t="s">
        <v>173</v>
      </c>
      <c r="C148" s="85">
        <f t="shared" si="26"/>
        <v>0</v>
      </c>
      <c r="D148" s="52" t="s">
        <v>39</v>
      </c>
      <c r="E148" s="49" t="s">
        <v>165</v>
      </c>
      <c r="I148" s="52" t="s">
        <v>180</v>
      </c>
      <c r="J148" s="55">
        <f t="shared" si="32"/>
        <v>0</v>
      </c>
      <c r="K148" s="55">
        <f t="shared" si="33"/>
        <v>0</v>
      </c>
      <c r="L148" s="55">
        <f>SUMIF($D$94:$D$132,D148,$L$94:$L$133)*0.145+SUMIF($D$94:$D$133,D144,$L$94:$L$133)*0.145</f>
        <v>7277.921489999997</v>
      </c>
      <c r="M148" s="55">
        <f t="shared" si="35"/>
        <v>0</v>
      </c>
      <c r="N148" s="55">
        <f t="shared" si="36"/>
        <v>0</v>
      </c>
      <c r="O148" s="50">
        <f t="shared" si="22"/>
        <v>7277.921489999997</v>
      </c>
    </row>
    <row r="149" spans="1:16" x14ac:dyDescent="0.25">
      <c r="A149" s="51">
        <v>60037</v>
      </c>
      <c r="B149" s="52" t="s">
        <v>181</v>
      </c>
      <c r="C149" s="85">
        <f t="shared" si="26"/>
        <v>0</v>
      </c>
      <c r="D149" s="49" t="s">
        <v>9</v>
      </c>
      <c r="E149" s="49" t="s">
        <v>165</v>
      </c>
      <c r="I149" s="52" t="s">
        <v>182</v>
      </c>
      <c r="J149" s="55">
        <f>(J39*2500)*0+(J40*2000)*0+(J42*1750)+(SUM(J44:J47)*1750)+(SUM(J48:J49)*500)+(SUM(J51:J53)*500)+(SUM(J57:J60)*500)</f>
        <v>3500</v>
      </c>
      <c r="K149" s="55">
        <f t="shared" ref="K149:N149" si="37">(K39*2500)*0+(K40*2000)*0+(K42*1750)+(SUM(K44:K47)*1750)+(SUM(K48:K49)*500)+(SUM(K51:K53)*500)+(SUM(K57:K60)*500)</f>
        <v>0</v>
      </c>
      <c r="L149" s="55">
        <f t="shared" si="37"/>
        <v>500</v>
      </c>
      <c r="M149" s="55">
        <f t="shared" si="37"/>
        <v>0</v>
      </c>
      <c r="N149" s="55">
        <f t="shared" si="37"/>
        <v>0</v>
      </c>
      <c r="O149" s="50">
        <f t="shared" si="22"/>
        <v>4000</v>
      </c>
    </row>
    <row r="150" spans="1:16" x14ac:dyDescent="0.25">
      <c r="A150" s="51">
        <v>60037</v>
      </c>
      <c r="B150" s="52" t="s">
        <v>181</v>
      </c>
      <c r="C150" s="85">
        <f t="shared" si="26"/>
        <v>0</v>
      </c>
      <c r="D150" s="49" t="s">
        <v>9</v>
      </c>
      <c r="E150" s="49" t="s">
        <v>165</v>
      </c>
      <c r="I150" s="52" t="s">
        <v>183</v>
      </c>
      <c r="J150" s="55">
        <f>(J39+J40+J42+J44+J45+J46+J47+J48+J49+J51+J52+J53+J57+J58+J59+J60)*125+125*3</f>
        <v>750</v>
      </c>
      <c r="K150" s="55">
        <f>(K39+K40+K42+K44+K45+K46+K47+K48+K49+K51+K52+K53+K57+K58+K59+K60)*125</f>
        <v>0</v>
      </c>
      <c r="L150" s="55">
        <f t="shared" ref="L150:N150" si="38">(L39+L40+L42+L44+L45+L46+L47+L48+L49+L51+L52+L53+L57+L58+L59+L60)*125</f>
        <v>125</v>
      </c>
      <c r="M150" s="55">
        <f t="shared" si="38"/>
        <v>0</v>
      </c>
      <c r="N150" s="55">
        <f t="shared" si="38"/>
        <v>0</v>
      </c>
      <c r="O150" s="50">
        <f t="shared" si="22"/>
        <v>875</v>
      </c>
    </row>
    <row r="151" spans="1:16" x14ac:dyDescent="0.25">
      <c r="A151" s="51">
        <v>60037</v>
      </c>
      <c r="B151" s="52" t="s">
        <v>181</v>
      </c>
      <c r="C151" s="85">
        <f t="shared" si="26"/>
        <v>0</v>
      </c>
      <c r="D151" s="49" t="s">
        <v>9</v>
      </c>
      <c r="E151" s="49" t="s">
        <v>165</v>
      </c>
      <c r="I151" s="52" t="s">
        <v>184</v>
      </c>
      <c r="J151" s="55"/>
      <c r="K151" s="55"/>
      <c r="L151" s="55"/>
      <c r="M151" s="55"/>
      <c r="N151" s="55"/>
      <c r="O151" s="50">
        <f t="shared" si="22"/>
        <v>0</v>
      </c>
    </row>
    <row r="152" spans="1:16" x14ac:dyDescent="0.25">
      <c r="A152" s="56">
        <v>61251</v>
      </c>
      <c r="B152" s="57" t="s">
        <v>185</v>
      </c>
      <c r="C152" s="85">
        <f t="shared" si="26"/>
        <v>0</v>
      </c>
      <c r="D152" s="49" t="s">
        <v>9</v>
      </c>
      <c r="E152" s="52" t="s">
        <v>186</v>
      </c>
      <c r="I152" s="57" t="s">
        <v>187</v>
      </c>
      <c r="J152" s="58"/>
      <c r="K152" s="58"/>
      <c r="L152" s="58"/>
      <c r="M152" s="58"/>
      <c r="N152" s="58"/>
      <c r="O152" s="50">
        <f t="shared" si="22"/>
        <v>0</v>
      </c>
    </row>
    <row r="153" spans="1:16" x14ac:dyDescent="0.25">
      <c r="A153" s="98"/>
      <c r="B153" s="98"/>
      <c r="C153" s="98"/>
      <c r="D153" s="98"/>
      <c r="E153" s="98"/>
      <c r="F153" s="96"/>
      <c r="H153" s="93" t="s">
        <v>188</v>
      </c>
      <c r="I153" s="94"/>
      <c r="J153" s="92">
        <f t="shared" ref="J153:O153" si="39">SUM(J135:J152)</f>
        <v>149043.77748828119</v>
      </c>
      <c r="K153" s="92">
        <f t="shared" si="39"/>
        <v>0</v>
      </c>
      <c r="L153" s="92">
        <f t="shared" si="39"/>
        <v>27101.576454999991</v>
      </c>
      <c r="M153" s="92">
        <f t="shared" si="39"/>
        <v>0</v>
      </c>
      <c r="N153" s="92">
        <f t="shared" si="39"/>
        <v>0</v>
      </c>
      <c r="O153" s="92">
        <f t="shared" si="39"/>
        <v>176145.3539432812</v>
      </c>
      <c r="P153" s="96"/>
    </row>
    <row r="154" spans="1:16" ht="16.5" thickBot="1" x14ac:dyDescent="0.3">
      <c r="J154" s="99"/>
      <c r="K154" s="99"/>
      <c r="L154" s="99"/>
      <c r="M154" s="99"/>
      <c r="N154" s="99"/>
      <c r="O154" s="99"/>
    </row>
    <row r="155" spans="1:16" ht="16.5" thickBot="1" x14ac:dyDescent="0.3">
      <c r="A155" s="68" t="s">
        <v>5</v>
      </c>
      <c r="B155" s="68" t="s">
        <v>91</v>
      </c>
      <c r="C155" s="68" t="s">
        <v>92</v>
      </c>
      <c r="D155" s="68" t="s">
        <v>4</v>
      </c>
      <c r="E155" s="68" t="s">
        <v>93</v>
      </c>
      <c r="H155" s="100" t="s">
        <v>189</v>
      </c>
      <c r="I155" s="82"/>
      <c r="J155" s="101" t="str">
        <f>J20</f>
        <v>Operating</v>
      </c>
      <c r="K155" s="101" t="str">
        <f t="shared" ref="K155:O155" si="40">K20</f>
        <v>SPED</v>
      </c>
      <c r="L155" s="101" t="str">
        <f t="shared" si="40"/>
        <v>NSLP</v>
      </c>
      <c r="M155" s="101" t="str">
        <f t="shared" si="40"/>
        <v>Title(s)</v>
      </c>
      <c r="N155" s="101" t="str">
        <f t="shared" si="40"/>
        <v>Other</v>
      </c>
      <c r="O155" s="101" t="str">
        <f t="shared" si="40"/>
        <v>Total</v>
      </c>
    </row>
    <row r="156" spans="1:16" x14ac:dyDescent="0.25">
      <c r="A156" s="73"/>
      <c r="B156" s="74"/>
      <c r="C156" s="74"/>
      <c r="D156" s="74"/>
      <c r="E156" s="74"/>
      <c r="H156" s="77" t="s">
        <v>190</v>
      </c>
      <c r="I156" s="78"/>
      <c r="J156" s="79"/>
      <c r="K156" s="79"/>
      <c r="L156" s="79"/>
      <c r="M156" s="79"/>
      <c r="N156" s="79"/>
      <c r="O156" s="79"/>
    </row>
    <row r="157" spans="1:16" x14ac:dyDescent="0.25">
      <c r="A157" s="51">
        <v>60010</v>
      </c>
      <c r="B157" s="49" t="s">
        <v>191</v>
      </c>
      <c r="C157" s="85">
        <f t="shared" ref="C157:C167" si="41">$C$1</f>
        <v>0</v>
      </c>
      <c r="D157" s="49" t="s">
        <v>9</v>
      </c>
      <c r="E157" s="52" t="s">
        <v>186</v>
      </c>
      <c r="I157" s="49" t="s">
        <v>192</v>
      </c>
      <c r="J157" s="102">
        <v>0</v>
      </c>
      <c r="K157" s="102"/>
      <c r="L157" s="102"/>
      <c r="M157" s="102"/>
      <c r="N157" s="102"/>
      <c r="O157" s="50">
        <f t="shared" ref="O157:O200" si="42">SUM(J157:N157)</f>
        <v>0</v>
      </c>
    </row>
    <row r="158" spans="1:16" x14ac:dyDescent="0.25">
      <c r="A158" s="51">
        <v>60010</v>
      </c>
      <c r="B158" s="49" t="s">
        <v>191</v>
      </c>
      <c r="C158" s="85">
        <f t="shared" si="41"/>
        <v>0</v>
      </c>
      <c r="D158" s="52" t="s">
        <v>18</v>
      </c>
      <c r="E158" s="52" t="s">
        <v>186</v>
      </c>
      <c r="I158" s="49" t="s">
        <v>193</v>
      </c>
      <c r="J158" s="102"/>
      <c r="K158" s="102"/>
      <c r="L158" s="102"/>
      <c r="M158" s="102"/>
      <c r="N158" s="102"/>
      <c r="O158" s="50">
        <f t="shared" si="42"/>
        <v>0</v>
      </c>
    </row>
    <row r="159" spans="1:16" x14ac:dyDescent="0.25">
      <c r="A159" s="51">
        <v>60010</v>
      </c>
      <c r="B159" s="49" t="s">
        <v>191</v>
      </c>
      <c r="C159" s="85">
        <f t="shared" si="41"/>
        <v>0</v>
      </c>
      <c r="D159" s="52" t="s">
        <v>36</v>
      </c>
      <c r="E159" s="52" t="s">
        <v>186</v>
      </c>
      <c r="I159" s="49" t="s">
        <v>194</v>
      </c>
      <c r="J159" s="102">
        <v>0</v>
      </c>
      <c r="K159" s="102"/>
      <c r="L159" s="102"/>
      <c r="M159" s="102">
        <f>(84*24*40)*M41</f>
        <v>0</v>
      </c>
      <c r="N159" s="102"/>
      <c r="O159" s="50">
        <f t="shared" si="42"/>
        <v>0</v>
      </c>
    </row>
    <row r="160" spans="1:16" x14ac:dyDescent="0.25">
      <c r="A160" s="51">
        <v>60010</v>
      </c>
      <c r="B160" s="52" t="s">
        <v>191</v>
      </c>
      <c r="C160" s="85">
        <f t="shared" si="41"/>
        <v>0</v>
      </c>
      <c r="D160" s="52" t="s">
        <v>12</v>
      </c>
      <c r="E160" s="52" t="s">
        <v>186</v>
      </c>
      <c r="I160" s="52" t="s">
        <v>67</v>
      </c>
      <c r="J160" s="55">
        <v>0</v>
      </c>
      <c r="K160" s="55"/>
      <c r="L160" s="55"/>
      <c r="M160" s="55"/>
      <c r="N160" s="55"/>
      <c r="O160" s="50">
        <f t="shared" si="42"/>
        <v>0</v>
      </c>
    </row>
    <row r="161" spans="1:15" x14ac:dyDescent="0.25">
      <c r="A161" s="51">
        <v>60010</v>
      </c>
      <c r="B161" s="52" t="s">
        <v>191</v>
      </c>
      <c r="C161" s="85">
        <f t="shared" si="41"/>
        <v>0</v>
      </c>
      <c r="D161" s="52" t="s">
        <v>36</v>
      </c>
      <c r="E161" s="52" t="s">
        <v>186</v>
      </c>
      <c r="I161" s="52" t="s">
        <v>195</v>
      </c>
      <c r="J161" s="55"/>
      <c r="K161" s="55"/>
      <c r="L161" s="55"/>
      <c r="M161" s="55"/>
      <c r="N161" s="55"/>
      <c r="O161" s="50">
        <f t="shared" si="42"/>
        <v>0</v>
      </c>
    </row>
    <row r="162" spans="1:15" x14ac:dyDescent="0.25">
      <c r="A162" s="51">
        <v>60010</v>
      </c>
      <c r="B162" s="52" t="s">
        <v>191</v>
      </c>
      <c r="C162" s="85">
        <f t="shared" si="41"/>
        <v>0</v>
      </c>
      <c r="D162" s="49" t="s">
        <v>9</v>
      </c>
      <c r="E162" s="52" t="s">
        <v>186</v>
      </c>
      <c r="I162" s="52" t="s">
        <v>196</v>
      </c>
      <c r="J162" s="55">
        <f>(55200*1.015*1.015*1.015)*(J36-J35-J28)+0-J165-J163-K162</f>
        <v>354924.95104516111</v>
      </c>
      <c r="K162" s="55">
        <f>25500</f>
        <v>25500</v>
      </c>
      <c r="L162" s="55"/>
      <c r="M162" s="55"/>
      <c r="N162" s="55"/>
      <c r="O162" s="50">
        <f t="shared" si="42"/>
        <v>380424.95104516111</v>
      </c>
    </row>
    <row r="163" spans="1:15" x14ac:dyDescent="0.25">
      <c r="A163" s="51">
        <v>60010</v>
      </c>
      <c r="B163" s="52" t="s">
        <v>191</v>
      </c>
      <c r="C163" s="85">
        <f t="shared" si="41"/>
        <v>0</v>
      </c>
      <c r="D163" s="52" t="s">
        <v>12</v>
      </c>
      <c r="E163" s="52" t="s">
        <v>186</v>
      </c>
      <c r="I163" s="52" t="s">
        <v>197</v>
      </c>
      <c r="J163" s="55">
        <f>416711*(J22/J17)</f>
        <v>56457.619354838716</v>
      </c>
      <c r="K163" s="55"/>
      <c r="L163" s="55"/>
      <c r="M163" s="55"/>
      <c r="N163" s="55"/>
      <c r="O163" s="50">
        <f t="shared" si="42"/>
        <v>56457.619354838716</v>
      </c>
    </row>
    <row r="164" spans="1:15" x14ac:dyDescent="0.25">
      <c r="A164" s="51">
        <v>60010</v>
      </c>
      <c r="B164" s="52" t="s">
        <v>191</v>
      </c>
      <c r="C164" s="85">
        <f t="shared" si="41"/>
        <v>0</v>
      </c>
      <c r="D164" s="52" t="s">
        <v>18</v>
      </c>
      <c r="E164" s="52" t="s">
        <v>186</v>
      </c>
      <c r="I164" s="52" t="s">
        <v>198</v>
      </c>
      <c r="J164" s="55"/>
      <c r="K164" s="55"/>
      <c r="L164" s="55"/>
      <c r="M164" s="55"/>
      <c r="N164" s="55"/>
      <c r="O164" s="50">
        <f t="shared" si="42"/>
        <v>0</v>
      </c>
    </row>
    <row r="165" spans="1:15" x14ac:dyDescent="0.25">
      <c r="A165" s="51">
        <v>60010</v>
      </c>
      <c r="B165" s="52" t="s">
        <v>191</v>
      </c>
      <c r="C165" s="85">
        <f t="shared" si="41"/>
        <v>0</v>
      </c>
      <c r="D165" s="52" t="s">
        <v>21</v>
      </c>
      <c r="E165" s="52" t="s">
        <v>186</v>
      </c>
      <c r="I165" s="52" t="s">
        <v>199</v>
      </c>
      <c r="J165" s="55">
        <v>24889</v>
      </c>
      <c r="K165" s="55"/>
      <c r="L165" s="55"/>
      <c r="M165" s="55"/>
      <c r="N165" s="55"/>
      <c r="O165" s="50">
        <f t="shared" si="42"/>
        <v>24889</v>
      </c>
    </row>
    <row r="166" spans="1:15" x14ac:dyDescent="0.25">
      <c r="A166" s="51">
        <v>60010</v>
      </c>
      <c r="B166" s="52" t="s">
        <v>191</v>
      </c>
      <c r="C166" s="85">
        <f t="shared" si="41"/>
        <v>0</v>
      </c>
      <c r="D166" s="52" t="s">
        <v>24</v>
      </c>
      <c r="E166" s="52" t="s">
        <v>186</v>
      </c>
      <c r="I166" s="52" t="s">
        <v>200</v>
      </c>
      <c r="J166" s="55"/>
      <c r="K166" s="55"/>
      <c r="L166" s="55"/>
      <c r="M166" s="55"/>
      <c r="N166" s="55"/>
      <c r="O166" s="50">
        <f t="shared" si="42"/>
        <v>0</v>
      </c>
    </row>
    <row r="167" spans="1:15" ht="16.5" thickBot="1" x14ac:dyDescent="0.3">
      <c r="A167" s="51">
        <v>60010</v>
      </c>
      <c r="B167" s="52" t="s">
        <v>191</v>
      </c>
      <c r="C167" s="85">
        <f t="shared" si="41"/>
        <v>0</v>
      </c>
      <c r="D167" s="52" t="s">
        <v>15</v>
      </c>
      <c r="E167" s="52" t="s">
        <v>186</v>
      </c>
      <c r="I167" s="52" t="s">
        <v>201</v>
      </c>
      <c r="J167" s="55"/>
      <c r="K167" s="55"/>
      <c r="L167" s="55"/>
      <c r="M167" s="55"/>
      <c r="N167" s="55"/>
      <c r="O167" s="50">
        <f t="shared" si="42"/>
        <v>0</v>
      </c>
    </row>
    <row r="168" spans="1:15" x14ac:dyDescent="0.25">
      <c r="A168" s="73"/>
      <c r="B168" s="74"/>
      <c r="C168" s="74"/>
      <c r="D168" s="74"/>
      <c r="E168" s="74"/>
      <c r="H168" s="77" t="s">
        <v>202</v>
      </c>
      <c r="I168" s="78"/>
      <c r="J168" s="79"/>
      <c r="K168" s="79"/>
      <c r="L168" s="79"/>
      <c r="M168" s="79"/>
      <c r="N168" s="79"/>
      <c r="O168" s="79"/>
    </row>
    <row r="169" spans="1:15" ht="16.5" thickBot="1" x14ac:dyDescent="0.3">
      <c r="A169" s="51">
        <v>60013</v>
      </c>
      <c r="B169" s="52" t="s">
        <v>191</v>
      </c>
      <c r="C169" s="85">
        <f>$C$1</f>
        <v>0</v>
      </c>
      <c r="D169" s="52" t="s">
        <v>27</v>
      </c>
      <c r="E169" s="52" t="s">
        <v>186</v>
      </c>
      <c r="I169" s="52" t="s">
        <v>203</v>
      </c>
      <c r="J169" s="55">
        <f>50000*(J28)</f>
        <v>0</v>
      </c>
      <c r="K169" s="55">
        <f>(51045*1.015*1.015*1.015)*(K28)</f>
        <v>53376.652651874989</v>
      </c>
      <c r="L169" s="55"/>
      <c r="M169" s="55"/>
      <c r="N169" s="55"/>
      <c r="O169" s="50">
        <f t="shared" si="42"/>
        <v>53376.652651874989</v>
      </c>
    </row>
    <row r="170" spans="1:15" x14ac:dyDescent="0.25">
      <c r="A170" s="73"/>
      <c r="B170" s="74"/>
      <c r="C170" s="74"/>
      <c r="D170" s="74"/>
      <c r="E170" s="74"/>
      <c r="H170" s="77" t="s">
        <v>202</v>
      </c>
      <c r="I170" s="78"/>
      <c r="J170" s="79"/>
      <c r="K170" s="79"/>
      <c r="L170" s="79"/>
      <c r="M170" s="79"/>
      <c r="N170" s="79"/>
      <c r="O170" s="79"/>
    </row>
    <row r="171" spans="1:15" x14ac:dyDescent="0.25">
      <c r="A171" s="51">
        <v>60020</v>
      </c>
      <c r="B171" s="52" t="s">
        <v>204</v>
      </c>
      <c r="C171" s="85">
        <f t="shared" ref="C171:C177" si="43">$C$1</f>
        <v>0</v>
      </c>
      <c r="D171" s="49" t="s">
        <v>9</v>
      </c>
      <c r="E171" s="52" t="s">
        <v>186</v>
      </c>
      <c r="I171" s="52" t="s">
        <v>205</v>
      </c>
      <c r="J171" s="55">
        <v>0</v>
      </c>
      <c r="K171" s="55"/>
      <c r="L171" s="55"/>
      <c r="M171" s="55"/>
      <c r="N171" s="55"/>
      <c r="O171" s="50">
        <f t="shared" si="42"/>
        <v>0</v>
      </c>
    </row>
    <row r="172" spans="1:15" x14ac:dyDescent="0.25">
      <c r="A172" s="51">
        <v>60020</v>
      </c>
      <c r="B172" s="52" t="s">
        <v>204</v>
      </c>
      <c r="C172" s="85">
        <f t="shared" si="43"/>
        <v>0</v>
      </c>
      <c r="D172" s="52" t="s">
        <v>18</v>
      </c>
      <c r="E172" s="52" t="s">
        <v>186</v>
      </c>
      <c r="I172" s="52" t="s">
        <v>206</v>
      </c>
      <c r="J172" s="55"/>
      <c r="K172" s="55"/>
      <c r="L172" s="55"/>
      <c r="M172" s="55">
        <v>5000</v>
      </c>
      <c r="N172" s="55"/>
      <c r="O172" s="50">
        <f t="shared" si="42"/>
        <v>5000</v>
      </c>
    </row>
    <row r="173" spans="1:15" x14ac:dyDescent="0.25">
      <c r="A173" s="51">
        <v>60020</v>
      </c>
      <c r="B173" s="52" t="s">
        <v>204</v>
      </c>
      <c r="C173" s="85">
        <f t="shared" si="43"/>
        <v>0</v>
      </c>
      <c r="D173" s="52" t="s">
        <v>12</v>
      </c>
      <c r="E173" s="52" t="s">
        <v>186</v>
      </c>
      <c r="I173" s="52" t="s">
        <v>207</v>
      </c>
      <c r="J173" s="55">
        <v>0</v>
      </c>
      <c r="K173" s="55"/>
      <c r="L173" s="55"/>
      <c r="M173" s="55"/>
      <c r="N173" s="55"/>
      <c r="O173" s="50">
        <f t="shared" si="42"/>
        <v>0</v>
      </c>
    </row>
    <row r="174" spans="1:15" x14ac:dyDescent="0.25">
      <c r="A174" s="86">
        <v>60020</v>
      </c>
      <c r="B174" s="89" t="s">
        <v>204</v>
      </c>
      <c r="C174" s="89">
        <f t="shared" si="43"/>
        <v>0</v>
      </c>
      <c r="D174" s="89" t="s">
        <v>21</v>
      </c>
      <c r="E174" s="89" t="s">
        <v>186</v>
      </c>
      <c r="I174" s="52" t="s">
        <v>208</v>
      </c>
      <c r="J174" s="55">
        <v>0</v>
      </c>
      <c r="K174" s="55"/>
      <c r="L174" s="55"/>
      <c r="M174" s="55">
        <v>351</v>
      </c>
      <c r="N174" s="55"/>
      <c r="O174" s="50">
        <f t="shared" ref="O174" si="44">SUM(J174:N174)</f>
        <v>351</v>
      </c>
    </row>
    <row r="175" spans="1:15" x14ac:dyDescent="0.25">
      <c r="A175" s="51">
        <v>60020</v>
      </c>
      <c r="B175" s="52" t="s">
        <v>209</v>
      </c>
      <c r="C175" s="85">
        <f t="shared" si="43"/>
        <v>0</v>
      </c>
      <c r="D175" s="52" t="s">
        <v>24</v>
      </c>
      <c r="E175" s="52" t="s">
        <v>186</v>
      </c>
      <c r="I175" s="52" t="s">
        <v>210</v>
      </c>
      <c r="J175" s="55">
        <v>0</v>
      </c>
      <c r="K175" s="55"/>
      <c r="L175" s="55"/>
      <c r="M175" s="55"/>
      <c r="N175" s="55"/>
      <c r="O175" s="50">
        <f t="shared" si="42"/>
        <v>0</v>
      </c>
    </row>
    <row r="176" spans="1:15" x14ac:dyDescent="0.25">
      <c r="A176" s="51">
        <v>60020</v>
      </c>
      <c r="B176" s="52" t="s">
        <v>209</v>
      </c>
      <c r="C176" s="85">
        <f t="shared" si="43"/>
        <v>0</v>
      </c>
      <c r="D176" s="52" t="s">
        <v>27</v>
      </c>
      <c r="E176" s="52" t="s">
        <v>186</v>
      </c>
      <c r="I176" s="52" t="s">
        <v>211</v>
      </c>
      <c r="J176" s="55"/>
      <c r="K176" s="55"/>
      <c r="L176" s="55"/>
      <c r="M176" s="55"/>
      <c r="N176" s="55"/>
      <c r="O176" s="50">
        <f t="shared" si="42"/>
        <v>0</v>
      </c>
    </row>
    <row r="177" spans="1:16" ht="16.5" thickBot="1" x14ac:dyDescent="0.3">
      <c r="A177" s="51">
        <v>60020</v>
      </c>
      <c r="B177" s="52" t="s">
        <v>209</v>
      </c>
      <c r="C177" s="85">
        <f t="shared" si="43"/>
        <v>0</v>
      </c>
      <c r="D177" s="52" t="s">
        <v>36</v>
      </c>
      <c r="E177" s="52" t="s">
        <v>186</v>
      </c>
      <c r="I177" s="52" t="s">
        <v>212</v>
      </c>
      <c r="J177" s="55"/>
      <c r="K177" s="55"/>
      <c r="L177" s="55"/>
      <c r="M177" s="55">
        <f>(16.5*8*180)*M50-M172-M174</f>
        <v>18409</v>
      </c>
      <c r="N177" s="55"/>
      <c r="O177" s="50">
        <f t="shared" si="42"/>
        <v>18409</v>
      </c>
    </row>
    <row r="178" spans="1:16" x14ac:dyDescent="0.25">
      <c r="A178" s="73"/>
      <c r="B178" s="74"/>
      <c r="C178" s="74"/>
      <c r="D178" s="74"/>
      <c r="E178" s="74"/>
      <c r="H178" s="77" t="s">
        <v>213</v>
      </c>
      <c r="I178" s="78"/>
      <c r="J178" s="79"/>
      <c r="K178" s="79"/>
      <c r="L178" s="79"/>
      <c r="M178" s="79"/>
      <c r="N178" s="79"/>
      <c r="O178" s="79"/>
    </row>
    <row r="179" spans="1:16" x14ac:dyDescent="0.25">
      <c r="A179" s="56">
        <v>60030</v>
      </c>
      <c r="B179" s="57" t="s">
        <v>214</v>
      </c>
      <c r="C179" s="85">
        <f>$C$1</f>
        <v>0</v>
      </c>
      <c r="D179" s="49" t="s">
        <v>9</v>
      </c>
      <c r="E179" s="52" t="s">
        <v>186</v>
      </c>
      <c r="I179" s="57" t="s">
        <v>85</v>
      </c>
      <c r="J179" s="58">
        <f>170*180*J59</f>
        <v>0</v>
      </c>
      <c r="K179" s="58"/>
      <c r="L179" s="58"/>
      <c r="M179" s="58"/>
      <c r="N179" s="58"/>
      <c r="O179" s="50">
        <f t="shared" si="42"/>
        <v>0</v>
      </c>
    </row>
    <row r="180" spans="1:16" x14ac:dyDescent="0.25">
      <c r="A180" s="98"/>
      <c r="B180" s="98"/>
      <c r="C180" s="98"/>
      <c r="D180" s="98"/>
      <c r="E180" s="98"/>
      <c r="F180" s="95"/>
      <c r="H180" s="93" t="s">
        <v>215</v>
      </c>
      <c r="I180" s="103"/>
      <c r="J180" s="92">
        <f t="shared" ref="J180:O180" si="45">SUM(J157:J179)</f>
        <v>436271.57039999985</v>
      </c>
      <c r="K180" s="92">
        <f t="shared" si="45"/>
        <v>78876.652651874989</v>
      </c>
      <c r="L180" s="92">
        <f t="shared" si="45"/>
        <v>0</v>
      </c>
      <c r="M180" s="92">
        <f t="shared" si="45"/>
        <v>23760</v>
      </c>
      <c r="N180" s="92">
        <f t="shared" si="45"/>
        <v>0</v>
      </c>
      <c r="O180" s="92">
        <f t="shared" si="45"/>
        <v>538908.2230518749</v>
      </c>
      <c r="P180" s="95"/>
    </row>
    <row r="181" spans="1:16" x14ac:dyDescent="0.25">
      <c r="A181" s="46">
        <v>60505</v>
      </c>
      <c r="B181" s="49" t="s">
        <v>216</v>
      </c>
      <c r="C181" s="85">
        <f t="shared" ref="C181:C200" si="46">$C$1</f>
        <v>0</v>
      </c>
      <c r="D181" s="49" t="s">
        <v>9</v>
      </c>
      <c r="E181" s="52" t="s">
        <v>186</v>
      </c>
      <c r="F181" s="95"/>
      <c r="I181" s="49" t="s">
        <v>166</v>
      </c>
      <c r="J181" s="55">
        <f>SUMIF($D$157:$D$179,D181,$J$157:$J$179)*0.3825</f>
        <v>135758.79377477412</v>
      </c>
      <c r="K181" s="55">
        <f>SUMIF($D$157:$D$179,D181,$K$157:$K$179)*0.3825</f>
        <v>9753.75</v>
      </c>
      <c r="L181" s="55">
        <f t="shared" ref="L181:L188" si="47">SUMIF($D$157:$D$179,D181,$L$157:$L$179)*0.3675</f>
        <v>0</v>
      </c>
      <c r="M181" s="55">
        <f t="shared" ref="M181:M187" si="48">SUMIF($D$157:$D$179,D181,$M$157:$M$179)*0.3675</f>
        <v>0</v>
      </c>
      <c r="N181" s="55">
        <f t="shared" ref="N181:N188" si="49">SUMIF($D$157:$D$179,D181,$N$157:$N$179)*0.3675</f>
        <v>0</v>
      </c>
      <c r="O181" s="50">
        <f t="shared" si="42"/>
        <v>145512.54377477412</v>
      </c>
      <c r="P181" s="95"/>
    </row>
    <row r="182" spans="1:16" x14ac:dyDescent="0.25">
      <c r="A182" s="46">
        <v>60505</v>
      </c>
      <c r="B182" s="49" t="s">
        <v>216</v>
      </c>
      <c r="C182" s="85">
        <f t="shared" si="46"/>
        <v>0</v>
      </c>
      <c r="D182" s="52" t="s">
        <v>12</v>
      </c>
      <c r="E182" s="52" t="s">
        <v>186</v>
      </c>
      <c r="F182" s="95"/>
      <c r="I182" s="49" t="s">
        <v>217</v>
      </c>
      <c r="J182" s="55">
        <f>SUMIF($D$157:$D$179,D182,$J$157:$J$179)*0.3825</f>
        <v>21595.039403225808</v>
      </c>
      <c r="K182" s="55">
        <f t="shared" ref="K182:K188" si="50">SUMIF($D$157:$D$179,D182,$K$157:$K$179)*0.3675</f>
        <v>0</v>
      </c>
      <c r="L182" s="55">
        <f t="shared" si="47"/>
        <v>0</v>
      </c>
      <c r="M182" s="55">
        <f t="shared" si="48"/>
        <v>0</v>
      </c>
      <c r="N182" s="55">
        <f t="shared" si="49"/>
        <v>0</v>
      </c>
      <c r="O182" s="50">
        <f t="shared" si="42"/>
        <v>21595.039403225808</v>
      </c>
      <c r="P182" s="95"/>
    </row>
    <row r="183" spans="1:16" x14ac:dyDescent="0.25">
      <c r="A183" s="46">
        <v>60505</v>
      </c>
      <c r="B183" s="49" t="s">
        <v>216</v>
      </c>
      <c r="C183" s="85">
        <f t="shared" si="46"/>
        <v>0</v>
      </c>
      <c r="D183" s="52" t="s">
        <v>15</v>
      </c>
      <c r="E183" s="52" t="s">
        <v>186</v>
      </c>
      <c r="F183" s="95"/>
      <c r="I183" s="49" t="s">
        <v>218</v>
      </c>
      <c r="J183" s="55">
        <f t="shared" ref="J183:J188" si="51">SUMIF($D$157:$D$179,D183,$J$157:$J$179)*0.3675</f>
        <v>0</v>
      </c>
      <c r="K183" s="55">
        <f t="shared" si="50"/>
        <v>0</v>
      </c>
      <c r="L183" s="55">
        <f t="shared" si="47"/>
        <v>0</v>
      </c>
      <c r="M183" s="55">
        <f t="shared" si="48"/>
        <v>0</v>
      </c>
      <c r="N183" s="55">
        <f t="shared" si="49"/>
        <v>0</v>
      </c>
      <c r="O183" s="50">
        <f t="shared" si="42"/>
        <v>0</v>
      </c>
      <c r="P183" s="95"/>
    </row>
    <row r="184" spans="1:16" x14ac:dyDescent="0.25">
      <c r="A184" s="46">
        <v>60505</v>
      </c>
      <c r="B184" s="49" t="s">
        <v>216</v>
      </c>
      <c r="C184" s="85">
        <f t="shared" si="46"/>
        <v>0</v>
      </c>
      <c r="D184" s="52" t="s">
        <v>18</v>
      </c>
      <c r="E184" s="52" t="s">
        <v>186</v>
      </c>
      <c r="F184" s="95"/>
      <c r="I184" s="49" t="s">
        <v>167</v>
      </c>
      <c r="J184" s="55">
        <f t="shared" si="51"/>
        <v>0</v>
      </c>
      <c r="K184" s="55">
        <f t="shared" si="50"/>
        <v>0</v>
      </c>
      <c r="L184" s="55">
        <f t="shared" si="47"/>
        <v>0</v>
      </c>
      <c r="M184" s="55">
        <f>SUMIF($D$157:$D$179,D184,$M$157:$M$179)*0.3825</f>
        <v>1912.5</v>
      </c>
      <c r="N184" s="55">
        <f t="shared" si="49"/>
        <v>0</v>
      </c>
      <c r="O184" s="50">
        <f t="shared" si="42"/>
        <v>1912.5</v>
      </c>
      <c r="P184" s="95"/>
    </row>
    <row r="185" spans="1:16" x14ac:dyDescent="0.25">
      <c r="A185" s="46">
        <v>60505</v>
      </c>
      <c r="B185" s="49" t="s">
        <v>216</v>
      </c>
      <c r="C185" s="85">
        <f t="shared" si="46"/>
        <v>0</v>
      </c>
      <c r="D185" s="52" t="s">
        <v>21</v>
      </c>
      <c r="E185" s="52" t="s">
        <v>186</v>
      </c>
      <c r="F185" s="95"/>
      <c r="I185" s="49" t="s">
        <v>168</v>
      </c>
      <c r="J185" s="55">
        <f>SUMIF($D$157:$D$179,D185,$J$157:$J$179)*0.3825</f>
        <v>9520.0424999999996</v>
      </c>
      <c r="K185" s="55">
        <f t="shared" si="50"/>
        <v>0</v>
      </c>
      <c r="L185" s="55">
        <f t="shared" si="47"/>
        <v>0</v>
      </c>
      <c r="M185" s="55">
        <f>SUMIF($D$157:$D$179,D185,$M$157:$M$179)*0.3825</f>
        <v>134.25749999999999</v>
      </c>
      <c r="N185" s="55">
        <f t="shared" si="49"/>
        <v>0</v>
      </c>
      <c r="O185" s="50">
        <f t="shared" si="42"/>
        <v>9654.2999999999993</v>
      </c>
      <c r="P185" s="95"/>
    </row>
    <row r="186" spans="1:16" x14ac:dyDescent="0.25">
      <c r="A186" s="46">
        <v>60505</v>
      </c>
      <c r="B186" s="49" t="s">
        <v>216</v>
      </c>
      <c r="C186" s="85">
        <f t="shared" si="46"/>
        <v>0</v>
      </c>
      <c r="D186" s="52" t="s">
        <v>24</v>
      </c>
      <c r="E186" s="52" t="s">
        <v>186</v>
      </c>
      <c r="F186" s="95"/>
      <c r="I186" s="49" t="s">
        <v>169</v>
      </c>
      <c r="J186" s="55">
        <f t="shared" si="51"/>
        <v>0</v>
      </c>
      <c r="K186" s="55">
        <f t="shared" si="50"/>
        <v>0</v>
      </c>
      <c r="L186" s="55">
        <f t="shared" si="47"/>
        <v>0</v>
      </c>
      <c r="M186" s="55">
        <f t="shared" si="48"/>
        <v>0</v>
      </c>
      <c r="N186" s="55">
        <f t="shared" si="49"/>
        <v>0</v>
      </c>
      <c r="O186" s="50">
        <f t="shared" si="42"/>
        <v>0</v>
      </c>
      <c r="P186" s="95"/>
    </row>
    <row r="187" spans="1:16" x14ac:dyDescent="0.25">
      <c r="A187" s="46">
        <v>60505</v>
      </c>
      <c r="B187" s="49" t="s">
        <v>216</v>
      </c>
      <c r="C187" s="85">
        <f t="shared" si="46"/>
        <v>0</v>
      </c>
      <c r="D187" s="52" t="s">
        <v>27</v>
      </c>
      <c r="E187" s="52" t="s">
        <v>186</v>
      </c>
      <c r="F187" s="95"/>
      <c r="I187" s="49" t="s">
        <v>170</v>
      </c>
      <c r="J187" s="55">
        <f t="shared" si="51"/>
        <v>0</v>
      </c>
      <c r="K187" s="55">
        <f>SUMIF($D$157:$D$179,D187,$K$157:$K$179)*0.3825</f>
        <v>20416.569639342182</v>
      </c>
      <c r="L187" s="55">
        <f t="shared" si="47"/>
        <v>0</v>
      </c>
      <c r="M187" s="55">
        <f t="shared" si="48"/>
        <v>0</v>
      </c>
      <c r="N187" s="55">
        <f t="shared" si="49"/>
        <v>0</v>
      </c>
      <c r="O187" s="50">
        <f t="shared" si="42"/>
        <v>20416.569639342182</v>
      </c>
      <c r="P187" s="95"/>
    </row>
    <row r="188" spans="1:16" x14ac:dyDescent="0.25">
      <c r="A188" s="46">
        <v>60505</v>
      </c>
      <c r="B188" s="49" t="s">
        <v>216</v>
      </c>
      <c r="C188" s="85">
        <f t="shared" si="46"/>
        <v>0</v>
      </c>
      <c r="D188" s="52" t="s">
        <v>36</v>
      </c>
      <c r="E188" s="52" t="s">
        <v>186</v>
      </c>
      <c r="F188" s="95"/>
      <c r="I188" s="49" t="s">
        <v>171</v>
      </c>
      <c r="J188" s="55">
        <f t="shared" si="51"/>
        <v>0</v>
      </c>
      <c r="K188" s="55">
        <f t="shared" si="50"/>
        <v>0</v>
      </c>
      <c r="L188" s="55">
        <f t="shared" si="47"/>
        <v>0</v>
      </c>
      <c r="M188" s="55">
        <f>(SUMIF($D$157:$D$179,D188,$M$157:$M$179)-M159)*0.3825+SUMIF($D$157:$D$179,D193,$M$157:$M$179)*0.3825</f>
        <v>7175.7</v>
      </c>
      <c r="N188" s="55">
        <f t="shared" si="49"/>
        <v>0</v>
      </c>
      <c r="O188" s="50">
        <f t="shared" si="42"/>
        <v>7175.7</v>
      </c>
      <c r="P188" s="95"/>
    </row>
    <row r="189" spans="1:16" x14ac:dyDescent="0.25">
      <c r="A189" s="51">
        <v>60905</v>
      </c>
      <c r="B189" s="52" t="s">
        <v>219</v>
      </c>
      <c r="C189" s="85">
        <f t="shared" si="46"/>
        <v>0</v>
      </c>
      <c r="D189" s="49" t="s">
        <v>9</v>
      </c>
      <c r="E189" s="52" t="s">
        <v>186</v>
      </c>
      <c r="F189" s="95"/>
      <c r="I189" s="52" t="s">
        <v>174</v>
      </c>
      <c r="J189" s="55">
        <f>SUMIF($D$157:$D$179,D189,$J$157:$J$179)*0.145+SUMIF($D$157:$D$179,D193,$J$157:$J$179)*0.145</f>
        <v>55073.022901548356</v>
      </c>
      <c r="K189" s="55">
        <f>SUMIF($D$157:$D$179,D189,$K$157:$K$179)*0.145</f>
        <v>3697.4999999999995</v>
      </c>
      <c r="L189" s="55">
        <f t="shared" ref="L189:L196" si="52">SUMIF($D$157:$D$179,D189,$L$157:$L$179)*0.13</f>
        <v>0</v>
      </c>
      <c r="M189" s="55">
        <f>SUMIF($D$157:$D$179,D189,$M$157:$M$179)*0.13</f>
        <v>0</v>
      </c>
      <c r="N189" s="55">
        <f t="shared" ref="N189:N196" si="53">SUMIF($D$157:$D$179,D189,$N$157:$N$179)*0.13</f>
        <v>0</v>
      </c>
      <c r="O189" s="50">
        <f t="shared" si="42"/>
        <v>58770.522901548356</v>
      </c>
      <c r="P189" s="95"/>
    </row>
    <row r="190" spans="1:16" x14ac:dyDescent="0.25">
      <c r="A190" s="51">
        <v>60905</v>
      </c>
      <c r="B190" s="52" t="s">
        <v>219</v>
      </c>
      <c r="C190" s="85">
        <f t="shared" si="46"/>
        <v>0</v>
      </c>
      <c r="D190" s="52" t="s">
        <v>12</v>
      </c>
      <c r="E190" s="52" t="s">
        <v>186</v>
      </c>
      <c r="F190" s="95"/>
      <c r="I190" s="52" t="s">
        <v>220</v>
      </c>
      <c r="J190" s="55">
        <f>SUMIF($D$157:$D$179,D190,$J$157:$J$179)*0.145</f>
        <v>8186.3548064516135</v>
      </c>
      <c r="K190" s="55">
        <f t="shared" ref="K190:K196" si="54">SUMIF($D$157:$D$179,D190,$K$157:$K$179)*0.13</f>
        <v>0</v>
      </c>
      <c r="L190" s="55">
        <f t="shared" si="52"/>
        <v>0</v>
      </c>
      <c r="M190" s="55">
        <f>SUMIF($D$157:$D$179,D190,$M$157:$M$179)*0.13</f>
        <v>0</v>
      </c>
      <c r="N190" s="55">
        <f t="shared" si="53"/>
        <v>0</v>
      </c>
      <c r="O190" s="50">
        <f t="shared" si="42"/>
        <v>8186.3548064516135</v>
      </c>
      <c r="P190" s="95"/>
    </row>
    <row r="191" spans="1:16" x14ac:dyDescent="0.25">
      <c r="A191" s="51">
        <v>60905</v>
      </c>
      <c r="B191" s="52" t="s">
        <v>219</v>
      </c>
      <c r="C191" s="85">
        <f t="shared" si="46"/>
        <v>0</v>
      </c>
      <c r="D191" s="52" t="s">
        <v>15</v>
      </c>
      <c r="E191" s="52" t="s">
        <v>186</v>
      </c>
      <c r="F191" s="95"/>
      <c r="I191" s="52" t="s">
        <v>221</v>
      </c>
      <c r="J191" s="55">
        <f>SUMIF($D$157:$D$179,D191,$J$157:$J$179)*0.13</f>
        <v>0</v>
      </c>
      <c r="K191" s="55">
        <f t="shared" si="54"/>
        <v>0</v>
      </c>
      <c r="L191" s="55">
        <f t="shared" si="52"/>
        <v>0</v>
      </c>
      <c r="M191" s="55">
        <f>SUMIF($D$157:$D$179,D191,$M$157:$M$179)*0.13</f>
        <v>0</v>
      </c>
      <c r="N191" s="55">
        <f t="shared" si="53"/>
        <v>0</v>
      </c>
      <c r="O191" s="50">
        <f t="shared" si="42"/>
        <v>0</v>
      </c>
      <c r="P191" s="95"/>
    </row>
    <row r="192" spans="1:16" x14ac:dyDescent="0.25">
      <c r="A192" s="51">
        <v>60905</v>
      </c>
      <c r="B192" s="52" t="s">
        <v>219</v>
      </c>
      <c r="C192" s="85">
        <f t="shared" si="46"/>
        <v>0</v>
      </c>
      <c r="D192" s="52" t="s">
        <v>18</v>
      </c>
      <c r="E192" s="52" t="s">
        <v>186</v>
      </c>
      <c r="F192" s="95"/>
      <c r="I192" s="52" t="s">
        <v>175</v>
      </c>
      <c r="J192" s="55">
        <f>SUMIF($D$157:$D$179,D192,$J$157:$J$179)*0.13</f>
        <v>0</v>
      </c>
      <c r="K192" s="55">
        <f t="shared" si="54"/>
        <v>0</v>
      </c>
      <c r="L192" s="55">
        <f t="shared" si="52"/>
        <v>0</v>
      </c>
      <c r="M192" s="55">
        <f>SUMIF($D$157:$D$179,D192,$M$157:$M$179)*0.145</f>
        <v>725</v>
      </c>
      <c r="N192" s="55">
        <f t="shared" si="53"/>
        <v>0</v>
      </c>
      <c r="O192" s="50">
        <f t="shared" si="42"/>
        <v>725</v>
      </c>
      <c r="P192" s="95"/>
    </row>
    <row r="193" spans="1:16" x14ac:dyDescent="0.25">
      <c r="A193" s="51">
        <v>60905</v>
      </c>
      <c r="B193" s="52" t="s">
        <v>219</v>
      </c>
      <c r="C193" s="85">
        <f t="shared" si="46"/>
        <v>0</v>
      </c>
      <c r="D193" s="52" t="s">
        <v>21</v>
      </c>
      <c r="E193" s="52" t="s">
        <v>186</v>
      </c>
      <c r="F193" s="95"/>
      <c r="I193" s="52" t="s">
        <v>176</v>
      </c>
      <c r="J193" s="55">
        <f>SUMIF($D$157:$D$179,D193,$J$157:$J$179)*0.13*0</f>
        <v>0</v>
      </c>
      <c r="K193" s="55">
        <f t="shared" si="54"/>
        <v>0</v>
      </c>
      <c r="L193" s="55">
        <f t="shared" si="52"/>
        <v>0</v>
      </c>
      <c r="M193" s="55">
        <f>SUMIF($D$157:$D$179,D193,$M$157:$M$179)*0.13*0</f>
        <v>0</v>
      </c>
      <c r="N193" s="55">
        <f t="shared" si="53"/>
        <v>0</v>
      </c>
      <c r="O193" s="50">
        <f t="shared" si="42"/>
        <v>0</v>
      </c>
      <c r="P193" s="95"/>
    </row>
    <row r="194" spans="1:16" x14ac:dyDescent="0.25">
      <c r="A194" s="51">
        <v>60905</v>
      </c>
      <c r="B194" s="52" t="s">
        <v>219</v>
      </c>
      <c r="C194" s="85">
        <f t="shared" si="46"/>
        <v>0</v>
      </c>
      <c r="D194" s="52" t="s">
        <v>24</v>
      </c>
      <c r="E194" s="52" t="s">
        <v>186</v>
      </c>
      <c r="F194" s="95"/>
      <c r="I194" s="52" t="s">
        <v>177</v>
      </c>
      <c r="J194" s="55">
        <f>SUMIF($D$157:$D$179,D194,$J$157:$J$179)*0.13</f>
        <v>0</v>
      </c>
      <c r="K194" s="55">
        <f t="shared" si="54"/>
        <v>0</v>
      </c>
      <c r="L194" s="55">
        <f t="shared" si="52"/>
        <v>0</v>
      </c>
      <c r="M194" s="55">
        <f>SUMIF($D$157:$D$179,D194,$M$157:$M$179)*0.13</f>
        <v>0</v>
      </c>
      <c r="N194" s="55">
        <f t="shared" si="53"/>
        <v>0</v>
      </c>
      <c r="O194" s="50">
        <f t="shared" si="42"/>
        <v>0</v>
      </c>
      <c r="P194" s="95"/>
    </row>
    <row r="195" spans="1:16" x14ac:dyDescent="0.25">
      <c r="A195" s="51">
        <v>60905</v>
      </c>
      <c r="B195" s="52" t="s">
        <v>219</v>
      </c>
      <c r="C195" s="85">
        <f t="shared" si="46"/>
        <v>0</v>
      </c>
      <c r="D195" s="52" t="s">
        <v>27</v>
      </c>
      <c r="E195" s="52" t="s">
        <v>186</v>
      </c>
      <c r="F195" s="95"/>
      <c r="I195" s="52" t="s">
        <v>178</v>
      </c>
      <c r="J195" s="55">
        <f>SUMIF($D$157:$D$179,D195,$J$157:$J$179)*0.13</f>
        <v>0</v>
      </c>
      <c r="K195" s="55">
        <f>SUMIF($D$157:$D$179,D195,$K$157:$K$179)*0.145</f>
        <v>7739.6146345218731</v>
      </c>
      <c r="L195" s="55">
        <f t="shared" si="52"/>
        <v>0</v>
      </c>
      <c r="M195" s="55">
        <f>SUMIF($D$157:$D$179,D195,$M$157:$M$179)*0.13</f>
        <v>0</v>
      </c>
      <c r="N195" s="55">
        <f t="shared" si="53"/>
        <v>0</v>
      </c>
      <c r="O195" s="50">
        <f t="shared" si="42"/>
        <v>7739.6146345218731</v>
      </c>
      <c r="P195" s="95"/>
    </row>
    <row r="196" spans="1:16" x14ac:dyDescent="0.25">
      <c r="A196" s="51">
        <v>60905</v>
      </c>
      <c r="B196" s="52" t="s">
        <v>219</v>
      </c>
      <c r="C196" s="85">
        <f t="shared" si="46"/>
        <v>0</v>
      </c>
      <c r="D196" s="52" t="s">
        <v>36</v>
      </c>
      <c r="E196" s="52" t="s">
        <v>186</v>
      </c>
      <c r="F196" s="95"/>
      <c r="I196" s="52" t="s">
        <v>179</v>
      </c>
      <c r="J196" s="55">
        <f>SUMIF($D$157:$D$179,D196,$J$157:$J$179)*0.13</f>
        <v>0</v>
      </c>
      <c r="K196" s="55">
        <f t="shared" si="54"/>
        <v>0</v>
      </c>
      <c r="L196" s="55">
        <f t="shared" si="52"/>
        <v>0</v>
      </c>
      <c r="M196" s="55">
        <f>SUMIF($D$157:$D$179,D196,$M$157:$M$179)*0.145</f>
        <v>2669.3049999999998</v>
      </c>
      <c r="N196" s="55">
        <f t="shared" si="53"/>
        <v>0</v>
      </c>
      <c r="O196" s="50">
        <f t="shared" si="42"/>
        <v>2669.3049999999998</v>
      </c>
      <c r="P196" s="95"/>
    </row>
    <row r="197" spans="1:16" x14ac:dyDescent="0.25">
      <c r="A197" s="51">
        <v>60011</v>
      </c>
      <c r="B197" s="52" t="s">
        <v>222</v>
      </c>
      <c r="C197" s="85">
        <f t="shared" si="46"/>
        <v>0</v>
      </c>
      <c r="D197" s="49" t="s">
        <v>9</v>
      </c>
      <c r="E197" s="52" t="s">
        <v>186</v>
      </c>
      <c r="I197" s="52" t="s">
        <v>182</v>
      </c>
      <c r="J197" s="55">
        <f>(J36*1250)+(J41*1750)+(J43*1750)+(J50*500)+(SUM(J54:J56)*500)-2250</f>
        <v>7750</v>
      </c>
      <c r="K197" s="55">
        <f>(K36*1250)+(K41*1750)+(K43*1750)+(K50*500)+(SUM(K54:K56)*500)</f>
        <v>1250</v>
      </c>
      <c r="L197" s="55">
        <f t="shared" ref="L197:N197" si="55">(L36*1250)+(L41*1750)+(L43*1750)+(L50*500)+(SUM(L54:L56)*500)</f>
        <v>0</v>
      </c>
      <c r="M197" s="55">
        <f t="shared" si="55"/>
        <v>500</v>
      </c>
      <c r="N197" s="55">
        <f t="shared" si="55"/>
        <v>0</v>
      </c>
      <c r="O197" s="50">
        <f t="shared" si="42"/>
        <v>9500</v>
      </c>
    </row>
    <row r="198" spans="1:16" x14ac:dyDescent="0.25">
      <c r="A198" s="51">
        <v>60011</v>
      </c>
      <c r="B198" s="52" t="s">
        <v>222</v>
      </c>
      <c r="C198" s="85">
        <f t="shared" si="46"/>
        <v>0</v>
      </c>
      <c r="D198" s="49" t="s">
        <v>9</v>
      </c>
      <c r="E198" s="52" t="s">
        <v>186</v>
      </c>
      <c r="I198" s="52" t="s">
        <v>183</v>
      </c>
      <c r="J198" s="55">
        <f>(J36+J41+J43+J50+J54+J55+J56)*125+125*3</f>
        <v>1375</v>
      </c>
      <c r="K198" s="55">
        <f>(K36+K41+K43+K50+K54+K55+K56)*125</f>
        <v>125</v>
      </c>
      <c r="L198" s="55">
        <f t="shared" ref="L198:N198" si="56">(L36+L41+L43+L50+L54+L55+L56)*125</f>
        <v>0</v>
      </c>
      <c r="M198" s="55">
        <f>(M36+M41+M43+M50+M54+M55+M56)*125*0</f>
        <v>0</v>
      </c>
      <c r="N198" s="55">
        <f t="shared" si="56"/>
        <v>0</v>
      </c>
      <c r="O198" s="50">
        <f t="shared" si="42"/>
        <v>1500</v>
      </c>
    </row>
    <row r="199" spans="1:16" x14ac:dyDescent="0.25">
      <c r="A199" s="51">
        <v>60011</v>
      </c>
      <c r="B199" s="52" t="s">
        <v>222</v>
      </c>
      <c r="C199" s="85">
        <f t="shared" si="46"/>
        <v>0</v>
      </c>
      <c r="D199" s="49" t="s">
        <v>9</v>
      </c>
      <c r="E199" s="52" t="s">
        <v>186</v>
      </c>
      <c r="I199" s="52" t="s">
        <v>184</v>
      </c>
      <c r="J199" s="55">
        <f>(30*3*3)*30</f>
        <v>8100</v>
      </c>
      <c r="K199" s="55"/>
      <c r="L199" s="55"/>
      <c r="M199" s="55"/>
      <c r="N199" s="55"/>
      <c r="O199" s="50">
        <f t="shared" si="42"/>
        <v>8100</v>
      </c>
    </row>
    <row r="200" spans="1:16" x14ac:dyDescent="0.25">
      <c r="A200" s="56">
        <v>61251</v>
      </c>
      <c r="B200" s="57" t="s">
        <v>185</v>
      </c>
      <c r="C200" s="85">
        <f t="shared" si="46"/>
        <v>0</v>
      </c>
      <c r="D200" s="49" t="s">
        <v>9</v>
      </c>
      <c r="E200" s="52" t="s">
        <v>186</v>
      </c>
      <c r="I200" s="57" t="s">
        <v>187</v>
      </c>
      <c r="J200" s="58">
        <v>5000</v>
      </c>
      <c r="K200" s="58"/>
      <c r="L200" s="58"/>
      <c r="M200" s="58"/>
      <c r="N200" s="58"/>
      <c r="O200" s="50">
        <f t="shared" si="42"/>
        <v>5000</v>
      </c>
    </row>
    <row r="201" spans="1:16" x14ac:dyDescent="0.25">
      <c r="A201" s="98"/>
      <c r="B201" s="98"/>
      <c r="C201" s="98"/>
      <c r="D201" s="98"/>
      <c r="E201" s="98"/>
      <c r="H201" s="93" t="s">
        <v>223</v>
      </c>
      <c r="I201" s="94"/>
      <c r="J201" s="92">
        <f t="shared" ref="J201:K201" si="57">SUM(J181:J200)</f>
        <v>252358.25338599994</v>
      </c>
      <c r="K201" s="92">
        <f t="shared" si="57"/>
        <v>42982.434273864055</v>
      </c>
      <c r="L201" s="92">
        <f t="shared" ref="L201:O201" si="58">SUM(L181:L200)</f>
        <v>0</v>
      </c>
      <c r="M201" s="92">
        <f t="shared" si="58"/>
        <v>13116.762500000001</v>
      </c>
      <c r="N201" s="92">
        <f t="shared" si="58"/>
        <v>0</v>
      </c>
      <c r="O201" s="92">
        <f t="shared" si="58"/>
        <v>308457.45015986398</v>
      </c>
    </row>
    <row r="202" spans="1:16" ht="16.5" thickBot="1" x14ac:dyDescent="0.3">
      <c r="H202" s="2"/>
      <c r="J202" s="104"/>
      <c r="K202" s="104"/>
      <c r="L202" s="104"/>
      <c r="M202" s="104"/>
      <c r="N202" s="104"/>
      <c r="O202" s="104"/>
    </row>
    <row r="203" spans="1:16" ht="16.5" thickBot="1" x14ac:dyDescent="0.3">
      <c r="A203" s="68" t="s">
        <v>5</v>
      </c>
      <c r="B203" s="68" t="s">
        <v>91</v>
      </c>
      <c r="C203" s="68" t="s">
        <v>92</v>
      </c>
      <c r="D203" s="68" t="s">
        <v>4</v>
      </c>
      <c r="E203" s="68" t="s">
        <v>93</v>
      </c>
      <c r="G203" s="100" t="s">
        <v>224</v>
      </c>
      <c r="H203" s="105"/>
      <c r="I203" s="82"/>
      <c r="J203" s="101" t="str">
        <f>J20</f>
        <v>Operating</v>
      </c>
      <c r="K203" s="101" t="str">
        <f t="shared" ref="K203:O203" si="59">K20</f>
        <v>SPED</v>
      </c>
      <c r="L203" s="101" t="str">
        <f t="shared" si="59"/>
        <v>NSLP</v>
      </c>
      <c r="M203" s="101" t="str">
        <f t="shared" si="59"/>
        <v>Title(s)</v>
      </c>
      <c r="N203" s="101" t="str">
        <f t="shared" si="59"/>
        <v>Other</v>
      </c>
      <c r="O203" s="101" t="str">
        <f t="shared" si="59"/>
        <v>Total</v>
      </c>
    </row>
    <row r="204" spans="1:16" x14ac:dyDescent="0.25">
      <c r="A204" s="106">
        <v>62643</v>
      </c>
      <c r="B204" s="107" t="s">
        <v>225</v>
      </c>
      <c r="C204" s="85">
        <f t="shared" ref="C204:C211" si="60">$C$1</f>
        <v>0</v>
      </c>
      <c r="D204" s="49" t="s">
        <v>9</v>
      </c>
      <c r="E204" s="52" t="s">
        <v>186</v>
      </c>
      <c r="I204" s="107" t="s">
        <v>226</v>
      </c>
      <c r="J204" s="102">
        <f>J17*245</f>
        <v>37975</v>
      </c>
      <c r="K204" s="102"/>
      <c r="L204" s="102"/>
      <c r="M204" s="102"/>
      <c r="N204" s="102"/>
      <c r="O204" s="50">
        <f t="shared" ref="O204:O211" si="61">SUM(J204:N204)</f>
        <v>37975</v>
      </c>
    </row>
    <row r="205" spans="1:16" x14ac:dyDescent="0.25">
      <c r="A205" s="106">
        <v>62643</v>
      </c>
      <c r="B205" s="107" t="s">
        <v>225</v>
      </c>
      <c r="C205" s="85">
        <f t="shared" si="60"/>
        <v>0</v>
      </c>
      <c r="D205" s="52" t="s">
        <v>36</v>
      </c>
      <c r="E205" s="52" t="s">
        <v>186</v>
      </c>
      <c r="I205" s="107" t="s">
        <v>227</v>
      </c>
      <c r="J205" s="102"/>
      <c r="K205" s="102"/>
      <c r="L205" s="102"/>
      <c r="M205" s="102"/>
      <c r="N205" s="102"/>
      <c r="O205" s="50">
        <f t="shared" si="61"/>
        <v>0</v>
      </c>
    </row>
    <row r="206" spans="1:16" x14ac:dyDescent="0.25">
      <c r="A206" s="108">
        <v>62644</v>
      </c>
      <c r="B206" s="109" t="s">
        <v>228</v>
      </c>
      <c r="C206" s="85">
        <f t="shared" si="60"/>
        <v>0</v>
      </c>
      <c r="D206" s="49" t="s">
        <v>9</v>
      </c>
      <c r="E206" s="52" t="s">
        <v>186</v>
      </c>
      <c r="I206" s="109" t="s">
        <v>229</v>
      </c>
      <c r="J206" s="55"/>
      <c r="K206" s="55"/>
      <c r="L206" s="55"/>
      <c r="M206" s="55"/>
      <c r="N206" s="55"/>
      <c r="O206" s="50">
        <f t="shared" si="61"/>
        <v>0</v>
      </c>
    </row>
    <row r="207" spans="1:16" x14ac:dyDescent="0.25">
      <c r="A207" s="108">
        <v>62481</v>
      </c>
      <c r="B207" s="107" t="s">
        <v>225</v>
      </c>
      <c r="C207" s="85">
        <f t="shared" si="60"/>
        <v>0</v>
      </c>
      <c r="D207" s="49" t="s">
        <v>9</v>
      </c>
      <c r="E207" s="52" t="s">
        <v>186</v>
      </c>
      <c r="I207" s="110" t="s">
        <v>230</v>
      </c>
      <c r="J207" s="55">
        <v>0</v>
      </c>
      <c r="K207" s="55"/>
      <c r="L207" s="55"/>
      <c r="M207" s="55"/>
      <c r="N207" s="55"/>
      <c r="O207" s="50">
        <f t="shared" si="61"/>
        <v>0</v>
      </c>
    </row>
    <row r="208" spans="1:16" x14ac:dyDescent="0.25">
      <c r="A208" s="108">
        <v>62619</v>
      </c>
      <c r="B208" s="107" t="s">
        <v>225</v>
      </c>
      <c r="C208" s="85">
        <f t="shared" si="60"/>
        <v>0</v>
      </c>
      <c r="D208" s="49" t="s">
        <v>9</v>
      </c>
      <c r="E208" s="52" t="s">
        <v>186</v>
      </c>
      <c r="I208" s="110" t="s">
        <v>231</v>
      </c>
      <c r="J208" s="55">
        <f>65*J17</f>
        <v>10075</v>
      </c>
      <c r="K208" s="55"/>
      <c r="L208" s="55"/>
      <c r="M208" s="55"/>
      <c r="N208" s="55"/>
      <c r="O208" s="50">
        <f t="shared" si="61"/>
        <v>10075</v>
      </c>
    </row>
    <row r="209" spans="1:15" x14ac:dyDescent="0.25">
      <c r="A209" s="108">
        <v>62619</v>
      </c>
      <c r="B209" s="107" t="s">
        <v>225</v>
      </c>
      <c r="C209" s="85">
        <f t="shared" si="60"/>
        <v>0</v>
      </c>
      <c r="D209" s="52" t="s">
        <v>36</v>
      </c>
      <c r="E209" s="52" t="s">
        <v>186</v>
      </c>
      <c r="I209" s="110" t="s">
        <v>232</v>
      </c>
      <c r="J209" s="55">
        <f>40*J18</f>
        <v>0</v>
      </c>
      <c r="K209" s="55"/>
      <c r="L209" s="55"/>
      <c r="M209" s="55"/>
      <c r="N209" s="55"/>
      <c r="O209" s="50">
        <f t="shared" si="61"/>
        <v>0</v>
      </c>
    </row>
    <row r="210" spans="1:15" x14ac:dyDescent="0.25">
      <c r="A210" s="108">
        <v>62611</v>
      </c>
      <c r="B210" s="107" t="s">
        <v>225</v>
      </c>
      <c r="C210" s="85">
        <f t="shared" si="60"/>
        <v>0</v>
      </c>
      <c r="D210" s="49" t="s">
        <v>9</v>
      </c>
      <c r="E210" s="52" t="s">
        <v>186</v>
      </c>
      <c r="I210" s="110" t="s">
        <v>233</v>
      </c>
      <c r="J210" s="55">
        <f>7*J17</f>
        <v>1085</v>
      </c>
      <c r="K210" s="55"/>
      <c r="L210" s="55"/>
      <c r="M210" s="55"/>
      <c r="N210" s="55"/>
      <c r="O210" s="50">
        <f t="shared" si="61"/>
        <v>1085</v>
      </c>
    </row>
    <row r="211" spans="1:15" x14ac:dyDescent="0.25">
      <c r="A211" s="111">
        <v>62616</v>
      </c>
      <c r="B211" s="107" t="s">
        <v>225</v>
      </c>
      <c r="C211" s="85">
        <f t="shared" si="60"/>
        <v>0</v>
      </c>
      <c r="D211" s="52" t="s">
        <v>27</v>
      </c>
      <c r="E211" s="52" t="s">
        <v>186</v>
      </c>
      <c r="I211" s="112" t="s">
        <v>234</v>
      </c>
      <c r="J211" s="58">
        <f>175*J21</f>
        <v>0</v>
      </c>
      <c r="K211" s="58">
        <f>175*K21</f>
        <v>2975</v>
      </c>
      <c r="L211" s="58"/>
      <c r="M211" s="58"/>
      <c r="N211" s="58"/>
      <c r="O211" s="50">
        <f t="shared" si="61"/>
        <v>2975</v>
      </c>
    </row>
    <row r="212" spans="1:15" x14ac:dyDescent="0.25">
      <c r="A212" s="98"/>
      <c r="B212" s="98"/>
      <c r="C212" s="98"/>
      <c r="D212" s="98"/>
      <c r="E212" s="98"/>
      <c r="H212" s="93" t="s">
        <v>47</v>
      </c>
      <c r="I212" s="113"/>
      <c r="J212" s="92">
        <f t="shared" ref="J212:O212" si="62">SUM(J204:J211)</f>
        <v>49135</v>
      </c>
      <c r="K212" s="92">
        <f t="shared" si="62"/>
        <v>2975</v>
      </c>
      <c r="L212" s="92">
        <f t="shared" si="62"/>
        <v>0</v>
      </c>
      <c r="M212" s="92">
        <f t="shared" si="62"/>
        <v>0</v>
      </c>
      <c r="N212" s="92">
        <f t="shared" si="62"/>
        <v>0</v>
      </c>
      <c r="O212" s="92">
        <f t="shared" si="62"/>
        <v>52110</v>
      </c>
    </row>
    <row r="213" spans="1:15" x14ac:dyDescent="0.25">
      <c r="J213" s="99"/>
      <c r="K213" s="99"/>
      <c r="L213" s="99"/>
      <c r="M213" s="99"/>
      <c r="N213" s="99"/>
      <c r="O213" s="99"/>
    </row>
    <row r="214" spans="1:15" x14ac:dyDescent="0.25">
      <c r="A214" s="81"/>
      <c r="B214" s="82"/>
      <c r="C214" s="82"/>
      <c r="D214" s="82"/>
      <c r="E214" s="82"/>
      <c r="G214" s="100" t="s">
        <v>235</v>
      </c>
      <c r="H214" s="105"/>
      <c r="I214" s="82"/>
      <c r="J214" s="101" t="str">
        <f>J20</f>
        <v>Operating</v>
      </c>
      <c r="K214" s="101" t="str">
        <f t="shared" ref="K214:O214" si="63">K20</f>
        <v>SPED</v>
      </c>
      <c r="L214" s="101" t="str">
        <f t="shared" si="63"/>
        <v>NSLP</v>
      </c>
      <c r="M214" s="101" t="str">
        <f t="shared" si="63"/>
        <v>Title(s)</v>
      </c>
      <c r="N214" s="101" t="str">
        <f t="shared" si="63"/>
        <v>Other</v>
      </c>
      <c r="O214" s="101" t="str">
        <f t="shared" si="63"/>
        <v>Total</v>
      </c>
    </row>
    <row r="215" spans="1:15" x14ac:dyDescent="0.25">
      <c r="A215" s="106">
        <v>62617</v>
      </c>
      <c r="B215" s="114" t="s">
        <v>236</v>
      </c>
      <c r="C215" s="85">
        <f t="shared" ref="C215:C220" si="64">$C$1</f>
        <v>0</v>
      </c>
      <c r="D215" s="49" t="s">
        <v>9</v>
      </c>
      <c r="E215" s="52" t="s">
        <v>114</v>
      </c>
      <c r="I215" s="114" t="s">
        <v>237</v>
      </c>
      <c r="J215" s="102">
        <f>30*J17</f>
        <v>4650</v>
      </c>
      <c r="K215" s="102"/>
      <c r="L215" s="102"/>
      <c r="M215" s="102"/>
      <c r="N215" s="102"/>
      <c r="O215" s="50">
        <f t="shared" ref="O215:O220" si="65">SUM(J215:N215)</f>
        <v>4650</v>
      </c>
    </row>
    <row r="216" spans="1:15" x14ac:dyDescent="0.25">
      <c r="A216" s="106">
        <v>62617</v>
      </c>
      <c r="B216" s="114" t="s">
        <v>236</v>
      </c>
      <c r="C216" s="85">
        <f t="shared" si="64"/>
        <v>0</v>
      </c>
      <c r="D216" s="52" t="s">
        <v>36</v>
      </c>
      <c r="E216" s="52" t="s">
        <v>114</v>
      </c>
      <c r="I216" s="114" t="s">
        <v>238</v>
      </c>
      <c r="J216" s="102">
        <f>30*J18</f>
        <v>0</v>
      </c>
      <c r="K216" s="102"/>
      <c r="L216" s="102"/>
      <c r="M216" s="102"/>
      <c r="N216" s="102"/>
      <c r="O216" s="50">
        <f t="shared" si="65"/>
        <v>0</v>
      </c>
    </row>
    <row r="217" spans="1:15" x14ac:dyDescent="0.25">
      <c r="A217" s="108">
        <v>62611</v>
      </c>
      <c r="B217" s="114" t="s">
        <v>236</v>
      </c>
      <c r="C217" s="85">
        <f t="shared" si="64"/>
        <v>0</v>
      </c>
      <c r="D217" s="49" t="s">
        <v>9</v>
      </c>
      <c r="E217" s="52" t="s">
        <v>114</v>
      </c>
      <c r="I217" s="110" t="s">
        <v>233</v>
      </c>
      <c r="J217" s="55">
        <f>(3*J17)</f>
        <v>465</v>
      </c>
      <c r="K217" s="55"/>
      <c r="L217" s="55"/>
      <c r="M217" s="55"/>
      <c r="N217" s="55"/>
      <c r="O217" s="50">
        <f t="shared" si="65"/>
        <v>465</v>
      </c>
    </row>
    <row r="218" spans="1:15" x14ac:dyDescent="0.25">
      <c r="A218" s="108">
        <v>62618</v>
      </c>
      <c r="B218" s="114" t="s">
        <v>236</v>
      </c>
      <c r="C218" s="85">
        <f t="shared" si="64"/>
        <v>0</v>
      </c>
      <c r="D218" s="49" t="s">
        <v>9</v>
      </c>
      <c r="E218" s="52" t="s">
        <v>114</v>
      </c>
      <c r="I218" s="110" t="s">
        <v>239</v>
      </c>
      <c r="J218" s="55">
        <f>8*J17</f>
        <v>1240</v>
      </c>
      <c r="K218" s="55"/>
      <c r="L218" s="55"/>
      <c r="M218" s="55"/>
      <c r="N218" s="55"/>
      <c r="O218" s="50">
        <f t="shared" si="65"/>
        <v>1240</v>
      </c>
    </row>
    <row r="219" spans="1:15" x14ac:dyDescent="0.25">
      <c r="A219" s="108">
        <v>63113</v>
      </c>
      <c r="B219" s="114" t="s">
        <v>240</v>
      </c>
      <c r="C219" s="85">
        <f t="shared" si="64"/>
        <v>0</v>
      </c>
      <c r="D219" s="49" t="s">
        <v>9</v>
      </c>
      <c r="E219" s="114" t="s">
        <v>135</v>
      </c>
      <c r="I219" s="110" t="s">
        <v>241</v>
      </c>
      <c r="J219" s="55">
        <v>0</v>
      </c>
      <c r="K219" s="55"/>
      <c r="L219" s="55"/>
      <c r="M219" s="55"/>
      <c r="N219" s="55"/>
      <c r="O219" s="50">
        <f t="shared" si="65"/>
        <v>0</v>
      </c>
    </row>
    <row r="220" spans="1:15" x14ac:dyDescent="0.25">
      <c r="A220" s="111">
        <v>62612</v>
      </c>
      <c r="B220" s="114" t="s">
        <v>236</v>
      </c>
      <c r="C220" s="85">
        <f t="shared" si="64"/>
        <v>0</v>
      </c>
      <c r="D220" s="49" t="s">
        <v>9</v>
      </c>
      <c r="E220" s="114" t="s">
        <v>242</v>
      </c>
      <c r="I220" s="112" t="s">
        <v>243</v>
      </c>
      <c r="J220" s="58">
        <f>45*J17</f>
        <v>6975</v>
      </c>
      <c r="K220" s="58"/>
      <c r="L220" s="58"/>
      <c r="M220" s="58"/>
      <c r="N220" s="58"/>
      <c r="O220" s="50">
        <f t="shared" si="65"/>
        <v>6975</v>
      </c>
    </row>
    <row r="221" spans="1:15" x14ac:dyDescent="0.25">
      <c r="A221" s="98"/>
      <c r="B221" s="98"/>
      <c r="C221" s="98"/>
      <c r="D221" s="98"/>
      <c r="E221" s="98"/>
      <c r="H221" s="93" t="s">
        <v>47</v>
      </c>
      <c r="I221" s="113"/>
      <c r="J221" s="92">
        <f t="shared" ref="J221:O221" si="66">SUM(J215:J220)</f>
        <v>13330</v>
      </c>
      <c r="K221" s="92">
        <f t="shared" si="66"/>
        <v>0</v>
      </c>
      <c r="L221" s="92">
        <f t="shared" si="66"/>
        <v>0</v>
      </c>
      <c r="M221" s="92">
        <f t="shared" si="66"/>
        <v>0</v>
      </c>
      <c r="N221" s="92">
        <f t="shared" si="66"/>
        <v>0</v>
      </c>
      <c r="O221" s="92">
        <f t="shared" si="66"/>
        <v>13330</v>
      </c>
    </row>
    <row r="222" spans="1:15" x14ac:dyDescent="0.25">
      <c r="J222" s="99"/>
      <c r="K222" s="99"/>
      <c r="L222" s="99"/>
      <c r="M222" s="99"/>
      <c r="N222" s="99"/>
      <c r="O222" s="99"/>
    </row>
    <row r="223" spans="1:15" x14ac:dyDescent="0.25">
      <c r="A223" s="81"/>
      <c r="B223" s="82"/>
      <c r="C223" s="82"/>
      <c r="D223" s="82"/>
      <c r="E223" s="82"/>
      <c r="G223" s="100" t="s">
        <v>244</v>
      </c>
      <c r="H223" s="105"/>
      <c r="I223" s="82"/>
      <c r="J223" s="101" t="str">
        <f>J20</f>
        <v>Operating</v>
      </c>
      <c r="K223" s="101" t="str">
        <f t="shared" ref="K223:O223" si="67">K20</f>
        <v>SPED</v>
      </c>
      <c r="L223" s="101" t="str">
        <f t="shared" si="67"/>
        <v>NSLP</v>
      </c>
      <c r="M223" s="101" t="str">
        <f t="shared" si="67"/>
        <v>Title(s)</v>
      </c>
      <c r="N223" s="101" t="str">
        <f t="shared" si="67"/>
        <v>Other</v>
      </c>
      <c r="O223" s="101" t="str">
        <f t="shared" si="67"/>
        <v>Total</v>
      </c>
    </row>
    <row r="224" spans="1:15" x14ac:dyDescent="0.25">
      <c r="A224" s="106">
        <v>63114</v>
      </c>
      <c r="B224" s="114" t="s">
        <v>245</v>
      </c>
      <c r="C224" s="85">
        <f t="shared" ref="C224:C232" si="68">$C$1</f>
        <v>0</v>
      </c>
      <c r="D224" s="49" t="s">
        <v>9</v>
      </c>
      <c r="E224" s="114" t="s">
        <v>246</v>
      </c>
      <c r="I224" s="114" t="s">
        <v>247</v>
      </c>
      <c r="J224" s="102">
        <v>10000</v>
      </c>
      <c r="K224" s="102"/>
      <c r="L224" s="102"/>
      <c r="M224" s="102"/>
      <c r="N224" s="102"/>
      <c r="O224" s="102">
        <f>SUM(J224:N224)</f>
        <v>10000</v>
      </c>
    </row>
    <row r="225" spans="1:15" x14ac:dyDescent="0.25">
      <c r="A225" s="106">
        <v>63114</v>
      </c>
      <c r="B225" s="114" t="s">
        <v>245</v>
      </c>
      <c r="C225" s="85">
        <f t="shared" si="68"/>
        <v>0</v>
      </c>
      <c r="D225" s="52" t="s">
        <v>36</v>
      </c>
      <c r="E225" s="114" t="s">
        <v>246</v>
      </c>
      <c r="I225" s="114" t="s">
        <v>248</v>
      </c>
      <c r="J225" s="102"/>
      <c r="K225" s="102"/>
      <c r="L225" s="102"/>
      <c r="M225" s="102"/>
      <c r="N225" s="102"/>
      <c r="O225" s="102">
        <f t="shared" ref="O225:O232" si="69">SUM(J225:N225)</f>
        <v>0</v>
      </c>
    </row>
    <row r="226" spans="1:15" x14ac:dyDescent="0.25">
      <c r="A226" s="108">
        <v>63128</v>
      </c>
      <c r="B226" s="110" t="s">
        <v>245</v>
      </c>
      <c r="C226" s="85">
        <f t="shared" si="68"/>
        <v>0</v>
      </c>
      <c r="D226" s="52" t="s">
        <v>27</v>
      </c>
      <c r="E226" s="110" t="s">
        <v>135</v>
      </c>
      <c r="I226" s="110" t="s">
        <v>249</v>
      </c>
      <c r="J226" s="55">
        <v>0</v>
      </c>
      <c r="K226" s="55">
        <f>(425*J17)</f>
        <v>65875</v>
      </c>
      <c r="L226" s="55"/>
      <c r="M226" s="55"/>
      <c r="N226" s="55"/>
      <c r="O226" s="102">
        <f t="shared" si="69"/>
        <v>65875</v>
      </c>
    </row>
    <row r="227" spans="1:15" x14ac:dyDescent="0.25">
      <c r="A227" s="108">
        <v>63111</v>
      </c>
      <c r="B227" s="110" t="s">
        <v>245</v>
      </c>
      <c r="C227" s="85">
        <f t="shared" si="68"/>
        <v>0</v>
      </c>
      <c r="D227" s="49" t="s">
        <v>9</v>
      </c>
      <c r="E227" s="52" t="s">
        <v>186</v>
      </c>
      <c r="I227" s="110" t="s">
        <v>250</v>
      </c>
      <c r="J227" s="55">
        <f t="shared" ref="J227:K227" si="70">(185*11*J36)-J179</f>
        <v>16280</v>
      </c>
      <c r="K227" s="55">
        <f t="shared" si="70"/>
        <v>2035</v>
      </c>
      <c r="L227" s="55"/>
      <c r="M227" s="55"/>
      <c r="N227" s="55"/>
      <c r="O227" s="102">
        <f t="shared" si="69"/>
        <v>18315</v>
      </c>
    </row>
    <row r="228" spans="1:15" x14ac:dyDescent="0.25">
      <c r="A228" s="106">
        <v>63114</v>
      </c>
      <c r="B228" s="114" t="s">
        <v>245</v>
      </c>
      <c r="C228" s="85">
        <f t="shared" si="68"/>
        <v>0</v>
      </c>
      <c r="D228" s="49" t="s">
        <v>9</v>
      </c>
      <c r="E228" s="114" t="s">
        <v>246</v>
      </c>
      <c r="I228" s="110" t="s">
        <v>251</v>
      </c>
      <c r="J228" s="55">
        <v>0</v>
      </c>
      <c r="K228" s="55"/>
      <c r="L228" s="55"/>
      <c r="M228" s="55"/>
      <c r="N228" s="55"/>
      <c r="O228" s="102">
        <f t="shared" si="69"/>
        <v>0</v>
      </c>
    </row>
    <row r="229" spans="1:15" x14ac:dyDescent="0.25">
      <c r="A229" s="106">
        <v>63114</v>
      </c>
      <c r="B229" s="114" t="s">
        <v>245</v>
      </c>
      <c r="C229" s="85">
        <f t="shared" si="68"/>
        <v>0</v>
      </c>
      <c r="D229" s="52" t="s">
        <v>24</v>
      </c>
      <c r="E229" s="114" t="s">
        <v>246</v>
      </c>
      <c r="I229" s="110" t="s">
        <v>252</v>
      </c>
      <c r="J229" s="55">
        <v>0</v>
      </c>
      <c r="K229" s="55"/>
      <c r="L229" s="55"/>
      <c r="M229" s="55">
        <f>8000*10</f>
        <v>80000</v>
      </c>
      <c r="N229" s="55"/>
      <c r="O229" s="102">
        <f t="shared" si="69"/>
        <v>80000</v>
      </c>
    </row>
    <row r="230" spans="1:15" x14ac:dyDescent="0.25">
      <c r="A230" s="108">
        <v>63123</v>
      </c>
      <c r="B230" s="110" t="s">
        <v>253</v>
      </c>
      <c r="C230" s="85">
        <f t="shared" si="68"/>
        <v>0</v>
      </c>
      <c r="D230" s="49" t="s">
        <v>9</v>
      </c>
      <c r="E230" s="114" t="s">
        <v>254</v>
      </c>
      <c r="I230" s="110" t="s">
        <v>255</v>
      </c>
      <c r="J230" s="55">
        <v>0</v>
      </c>
      <c r="K230" s="55"/>
      <c r="L230" s="55"/>
      <c r="M230" s="55"/>
      <c r="N230" s="55"/>
      <c r="O230" s="102">
        <f t="shared" si="69"/>
        <v>0</v>
      </c>
    </row>
    <row r="231" spans="1:15" x14ac:dyDescent="0.25">
      <c r="A231" s="108">
        <v>63121</v>
      </c>
      <c r="B231" s="110" t="s">
        <v>256</v>
      </c>
      <c r="C231" s="85">
        <f t="shared" si="68"/>
        <v>0</v>
      </c>
      <c r="D231" s="49" t="s">
        <v>9</v>
      </c>
      <c r="E231" s="110" t="s">
        <v>257</v>
      </c>
      <c r="I231" s="110" t="s">
        <v>258</v>
      </c>
      <c r="J231" s="55">
        <v>0</v>
      </c>
      <c r="K231" s="55"/>
      <c r="L231" s="55"/>
      <c r="M231" s="55"/>
      <c r="N231" s="55"/>
      <c r="O231" s="102">
        <f t="shared" si="69"/>
        <v>0</v>
      </c>
    </row>
    <row r="232" spans="1:15" x14ac:dyDescent="0.25">
      <c r="A232" s="111">
        <v>63114</v>
      </c>
      <c r="B232" s="112" t="s">
        <v>245</v>
      </c>
      <c r="C232" s="85">
        <f t="shared" si="68"/>
        <v>0</v>
      </c>
      <c r="D232" s="52" t="s">
        <v>36</v>
      </c>
      <c r="E232" s="114" t="s">
        <v>246</v>
      </c>
      <c r="I232" s="112" t="s">
        <v>259</v>
      </c>
      <c r="J232" s="58">
        <f>J68*0.005</f>
        <v>7574.0749999999998</v>
      </c>
      <c r="K232" s="58"/>
      <c r="L232" s="58"/>
      <c r="M232" s="58">
        <f>2596.59+1446+3353</f>
        <v>7395.59</v>
      </c>
      <c r="N232" s="58"/>
      <c r="O232" s="102">
        <f t="shared" si="69"/>
        <v>14969.665000000001</v>
      </c>
    </row>
    <row r="233" spans="1:15" x14ac:dyDescent="0.25">
      <c r="A233" s="98"/>
      <c r="B233" s="98"/>
      <c r="C233" s="98"/>
      <c r="D233" s="98"/>
      <c r="E233" s="98"/>
      <c r="H233" s="115" t="s">
        <v>47</v>
      </c>
      <c r="I233" s="113"/>
      <c r="J233" s="92">
        <f t="shared" ref="J233:O233" si="71">SUM(J224:J232)</f>
        <v>33854.074999999997</v>
      </c>
      <c r="K233" s="92">
        <f t="shared" si="71"/>
        <v>67910</v>
      </c>
      <c r="L233" s="92">
        <f t="shared" si="71"/>
        <v>0</v>
      </c>
      <c r="M233" s="92">
        <f t="shared" si="71"/>
        <v>87395.59</v>
      </c>
      <c r="N233" s="92">
        <f t="shared" si="71"/>
        <v>0</v>
      </c>
      <c r="O233" s="92">
        <f t="shared" si="71"/>
        <v>189159.66500000001</v>
      </c>
    </row>
    <row r="234" spans="1:15" x14ac:dyDescent="0.25">
      <c r="H234" s="116"/>
      <c r="J234" s="99"/>
      <c r="K234" s="99"/>
      <c r="L234" s="99"/>
      <c r="M234" s="99"/>
      <c r="N234" s="99"/>
      <c r="O234" s="99"/>
    </row>
    <row r="235" spans="1:15" x14ac:dyDescent="0.25">
      <c r="A235" s="81"/>
      <c r="B235" s="82"/>
      <c r="C235" s="82"/>
      <c r="D235" s="82"/>
      <c r="E235" s="82"/>
      <c r="G235" s="100" t="s">
        <v>260</v>
      </c>
      <c r="H235" s="105"/>
      <c r="I235" s="82"/>
      <c r="J235" s="101" t="str">
        <f>J20</f>
        <v>Operating</v>
      </c>
      <c r="K235" s="101" t="str">
        <f t="shared" ref="K235:O235" si="72">K20</f>
        <v>SPED</v>
      </c>
      <c r="L235" s="101" t="str">
        <f t="shared" si="72"/>
        <v>NSLP</v>
      </c>
      <c r="M235" s="101" t="str">
        <f t="shared" si="72"/>
        <v>Title(s)</v>
      </c>
      <c r="N235" s="101" t="str">
        <f t="shared" si="72"/>
        <v>Other</v>
      </c>
      <c r="O235" s="101" t="str">
        <f t="shared" si="72"/>
        <v>Total</v>
      </c>
    </row>
    <row r="236" spans="1:15" x14ac:dyDescent="0.25">
      <c r="A236" s="106">
        <v>63120</v>
      </c>
      <c r="B236" s="114" t="s">
        <v>261</v>
      </c>
      <c r="C236" s="85">
        <f t="shared" ref="C236:C244" si="73">$C$1</f>
        <v>0</v>
      </c>
      <c r="D236" s="49" t="s">
        <v>9</v>
      </c>
      <c r="E236" s="114" t="s">
        <v>242</v>
      </c>
      <c r="I236" s="114" t="s">
        <v>247</v>
      </c>
      <c r="J236" s="102">
        <v>50000</v>
      </c>
      <c r="K236" s="102"/>
      <c r="L236" s="102"/>
      <c r="M236" s="102"/>
      <c r="N236" s="102"/>
      <c r="O236" s="102">
        <f>SUM(J236:N236)</f>
        <v>50000</v>
      </c>
    </row>
    <row r="237" spans="1:15" x14ac:dyDescent="0.25">
      <c r="A237" s="108">
        <v>63120</v>
      </c>
      <c r="B237" s="110" t="s">
        <v>261</v>
      </c>
      <c r="C237" s="85">
        <f t="shared" si="73"/>
        <v>0</v>
      </c>
      <c r="D237" s="49" t="s">
        <v>9</v>
      </c>
      <c r="E237" s="114" t="s">
        <v>242</v>
      </c>
      <c r="I237" s="110" t="s">
        <v>262</v>
      </c>
      <c r="J237" s="55">
        <v>0</v>
      </c>
      <c r="K237" s="55"/>
      <c r="L237" s="55"/>
      <c r="M237" s="55"/>
      <c r="N237" s="55"/>
      <c r="O237" s="102">
        <f t="shared" ref="O237:O244" si="74">SUM(J237:N237)</f>
        <v>0</v>
      </c>
    </row>
    <row r="238" spans="1:15" x14ac:dyDescent="0.25">
      <c r="A238" s="108">
        <v>63126</v>
      </c>
      <c r="B238" s="110" t="s">
        <v>253</v>
      </c>
      <c r="C238" s="85">
        <f t="shared" si="73"/>
        <v>0</v>
      </c>
      <c r="D238" s="49" t="s">
        <v>9</v>
      </c>
      <c r="E238" s="114" t="s">
        <v>254</v>
      </c>
      <c r="I238" s="110" t="s">
        <v>263</v>
      </c>
      <c r="J238" s="55">
        <f>(495*1.0074*1.015*1.015)*J17</f>
        <v>79628.938822124983</v>
      </c>
      <c r="K238" s="55"/>
      <c r="L238" s="55"/>
      <c r="M238" s="55"/>
      <c r="N238" s="55"/>
      <c r="O238" s="102">
        <f t="shared" si="74"/>
        <v>79628.938822124983</v>
      </c>
    </row>
    <row r="239" spans="1:15" x14ac:dyDescent="0.25">
      <c r="A239" s="108">
        <v>63311</v>
      </c>
      <c r="B239" s="110" t="s">
        <v>253</v>
      </c>
      <c r="C239" s="85">
        <f t="shared" si="73"/>
        <v>0</v>
      </c>
      <c r="D239" s="49" t="s">
        <v>9</v>
      </c>
      <c r="E239" s="114" t="s">
        <v>254</v>
      </c>
      <c r="I239" s="110" t="s">
        <v>264</v>
      </c>
      <c r="J239" s="55">
        <v>6813</v>
      </c>
      <c r="K239" s="55"/>
      <c r="L239" s="55"/>
      <c r="M239" s="55"/>
      <c r="N239" s="55"/>
      <c r="O239" s="102">
        <f t="shared" si="74"/>
        <v>6813</v>
      </c>
    </row>
    <row r="240" spans="1:15" x14ac:dyDescent="0.25">
      <c r="A240" s="108">
        <v>63125</v>
      </c>
      <c r="B240" s="110" t="s">
        <v>261</v>
      </c>
      <c r="C240" s="85">
        <f t="shared" si="73"/>
        <v>0</v>
      </c>
      <c r="D240" s="49" t="s">
        <v>9</v>
      </c>
      <c r="E240" s="114" t="s">
        <v>254</v>
      </c>
      <c r="I240" s="110" t="s">
        <v>265</v>
      </c>
      <c r="J240" s="55">
        <v>33000</v>
      </c>
      <c r="K240" s="55"/>
      <c r="L240" s="55"/>
      <c r="M240" s="55"/>
      <c r="N240" s="55"/>
      <c r="O240" s="102">
        <f t="shared" si="74"/>
        <v>33000</v>
      </c>
    </row>
    <row r="241" spans="1:15" x14ac:dyDescent="0.25">
      <c r="A241" s="108">
        <v>63124</v>
      </c>
      <c r="B241" s="110" t="s">
        <v>261</v>
      </c>
      <c r="C241" s="85">
        <f t="shared" si="73"/>
        <v>0</v>
      </c>
      <c r="D241" s="49" t="s">
        <v>9</v>
      </c>
      <c r="E241" s="110" t="s">
        <v>266</v>
      </c>
      <c r="I241" s="110" t="s">
        <v>267</v>
      </c>
      <c r="J241" s="55">
        <v>12500</v>
      </c>
      <c r="K241" s="55"/>
      <c r="L241" s="55"/>
      <c r="M241" s="55"/>
      <c r="N241" s="55"/>
      <c r="O241" s="102">
        <f t="shared" si="74"/>
        <v>12500</v>
      </c>
    </row>
    <row r="242" spans="1:15" x14ac:dyDescent="0.25">
      <c r="A242" s="108">
        <v>63210</v>
      </c>
      <c r="B242" s="110" t="s">
        <v>268</v>
      </c>
      <c r="C242" s="85">
        <f t="shared" si="73"/>
        <v>0</v>
      </c>
      <c r="D242" s="49" t="s">
        <v>9</v>
      </c>
      <c r="E242" s="114" t="s">
        <v>254</v>
      </c>
      <c r="I242" s="110" t="s">
        <v>269</v>
      </c>
      <c r="J242" s="55">
        <f>(48*J17)+(60*12)</f>
        <v>8160</v>
      </c>
      <c r="K242" s="55"/>
      <c r="L242" s="55"/>
      <c r="M242" s="55"/>
      <c r="N242" s="55"/>
      <c r="O242" s="102">
        <f t="shared" si="74"/>
        <v>8160</v>
      </c>
    </row>
    <row r="243" spans="1:15" x14ac:dyDescent="0.25">
      <c r="A243" s="108">
        <v>63210</v>
      </c>
      <c r="B243" s="110" t="s">
        <v>268</v>
      </c>
      <c r="C243" s="85">
        <f t="shared" si="73"/>
        <v>0</v>
      </c>
      <c r="D243" s="49" t="s">
        <v>9</v>
      </c>
      <c r="E243" s="114" t="s">
        <v>254</v>
      </c>
      <c r="I243" s="110" t="s">
        <v>270</v>
      </c>
      <c r="J243" s="55">
        <v>15000</v>
      </c>
      <c r="K243" s="55"/>
      <c r="L243" s="55"/>
      <c r="M243" s="55"/>
      <c r="N243" s="55"/>
      <c r="O243" s="102">
        <f t="shared" si="74"/>
        <v>15000</v>
      </c>
    </row>
    <row r="244" spans="1:15" x14ac:dyDescent="0.25">
      <c r="A244" s="111">
        <v>63151</v>
      </c>
      <c r="B244" s="112" t="s">
        <v>271</v>
      </c>
      <c r="C244" s="85">
        <f t="shared" si="73"/>
        <v>0</v>
      </c>
      <c r="D244" s="49" t="s">
        <v>9</v>
      </c>
      <c r="E244" s="112" t="s">
        <v>272</v>
      </c>
      <c r="I244" s="112" t="s">
        <v>273</v>
      </c>
      <c r="J244" s="58">
        <f>(J68)*0.0125-8685.33</f>
        <v>10249.8575</v>
      </c>
      <c r="K244" s="58"/>
      <c r="L244" s="58"/>
      <c r="M244" s="58"/>
      <c r="N244" s="58"/>
      <c r="O244" s="102">
        <f t="shared" si="74"/>
        <v>10249.8575</v>
      </c>
    </row>
    <row r="245" spans="1:15" x14ac:dyDescent="0.25">
      <c r="A245" s="98"/>
      <c r="B245" s="98"/>
      <c r="C245" s="98"/>
      <c r="D245" s="98"/>
      <c r="E245" s="98"/>
      <c r="H245" s="93" t="s">
        <v>47</v>
      </c>
      <c r="I245" s="113"/>
      <c r="J245" s="92">
        <f t="shared" ref="J245:O245" si="75">SUM(J236:J244)</f>
        <v>215351.79632212498</v>
      </c>
      <c r="K245" s="92">
        <f t="shared" si="75"/>
        <v>0</v>
      </c>
      <c r="L245" s="92">
        <f t="shared" si="75"/>
        <v>0</v>
      </c>
      <c r="M245" s="92">
        <f t="shared" si="75"/>
        <v>0</v>
      </c>
      <c r="N245" s="92">
        <f t="shared" si="75"/>
        <v>0</v>
      </c>
      <c r="O245" s="92">
        <f t="shared" si="75"/>
        <v>215351.79632212498</v>
      </c>
    </row>
    <row r="246" spans="1:15" x14ac:dyDescent="0.25">
      <c r="J246" s="99"/>
      <c r="K246" s="99"/>
      <c r="L246" s="99"/>
      <c r="M246" s="99"/>
      <c r="N246" s="99"/>
      <c r="O246" s="99"/>
    </row>
    <row r="247" spans="1:15" x14ac:dyDescent="0.25">
      <c r="A247" s="81"/>
      <c r="B247" s="82"/>
      <c r="C247" s="82"/>
      <c r="D247" s="82"/>
      <c r="E247" s="82"/>
      <c r="G247" s="100" t="s">
        <v>274</v>
      </c>
      <c r="H247" s="105"/>
      <c r="I247" s="82"/>
      <c r="J247" s="101" t="str">
        <f>J20</f>
        <v>Operating</v>
      </c>
      <c r="K247" s="101" t="str">
        <f t="shared" ref="K247:O247" si="76">K20</f>
        <v>SPED</v>
      </c>
      <c r="L247" s="101" t="str">
        <f t="shared" si="76"/>
        <v>NSLP</v>
      </c>
      <c r="M247" s="101" t="str">
        <f t="shared" si="76"/>
        <v>Title(s)</v>
      </c>
      <c r="N247" s="101" t="str">
        <f t="shared" si="76"/>
        <v>Other</v>
      </c>
      <c r="O247" s="101" t="str">
        <f t="shared" si="76"/>
        <v>Total</v>
      </c>
    </row>
    <row r="248" spans="1:15" x14ac:dyDescent="0.25">
      <c r="A248" s="106">
        <v>63220</v>
      </c>
      <c r="B248" s="114" t="s">
        <v>275</v>
      </c>
      <c r="C248" s="85">
        <f t="shared" ref="C248:C265" si="77">$C$1</f>
        <v>0</v>
      </c>
      <c r="D248" s="49" t="s">
        <v>9</v>
      </c>
      <c r="E248" s="114" t="s">
        <v>254</v>
      </c>
      <c r="I248" s="114" t="s">
        <v>276</v>
      </c>
      <c r="J248" s="102">
        <f>'27-28'!J248*1.03</f>
        <v>3327.3537150000002</v>
      </c>
      <c r="K248" s="102"/>
      <c r="L248" s="102"/>
      <c r="M248" s="102"/>
      <c r="N248" s="102"/>
      <c r="O248" s="102">
        <f t="shared" ref="O248:O265" si="78">SUM(J248:N248)</f>
        <v>3327.3537150000002</v>
      </c>
    </row>
    <row r="249" spans="1:15" x14ac:dyDescent="0.25">
      <c r="A249" s="106">
        <v>63231</v>
      </c>
      <c r="B249" s="114" t="s">
        <v>277</v>
      </c>
      <c r="C249" s="85">
        <f t="shared" si="77"/>
        <v>0</v>
      </c>
      <c r="D249" s="49" t="s">
        <v>9</v>
      </c>
      <c r="E249" s="114" t="s">
        <v>278</v>
      </c>
      <c r="I249" s="114" t="s">
        <v>279</v>
      </c>
      <c r="J249" s="102">
        <f>'27-28'!J249*1.03</f>
        <v>4428.8225309999998</v>
      </c>
      <c r="K249" s="102"/>
      <c r="L249" s="102"/>
      <c r="M249" s="102"/>
      <c r="N249" s="102"/>
      <c r="O249" s="102">
        <f t="shared" si="78"/>
        <v>4428.8225309999998</v>
      </c>
    </row>
    <row r="250" spans="1:15" x14ac:dyDescent="0.25">
      <c r="A250" s="106">
        <v>63350</v>
      </c>
      <c r="B250" s="114" t="s">
        <v>280</v>
      </c>
      <c r="C250" s="85">
        <f t="shared" si="77"/>
        <v>0</v>
      </c>
      <c r="D250" s="49" t="s">
        <v>9</v>
      </c>
      <c r="E250" s="114" t="s">
        <v>114</v>
      </c>
      <c r="I250" s="110" t="s">
        <v>281</v>
      </c>
      <c r="J250" s="55">
        <v>2000</v>
      </c>
      <c r="K250" s="55"/>
      <c r="L250" s="55"/>
      <c r="M250" s="55"/>
      <c r="N250" s="55"/>
      <c r="O250" s="102">
        <f t="shared" si="78"/>
        <v>2000</v>
      </c>
    </row>
    <row r="251" spans="1:15" x14ac:dyDescent="0.25">
      <c r="A251" s="106">
        <v>63231</v>
      </c>
      <c r="B251" s="114" t="s">
        <v>277</v>
      </c>
      <c r="C251" s="85">
        <f t="shared" si="77"/>
        <v>0</v>
      </c>
      <c r="D251" s="49" t="s">
        <v>9</v>
      </c>
      <c r="E251" s="114" t="s">
        <v>278</v>
      </c>
      <c r="I251" s="110" t="s">
        <v>282</v>
      </c>
      <c r="J251" s="55">
        <v>5500</v>
      </c>
      <c r="K251" s="55"/>
      <c r="L251" s="55"/>
      <c r="M251" s="55"/>
      <c r="N251" s="55"/>
      <c r="O251" s="102">
        <f t="shared" si="78"/>
        <v>5500</v>
      </c>
    </row>
    <row r="252" spans="1:15" x14ac:dyDescent="0.25">
      <c r="A252" s="106">
        <v>64272</v>
      </c>
      <c r="B252" s="114" t="s">
        <v>283</v>
      </c>
      <c r="C252" s="85">
        <f t="shared" si="77"/>
        <v>0</v>
      </c>
      <c r="D252" s="49" t="s">
        <v>9</v>
      </c>
      <c r="E252" s="52" t="s">
        <v>186</v>
      </c>
      <c r="I252" s="110" t="s">
        <v>284</v>
      </c>
      <c r="J252" s="102">
        <f>'27-28'!J252*1.03</f>
        <v>14423.996400000002</v>
      </c>
      <c r="K252" s="55"/>
      <c r="L252" s="55"/>
      <c r="M252" s="55"/>
      <c r="N252" s="55"/>
      <c r="O252" s="102">
        <f t="shared" si="78"/>
        <v>14423.996400000002</v>
      </c>
    </row>
    <row r="253" spans="1:15" x14ac:dyDescent="0.25">
      <c r="A253" s="106">
        <v>62553</v>
      </c>
      <c r="B253" s="114" t="s">
        <v>285</v>
      </c>
      <c r="C253" s="85">
        <f t="shared" si="77"/>
        <v>0</v>
      </c>
      <c r="D253" s="49" t="s">
        <v>9</v>
      </c>
      <c r="E253" s="52" t="s">
        <v>186</v>
      </c>
      <c r="I253" s="110" t="s">
        <v>286</v>
      </c>
      <c r="J253" s="55">
        <f>((2+0.4+1.95)*J17)+7500</f>
        <v>8174.25</v>
      </c>
      <c r="K253" s="55"/>
      <c r="L253" s="55"/>
      <c r="M253" s="55"/>
      <c r="N253" s="55"/>
      <c r="O253" s="102">
        <f t="shared" si="78"/>
        <v>8174.25</v>
      </c>
    </row>
    <row r="254" spans="1:15" x14ac:dyDescent="0.25">
      <c r="A254" s="106">
        <v>65210</v>
      </c>
      <c r="B254" s="114" t="s">
        <v>287</v>
      </c>
      <c r="C254" s="85">
        <f t="shared" si="77"/>
        <v>0</v>
      </c>
      <c r="D254" s="49" t="s">
        <v>9</v>
      </c>
      <c r="E254" s="114" t="s">
        <v>242</v>
      </c>
      <c r="I254" s="110" t="s">
        <v>288</v>
      </c>
      <c r="J254" s="102">
        <f>'27-28'!J254*1.1</f>
        <v>49047.350000000006</v>
      </c>
      <c r="K254" s="55"/>
      <c r="L254" s="55"/>
      <c r="M254" s="55"/>
      <c r="N254" s="55"/>
      <c r="O254" s="102">
        <f t="shared" si="78"/>
        <v>49047.350000000006</v>
      </c>
    </row>
    <row r="255" spans="1:15" x14ac:dyDescent="0.25">
      <c r="A255" s="106">
        <v>64100</v>
      </c>
      <c r="B255" s="114" t="s">
        <v>289</v>
      </c>
      <c r="C255" s="85">
        <f t="shared" si="77"/>
        <v>0</v>
      </c>
      <c r="D255" s="52" t="s">
        <v>39</v>
      </c>
      <c r="E255" s="114" t="s">
        <v>160</v>
      </c>
      <c r="I255" s="110" t="s">
        <v>290</v>
      </c>
      <c r="J255" s="55"/>
      <c r="K255" s="55"/>
      <c r="L255" s="55">
        <f>(40*180*2.5)*1.015*1.015*1.015</f>
        <v>18822.210749999998</v>
      </c>
      <c r="M255" s="55"/>
      <c r="N255" s="55"/>
      <c r="O255" s="102">
        <f t="shared" si="78"/>
        <v>18822.210749999998</v>
      </c>
    </row>
    <row r="256" spans="1:15" x14ac:dyDescent="0.25">
      <c r="A256" s="106">
        <v>64100</v>
      </c>
      <c r="B256" s="114" t="s">
        <v>289</v>
      </c>
      <c r="C256" s="85">
        <f t="shared" si="77"/>
        <v>0</v>
      </c>
      <c r="D256" s="52" t="s">
        <v>39</v>
      </c>
      <c r="E256" s="114" t="s">
        <v>160</v>
      </c>
      <c r="I256" s="110" t="s">
        <v>291</v>
      </c>
      <c r="J256" s="55"/>
      <c r="K256" s="55"/>
      <c r="L256" s="55">
        <f>(60*3.86*180)*1.015*1.015*1.015</f>
        <v>43592.24009699998</v>
      </c>
      <c r="M256" s="55"/>
      <c r="N256" s="55"/>
      <c r="O256" s="102">
        <f t="shared" si="78"/>
        <v>43592.24009699998</v>
      </c>
    </row>
    <row r="257" spans="1:15" x14ac:dyDescent="0.25">
      <c r="A257" s="106">
        <v>63330</v>
      </c>
      <c r="B257" s="114" t="s">
        <v>292</v>
      </c>
      <c r="C257" s="85">
        <f t="shared" si="77"/>
        <v>0</v>
      </c>
      <c r="D257" s="49" t="s">
        <v>9</v>
      </c>
      <c r="E257" s="114" t="s">
        <v>293</v>
      </c>
      <c r="I257" s="110" t="s">
        <v>294</v>
      </c>
      <c r="J257" s="55">
        <v>30000</v>
      </c>
      <c r="K257" s="55"/>
      <c r="L257" s="55"/>
      <c r="M257" s="55"/>
      <c r="N257" s="55"/>
      <c r="O257" s="102">
        <f t="shared" si="78"/>
        <v>30000</v>
      </c>
    </row>
    <row r="258" spans="1:15" x14ac:dyDescent="0.25">
      <c r="A258" s="106">
        <v>61584</v>
      </c>
      <c r="B258" s="114" t="s">
        <v>295</v>
      </c>
      <c r="C258" s="85">
        <f t="shared" si="77"/>
        <v>0</v>
      </c>
      <c r="D258" s="49" t="s">
        <v>9</v>
      </c>
      <c r="E258" s="52" t="s">
        <v>114</v>
      </c>
      <c r="I258" s="110" t="s">
        <v>296</v>
      </c>
      <c r="J258" s="55">
        <v>5500</v>
      </c>
      <c r="K258" s="55"/>
      <c r="L258" s="55"/>
      <c r="M258" s="55">
        <v>2331</v>
      </c>
      <c r="N258" s="55"/>
      <c r="O258" s="102">
        <f t="shared" si="78"/>
        <v>7831</v>
      </c>
    </row>
    <row r="259" spans="1:15" x14ac:dyDescent="0.25">
      <c r="A259" s="106">
        <v>63127</v>
      </c>
      <c r="B259" s="114" t="s">
        <v>261</v>
      </c>
      <c r="C259" s="85">
        <f t="shared" si="77"/>
        <v>0</v>
      </c>
      <c r="D259" s="49" t="s">
        <v>9</v>
      </c>
      <c r="E259" s="114" t="s">
        <v>297</v>
      </c>
      <c r="I259" s="110" t="s">
        <v>298</v>
      </c>
      <c r="J259" s="55">
        <v>900</v>
      </c>
      <c r="K259" s="55"/>
      <c r="L259" s="55"/>
      <c r="M259" s="55"/>
      <c r="N259" s="55"/>
      <c r="O259" s="102">
        <f t="shared" si="78"/>
        <v>900</v>
      </c>
    </row>
    <row r="260" spans="1:15" x14ac:dyDescent="0.25">
      <c r="A260" s="108">
        <v>63610</v>
      </c>
      <c r="B260" s="110" t="s">
        <v>299</v>
      </c>
      <c r="C260" s="85">
        <f t="shared" si="77"/>
        <v>0</v>
      </c>
      <c r="D260" s="49" t="s">
        <v>9</v>
      </c>
      <c r="E260" s="110" t="s">
        <v>300</v>
      </c>
      <c r="I260" s="110" t="s">
        <v>301</v>
      </c>
      <c r="J260" s="55">
        <f>(6*J17)+1500+1000</f>
        <v>3430</v>
      </c>
      <c r="K260" s="55"/>
      <c r="L260" s="55"/>
      <c r="M260" s="55"/>
      <c r="N260" s="55"/>
      <c r="O260" s="102">
        <f t="shared" si="78"/>
        <v>3430</v>
      </c>
    </row>
    <row r="261" spans="1:15" x14ac:dyDescent="0.25">
      <c r="A261" s="108">
        <v>62670</v>
      </c>
      <c r="B261" s="110" t="s">
        <v>236</v>
      </c>
      <c r="C261" s="85">
        <f t="shared" si="77"/>
        <v>0</v>
      </c>
      <c r="D261" s="49" t="s">
        <v>9</v>
      </c>
      <c r="E261" s="110" t="s">
        <v>302</v>
      </c>
      <c r="I261" s="110" t="s">
        <v>303</v>
      </c>
      <c r="J261" s="55">
        <v>0</v>
      </c>
      <c r="K261" s="55"/>
      <c r="L261" s="55"/>
      <c r="M261" s="55"/>
      <c r="N261" s="55"/>
      <c r="O261" s="102">
        <f t="shared" si="78"/>
        <v>0</v>
      </c>
    </row>
    <row r="262" spans="1:15" x14ac:dyDescent="0.25">
      <c r="A262" s="108">
        <v>90002</v>
      </c>
      <c r="B262" s="110" t="s">
        <v>304</v>
      </c>
      <c r="C262" s="85">
        <f t="shared" si="77"/>
        <v>0</v>
      </c>
      <c r="D262" s="49" t="s">
        <v>9</v>
      </c>
      <c r="E262" s="110" t="s">
        <v>305</v>
      </c>
      <c r="I262" s="110" t="s">
        <v>306</v>
      </c>
      <c r="J262" s="55">
        <v>0</v>
      </c>
      <c r="K262" s="55"/>
      <c r="L262" s="55"/>
      <c r="M262" s="55"/>
      <c r="N262" s="55"/>
      <c r="O262" s="102">
        <f t="shared" si="78"/>
        <v>0</v>
      </c>
    </row>
    <row r="263" spans="1:15" x14ac:dyDescent="0.25">
      <c r="A263" s="108">
        <v>69990</v>
      </c>
      <c r="B263" s="110" t="s">
        <v>307</v>
      </c>
      <c r="C263" s="85">
        <f t="shared" si="77"/>
        <v>0</v>
      </c>
      <c r="D263" s="114" t="s">
        <v>33</v>
      </c>
      <c r="E263" s="110" t="s">
        <v>308</v>
      </c>
      <c r="I263" s="110" t="s">
        <v>309</v>
      </c>
      <c r="J263" s="55">
        <f>J80</f>
        <v>0</v>
      </c>
      <c r="K263" s="55"/>
      <c r="L263" s="55"/>
      <c r="M263" s="55"/>
      <c r="N263" s="55"/>
      <c r="O263" s="102">
        <f t="shared" si="78"/>
        <v>0</v>
      </c>
    </row>
    <row r="264" spans="1:15" x14ac:dyDescent="0.25">
      <c r="A264" s="108">
        <v>69900</v>
      </c>
      <c r="B264" s="110" t="s">
        <v>299</v>
      </c>
      <c r="C264" s="85">
        <f t="shared" si="77"/>
        <v>0</v>
      </c>
      <c r="D264" s="49" t="s">
        <v>9</v>
      </c>
      <c r="E264" s="110" t="s">
        <v>300</v>
      </c>
      <c r="I264" s="110" t="s">
        <v>310</v>
      </c>
      <c r="J264" s="55">
        <v>0</v>
      </c>
      <c r="K264" s="55"/>
      <c r="L264" s="55"/>
      <c r="M264" s="55"/>
      <c r="N264" s="55"/>
      <c r="O264" s="102">
        <f t="shared" si="78"/>
        <v>0</v>
      </c>
    </row>
    <row r="265" spans="1:15" x14ac:dyDescent="0.25">
      <c r="A265" s="111">
        <v>69900</v>
      </c>
      <c r="B265" s="112" t="s">
        <v>311</v>
      </c>
      <c r="C265" s="85">
        <f t="shared" si="77"/>
        <v>0</v>
      </c>
      <c r="D265" s="49" t="s">
        <v>9</v>
      </c>
      <c r="E265" s="112" t="s">
        <v>312</v>
      </c>
      <c r="I265" s="112" t="s">
        <v>313</v>
      </c>
      <c r="J265" s="58">
        <f>J68*0</f>
        <v>0</v>
      </c>
      <c r="K265" s="58"/>
      <c r="L265" s="58"/>
      <c r="M265" s="58"/>
      <c r="N265" s="58"/>
      <c r="O265" s="102">
        <f t="shared" si="78"/>
        <v>0</v>
      </c>
    </row>
    <row r="266" spans="1:15" x14ac:dyDescent="0.25">
      <c r="A266" s="98"/>
      <c r="B266" s="98"/>
      <c r="C266" s="98"/>
      <c r="D266" s="98"/>
      <c r="E266" s="98"/>
      <c r="H266" s="93" t="s">
        <v>47</v>
      </c>
      <c r="I266" s="113"/>
      <c r="J266" s="92">
        <f t="shared" ref="J266:K266" si="79">SUM(J248:J265)</f>
        <v>126731.772646</v>
      </c>
      <c r="K266" s="92">
        <f t="shared" si="79"/>
        <v>0</v>
      </c>
      <c r="L266" s="92">
        <f t="shared" ref="L266:O266" si="80">SUM(L248:L265)</f>
        <v>62414.450846999978</v>
      </c>
      <c r="M266" s="92">
        <f t="shared" si="80"/>
        <v>2331</v>
      </c>
      <c r="N266" s="92">
        <f t="shared" si="80"/>
        <v>0</v>
      </c>
      <c r="O266" s="92">
        <f t="shared" si="80"/>
        <v>191477.22349299997</v>
      </c>
    </row>
    <row r="267" spans="1:15" ht="16.5" thickBot="1" x14ac:dyDescent="0.3">
      <c r="J267" s="99"/>
      <c r="K267" s="99"/>
      <c r="L267" s="99"/>
      <c r="M267" s="99"/>
      <c r="N267" s="99"/>
      <c r="O267" s="99"/>
    </row>
    <row r="268" spans="1:15" ht="16.5" thickBot="1" x14ac:dyDescent="0.3">
      <c r="A268" s="68" t="s">
        <v>5</v>
      </c>
      <c r="B268" s="68" t="s">
        <v>91</v>
      </c>
      <c r="C268" s="68" t="s">
        <v>92</v>
      </c>
      <c r="D268" s="68" t="s">
        <v>4</v>
      </c>
      <c r="E268" s="68" t="s">
        <v>93</v>
      </c>
      <c r="G268" s="100" t="s">
        <v>314</v>
      </c>
      <c r="H268" s="105"/>
      <c r="I268" s="82"/>
      <c r="J268" s="101" t="str">
        <f>J20</f>
        <v>Operating</v>
      </c>
      <c r="K268" s="101" t="str">
        <f t="shared" ref="K268:O268" si="81">K20</f>
        <v>SPED</v>
      </c>
      <c r="L268" s="101" t="str">
        <f t="shared" si="81"/>
        <v>NSLP</v>
      </c>
      <c r="M268" s="101" t="str">
        <f t="shared" si="81"/>
        <v>Title(s)</v>
      </c>
      <c r="N268" s="101" t="str">
        <f t="shared" si="81"/>
        <v>Other</v>
      </c>
      <c r="O268" s="101" t="str">
        <f t="shared" si="81"/>
        <v>Total</v>
      </c>
    </row>
    <row r="269" spans="1:15" x14ac:dyDescent="0.25">
      <c r="A269" s="106">
        <v>65510</v>
      </c>
      <c r="B269" s="114" t="s">
        <v>315</v>
      </c>
      <c r="C269" s="85">
        <f t="shared" ref="C269:C279" si="82">$C$1</f>
        <v>0</v>
      </c>
      <c r="D269" s="49" t="s">
        <v>9</v>
      </c>
      <c r="E269" s="114" t="s">
        <v>242</v>
      </c>
      <c r="I269" s="114" t="s">
        <v>316</v>
      </c>
      <c r="J269" s="102">
        <f>'27-28'!J269*1.03</f>
        <v>48735.624199999998</v>
      </c>
      <c r="K269" s="102"/>
      <c r="L269" s="102"/>
      <c r="M269" s="102"/>
      <c r="N269" s="102"/>
      <c r="O269" s="102">
        <f>SUM(J269:N269)</f>
        <v>48735.624199999998</v>
      </c>
    </row>
    <row r="270" spans="1:15" x14ac:dyDescent="0.25">
      <c r="A270" s="106">
        <v>65530</v>
      </c>
      <c r="B270" s="114" t="s">
        <v>317</v>
      </c>
      <c r="C270" s="85">
        <f t="shared" si="82"/>
        <v>0</v>
      </c>
      <c r="D270" s="49" t="s">
        <v>9</v>
      </c>
      <c r="E270" s="114" t="s">
        <v>242</v>
      </c>
      <c r="I270" s="110" t="s">
        <v>318</v>
      </c>
      <c r="J270" s="102">
        <f>'27-28'!J270*1.03</f>
        <v>1966.9086000000002</v>
      </c>
      <c r="K270" s="55"/>
      <c r="L270" s="55"/>
      <c r="M270" s="55"/>
      <c r="N270" s="55"/>
      <c r="O270" s="102">
        <f t="shared" ref="O270:O279" si="83">SUM(J270:N270)</f>
        <v>1966.9086000000002</v>
      </c>
    </row>
    <row r="271" spans="1:15" x14ac:dyDescent="0.25">
      <c r="A271" s="106">
        <v>65540</v>
      </c>
      <c r="B271" s="114" t="s">
        <v>319</v>
      </c>
      <c r="C271" s="85">
        <f t="shared" si="82"/>
        <v>0</v>
      </c>
      <c r="D271" s="49" t="s">
        <v>9</v>
      </c>
      <c r="E271" s="114" t="s">
        <v>242</v>
      </c>
      <c r="I271" s="110" t="s">
        <v>320</v>
      </c>
      <c r="J271" s="102">
        <f>'27-28'!J271*1.03</f>
        <v>11582.906200000001</v>
      </c>
      <c r="K271" s="55"/>
      <c r="L271" s="55"/>
      <c r="M271" s="55"/>
      <c r="N271" s="55"/>
      <c r="O271" s="102">
        <f t="shared" si="83"/>
        <v>11582.906200000001</v>
      </c>
    </row>
    <row r="272" spans="1:15" x14ac:dyDescent="0.25">
      <c r="A272" s="106">
        <v>65550</v>
      </c>
      <c r="B272" s="114" t="s">
        <v>321</v>
      </c>
      <c r="C272" s="85">
        <f t="shared" si="82"/>
        <v>0</v>
      </c>
      <c r="D272" s="49" t="s">
        <v>9</v>
      </c>
      <c r="E272" s="114" t="s">
        <v>242</v>
      </c>
      <c r="I272" s="110" t="s">
        <v>322</v>
      </c>
      <c r="J272" s="102">
        <f>'27-28'!J272*1.03</f>
        <v>4370.9080000000004</v>
      </c>
      <c r="K272" s="55"/>
      <c r="L272" s="55"/>
      <c r="M272" s="55"/>
      <c r="N272" s="55"/>
      <c r="O272" s="102">
        <f t="shared" si="83"/>
        <v>4370.9080000000004</v>
      </c>
    </row>
    <row r="273" spans="1:15" x14ac:dyDescent="0.25">
      <c r="A273" s="106">
        <v>63632</v>
      </c>
      <c r="B273" s="114" t="s">
        <v>323</v>
      </c>
      <c r="C273" s="85">
        <f t="shared" si="82"/>
        <v>0</v>
      </c>
      <c r="D273" s="49" t="s">
        <v>9</v>
      </c>
      <c r="E273" s="114" t="s">
        <v>324</v>
      </c>
      <c r="I273" s="110" t="s">
        <v>325</v>
      </c>
      <c r="J273" s="102">
        <f>'27-28'!J273*1.03</f>
        <v>1092.7270000000001</v>
      </c>
      <c r="K273" s="55"/>
      <c r="L273" s="55"/>
      <c r="M273" s="55"/>
      <c r="N273" s="55"/>
      <c r="O273" s="102">
        <f t="shared" si="83"/>
        <v>1092.7270000000001</v>
      </c>
    </row>
    <row r="274" spans="1:15" x14ac:dyDescent="0.25">
      <c r="A274" s="106">
        <v>65100</v>
      </c>
      <c r="B274" s="114" t="s">
        <v>326</v>
      </c>
      <c r="C274" s="85">
        <f t="shared" si="82"/>
        <v>0</v>
      </c>
      <c r="D274" s="49" t="s">
        <v>9</v>
      </c>
      <c r="E274" s="114" t="s">
        <v>242</v>
      </c>
      <c r="I274" s="110" t="s">
        <v>327</v>
      </c>
      <c r="J274" s="102">
        <f>'27-28'!J274*1.03</f>
        <v>14697.17815</v>
      </c>
      <c r="K274" s="55"/>
      <c r="L274" s="55"/>
      <c r="M274" s="55"/>
      <c r="N274" s="55"/>
      <c r="O274" s="102">
        <f t="shared" si="83"/>
        <v>14697.17815</v>
      </c>
    </row>
    <row r="275" spans="1:15" x14ac:dyDescent="0.25">
      <c r="A275" s="106">
        <v>65310</v>
      </c>
      <c r="B275" s="114" t="s">
        <v>328</v>
      </c>
      <c r="C275" s="85">
        <f t="shared" si="82"/>
        <v>0</v>
      </c>
      <c r="D275" s="49" t="s">
        <v>9</v>
      </c>
      <c r="E275" s="114" t="s">
        <v>242</v>
      </c>
      <c r="I275" s="110" t="s">
        <v>329</v>
      </c>
      <c r="J275" s="55">
        <v>30000</v>
      </c>
      <c r="K275" s="55"/>
      <c r="L275" s="55"/>
      <c r="M275" s="55"/>
      <c r="N275" s="55"/>
      <c r="O275" s="102">
        <f t="shared" si="83"/>
        <v>30000</v>
      </c>
    </row>
    <row r="276" spans="1:15" x14ac:dyDescent="0.25">
      <c r="A276" s="106">
        <v>65310</v>
      </c>
      <c r="B276" s="114" t="s">
        <v>330</v>
      </c>
      <c r="C276" s="85">
        <f t="shared" si="82"/>
        <v>0</v>
      </c>
      <c r="D276" s="49" t="s">
        <v>9</v>
      </c>
      <c r="E276" s="114" t="s">
        <v>242</v>
      </c>
      <c r="I276" s="110" t="s">
        <v>331</v>
      </c>
      <c r="J276" s="55"/>
      <c r="K276" s="55"/>
      <c r="L276" s="55"/>
      <c r="M276" s="55"/>
      <c r="N276" s="55"/>
      <c r="O276" s="102">
        <f t="shared" si="83"/>
        <v>0</v>
      </c>
    </row>
    <row r="277" spans="1:15" x14ac:dyDescent="0.25">
      <c r="A277" s="106">
        <v>65112</v>
      </c>
      <c r="B277" s="114" t="s">
        <v>332</v>
      </c>
      <c r="C277" s="85">
        <f t="shared" si="82"/>
        <v>0</v>
      </c>
      <c r="D277" s="49" t="s">
        <v>9</v>
      </c>
      <c r="E277" s="114" t="s">
        <v>242</v>
      </c>
      <c r="I277" s="110" t="s">
        <v>333</v>
      </c>
      <c r="J277" s="55">
        <v>0</v>
      </c>
      <c r="K277" s="55"/>
      <c r="L277" s="55"/>
      <c r="M277" s="55"/>
      <c r="N277" s="55"/>
      <c r="O277" s="102">
        <f t="shared" si="83"/>
        <v>0</v>
      </c>
    </row>
    <row r="278" spans="1:15" x14ac:dyDescent="0.25">
      <c r="A278" s="106">
        <v>65111</v>
      </c>
      <c r="B278" s="114" t="s">
        <v>332</v>
      </c>
      <c r="C278" s="85">
        <f t="shared" si="82"/>
        <v>0</v>
      </c>
      <c r="D278" s="49" t="s">
        <v>9</v>
      </c>
      <c r="E278" s="114" t="s">
        <v>242</v>
      </c>
      <c r="I278" s="110" t="s">
        <v>334</v>
      </c>
      <c r="J278" s="55">
        <v>0</v>
      </c>
      <c r="K278" s="55"/>
      <c r="L278" s="55"/>
      <c r="M278" s="55"/>
      <c r="N278" s="55"/>
      <c r="O278" s="102">
        <f t="shared" si="83"/>
        <v>0</v>
      </c>
    </row>
    <row r="279" spans="1:15" x14ac:dyDescent="0.25">
      <c r="A279" s="117">
        <v>65311</v>
      </c>
      <c r="B279" s="118" t="s">
        <v>328</v>
      </c>
      <c r="C279" s="85">
        <f t="shared" si="82"/>
        <v>0</v>
      </c>
      <c r="D279" s="49" t="s">
        <v>9</v>
      </c>
      <c r="E279" s="114" t="s">
        <v>242</v>
      </c>
      <c r="I279" s="112" t="s">
        <v>335</v>
      </c>
      <c r="J279" s="58">
        <v>11000</v>
      </c>
      <c r="K279" s="58"/>
      <c r="L279" s="58"/>
      <c r="M279" s="58"/>
      <c r="N279" s="58"/>
      <c r="O279" s="102">
        <f t="shared" si="83"/>
        <v>11000</v>
      </c>
    </row>
    <row r="280" spans="1:15" x14ac:dyDescent="0.25">
      <c r="A280" s="98"/>
      <c r="B280" s="98"/>
      <c r="C280" s="98"/>
      <c r="D280" s="98"/>
      <c r="E280" s="98"/>
      <c r="H280" s="93" t="s">
        <v>47</v>
      </c>
      <c r="I280" s="113"/>
      <c r="J280" s="92">
        <f t="shared" ref="J280:O280" si="84">SUM(J269:J279)</f>
        <v>123446.25214999999</v>
      </c>
      <c r="K280" s="92">
        <f t="shared" si="84"/>
        <v>0</v>
      </c>
      <c r="L280" s="92">
        <f t="shared" si="84"/>
        <v>0</v>
      </c>
      <c r="M280" s="92">
        <f t="shared" si="84"/>
        <v>0</v>
      </c>
      <c r="N280" s="92">
        <f t="shared" si="84"/>
        <v>0</v>
      </c>
      <c r="O280" s="92">
        <f t="shared" si="84"/>
        <v>123446.25214999999</v>
      </c>
    </row>
    <row r="281" spans="1:15" ht="16.5" thickBot="1" x14ac:dyDescent="0.3">
      <c r="J281" s="99"/>
      <c r="K281" s="99"/>
      <c r="L281" s="99"/>
      <c r="M281" s="99"/>
      <c r="N281" s="99"/>
      <c r="O281" s="99"/>
    </row>
    <row r="282" spans="1:15" ht="16.149999999999999" customHeight="1" thickBot="1" x14ac:dyDescent="0.3">
      <c r="A282" s="81"/>
      <c r="B282" s="82"/>
      <c r="C282" s="82"/>
      <c r="D282" s="82"/>
      <c r="E282" s="82"/>
      <c r="G282" s="180" t="s">
        <v>336</v>
      </c>
      <c r="H282" s="181"/>
      <c r="I282" s="181"/>
      <c r="J282" s="119">
        <f t="shared" ref="J282:O282" si="85">J280+J266+J245+J233+J221+J212+J201+J180+J153+J134</f>
        <v>1674013.070829906</v>
      </c>
      <c r="K282" s="119">
        <f t="shared" si="85"/>
        <v>192744.08692573904</v>
      </c>
      <c r="L282" s="119">
        <f t="shared" si="85"/>
        <v>139708.58930199995</v>
      </c>
      <c r="M282" s="119">
        <f t="shared" si="85"/>
        <v>126603.35249999999</v>
      </c>
      <c r="N282" s="119">
        <f t="shared" si="85"/>
        <v>0</v>
      </c>
      <c r="O282" s="119">
        <f t="shared" si="85"/>
        <v>2133069.0995576447</v>
      </c>
    </row>
    <row r="283" spans="1:15" ht="16.5" thickBot="1" x14ac:dyDescent="0.3">
      <c r="J283" s="99"/>
      <c r="K283" s="99"/>
      <c r="L283" s="99"/>
      <c r="M283" s="99"/>
      <c r="N283" s="99"/>
      <c r="O283" s="99"/>
    </row>
    <row r="284" spans="1:15" ht="16.5" thickBot="1" x14ac:dyDescent="0.3">
      <c r="A284" s="81"/>
      <c r="B284" s="82"/>
      <c r="C284" s="82"/>
      <c r="D284" s="82"/>
      <c r="E284" s="82"/>
      <c r="G284" s="69" t="s">
        <v>337</v>
      </c>
      <c r="H284" s="120"/>
      <c r="I284" s="121"/>
      <c r="J284" s="122"/>
      <c r="K284" s="122"/>
      <c r="L284" s="122"/>
      <c r="M284" s="122"/>
      <c r="N284" s="122"/>
      <c r="O284" s="122"/>
    </row>
    <row r="285" spans="1:15" x14ac:dyDescent="0.25">
      <c r="A285" s="123">
        <v>65400</v>
      </c>
      <c r="B285" s="124" t="s">
        <v>319</v>
      </c>
      <c r="C285" s="85">
        <f t="shared" ref="C285:C288" si="86">$C$1</f>
        <v>0</v>
      </c>
      <c r="D285" s="49" t="s">
        <v>9</v>
      </c>
      <c r="E285" s="114" t="s">
        <v>242</v>
      </c>
      <c r="I285" s="124" t="s">
        <v>338</v>
      </c>
      <c r="J285" s="125">
        <f>500*J17</f>
        <v>77500</v>
      </c>
      <c r="K285" s="125">
        <f>500*K17</f>
        <v>0</v>
      </c>
      <c r="L285" s="125">
        <f>500*L17</f>
        <v>0</v>
      </c>
      <c r="M285" s="125">
        <f>500*M17</f>
        <v>0</v>
      </c>
      <c r="N285" s="125">
        <f>500*N17</f>
        <v>0</v>
      </c>
      <c r="O285" s="102">
        <f>SUM(J285:N285)</f>
        <v>77500</v>
      </c>
    </row>
    <row r="286" spans="1:15" x14ac:dyDescent="0.25">
      <c r="A286" s="126">
        <v>90001</v>
      </c>
      <c r="B286" s="127" t="s">
        <v>304</v>
      </c>
      <c r="C286" s="85">
        <f t="shared" si="86"/>
        <v>0</v>
      </c>
      <c r="D286" s="49" t="s">
        <v>9</v>
      </c>
      <c r="E286" s="110" t="s">
        <v>305</v>
      </c>
      <c r="I286" s="127" t="s">
        <v>339</v>
      </c>
      <c r="J286" s="128">
        <v>0</v>
      </c>
      <c r="K286" s="128">
        <v>0</v>
      </c>
      <c r="L286" s="128">
        <v>0</v>
      </c>
      <c r="M286" s="128">
        <v>0</v>
      </c>
      <c r="N286" s="128">
        <v>0</v>
      </c>
      <c r="O286" s="102">
        <f t="shared" ref="O286:O288" si="87">SUM(J286:N286)</f>
        <v>0</v>
      </c>
    </row>
    <row r="287" spans="1:15" x14ac:dyDescent="0.25">
      <c r="A287" s="126">
        <v>68320</v>
      </c>
      <c r="B287" s="127" t="s">
        <v>340</v>
      </c>
      <c r="C287" s="85">
        <f t="shared" si="86"/>
        <v>0</v>
      </c>
      <c r="D287" s="49" t="s">
        <v>9</v>
      </c>
      <c r="E287" s="110" t="s">
        <v>305</v>
      </c>
      <c r="I287" s="127" t="s">
        <v>341</v>
      </c>
      <c r="J287" s="128">
        <v>0</v>
      </c>
      <c r="K287" s="128">
        <v>0</v>
      </c>
      <c r="L287" s="128">
        <v>0</v>
      </c>
      <c r="M287" s="128">
        <v>0</v>
      </c>
      <c r="N287" s="128">
        <v>0</v>
      </c>
      <c r="O287" s="102">
        <f t="shared" si="87"/>
        <v>0</v>
      </c>
    </row>
    <row r="288" spans="1:15" x14ac:dyDescent="0.25">
      <c r="A288" s="123">
        <v>65400</v>
      </c>
      <c r="B288" s="124" t="s">
        <v>319</v>
      </c>
      <c r="C288" s="85">
        <f t="shared" si="86"/>
        <v>0</v>
      </c>
      <c r="D288" s="49" t="s">
        <v>9</v>
      </c>
      <c r="E288" s="114" t="s">
        <v>242</v>
      </c>
      <c r="I288" s="129" t="s">
        <v>342</v>
      </c>
      <c r="J288" s="130">
        <v>0</v>
      </c>
      <c r="K288" s="130">
        <v>0</v>
      </c>
      <c r="L288" s="130">
        <v>0</v>
      </c>
      <c r="M288" s="130">
        <v>0</v>
      </c>
      <c r="N288" s="130">
        <v>0</v>
      </c>
      <c r="O288" s="102">
        <f t="shared" si="87"/>
        <v>0</v>
      </c>
    </row>
    <row r="289" spans="1:15" x14ac:dyDescent="0.25">
      <c r="A289" s="98"/>
      <c r="B289" s="98"/>
      <c r="C289" s="98"/>
      <c r="D289" s="98"/>
      <c r="E289" s="98"/>
      <c r="G289" s="2"/>
      <c r="H289" s="93" t="s">
        <v>343</v>
      </c>
      <c r="I289" s="94"/>
      <c r="J289" s="92">
        <f t="shared" ref="J289:O289" si="88">SUM(J285:J288)</f>
        <v>77500</v>
      </c>
      <c r="K289" s="92">
        <f t="shared" si="88"/>
        <v>0</v>
      </c>
      <c r="L289" s="92">
        <f t="shared" si="88"/>
        <v>0</v>
      </c>
      <c r="M289" s="92">
        <f t="shared" si="88"/>
        <v>0</v>
      </c>
      <c r="N289" s="92">
        <f t="shared" si="88"/>
        <v>0</v>
      </c>
      <c r="O289" s="92">
        <f t="shared" si="88"/>
        <v>77500</v>
      </c>
    </row>
    <row r="290" spans="1:15" ht="16.5" thickBot="1" x14ac:dyDescent="0.3">
      <c r="J290" s="99"/>
      <c r="K290" s="99"/>
      <c r="L290" s="99"/>
      <c r="M290" s="99"/>
      <c r="N290" s="99"/>
      <c r="O290" s="99"/>
    </row>
    <row r="291" spans="1:15" ht="16.5" thickBot="1" x14ac:dyDescent="0.3">
      <c r="A291" s="131"/>
      <c r="B291" s="132"/>
      <c r="C291" s="132"/>
      <c r="D291" s="132"/>
      <c r="E291" s="132"/>
      <c r="G291" s="133" t="s">
        <v>344</v>
      </c>
      <c r="H291" s="134"/>
      <c r="I291" s="135"/>
      <c r="J291" s="136">
        <f t="shared" ref="J291:O291" si="89">(J83+J89)-(J289+J282)</f>
        <v>93397.729170094011</v>
      </c>
      <c r="K291" s="136">
        <f t="shared" si="89"/>
        <v>8266.8198807544541</v>
      </c>
      <c r="L291" s="136">
        <f t="shared" si="89"/>
        <v>-67280.722335999963</v>
      </c>
      <c r="M291" s="136">
        <f t="shared" si="89"/>
        <v>-34383.762499999997</v>
      </c>
      <c r="N291" s="136">
        <f t="shared" si="89"/>
        <v>0</v>
      </c>
      <c r="O291" s="136">
        <f t="shared" si="89"/>
        <v>6.4214848913252354E-2</v>
      </c>
    </row>
    <row r="292" spans="1:15" x14ac:dyDescent="0.25">
      <c r="J292" s="99"/>
      <c r="K292" s="99"/>
      <c r="L292" s="99"/>
      <c r="M292" s="99"/>
      <c r="N292" s="99"/>
      <c r="O292" s="99"/>
    </row>
    <row r="293" spans="1:15" x14ac:dyDescent="0.25">
      <c r="I293" s="17" t="str">
        <f>I1</f>
        <v>CIVICA Nevada</v>
      </c>
      <c r="J293" s="137" t="str">
        <f t="shared" ref="J293:O293" si="90">J20</f>
        <v>Operating</v>
      </c>
      <c r="K293" s="137" t="str">
        <f t="shared" si="90"/>
        <v>SPED</v>
      </c>
      <c r="L293" s="137" t="str">
        <f t="shared" si="90"/>
        <v>NSLP</v>
      </c>
      <c r="M293" s="137" t="str">
        <f t="shared" si="90"/>
        <v>Title(s)</v>
      </c>
      <c r="N293" s="137" t="str">
        <f t="shared" si="90"/>
        <v>Other</v>
      </c>
      <c r="O293" s="137" t="str">
        <f t="shared" si="90"/>
        <v>Total</v>
      </c>
    </row>
    <row r="294" spans="1:15" x14ac:dyDescent="0.25">
      <c r="J294" s="99"/>
      <c r="K294" s="99"/>
      <c r="L294" s="99"/>
      <c r="M294" s="99"/>
      <c r="N294" s="99"/>
      <c r="O294" s="99"/>
    </row>
    <row r="295" spans="1:15" ht="16.5" thickBot="1" x14ac:dyDescent="0.3">
      <c r="I295" s="138"/>
      <c r="J295" s="137" t="s">
        <v>44</v>
      </c>
      <c r="K295" s="137" t="s">
        <v>44</v>
      </c>
      <c r="L295" s="137" t="s">
        <v>44</v>
      </c>
      <c r="M295" s="137" t="s">
        <v>44</v>
      </c>
      <c r="N295" s="137" t="s">
        <v>44</v>
      </c>
      <c r="O295" s="137" t="s">
        <v>44</v>
      </c>
    </row>
    <row r="296" spans="1:15" ht="16.5" thickBot="1" x14ac:dyDescent="0.3">
      <c r="G296" s="139" t="s">
        <v>345</v>
      </c>
      <c r="H296" s="140"/>
      <c r="I296" s="141"/>
      <c r="J296" s="142"/>
      <c r="K296" s="142"/>
      <c r="L296" s="142"/>
      <c r="M296" s="142"/>
      <c r="N296" s="142"/>
      <c r="O296" s="142"/>
    </row>
    <row r="297" spans="1:15" x14ac:dyDescent="0.25">
      <c r="I297" s="2" t="s">
        <v>98</v>
      </c>
      <c r="J297" s="143">
        <f>J73</f>
        <v>0</v>
      </c>
      <c r="K297" s="143">
        <f>K73</f>
        <v>122895</v>
      </c>
      <c r="L297" s="143">
        <f>L73</f>
        <v>0</v>
      </c>
      <c r="M297" s="143">
        <f>M73</f>
        <v>0</v>
      </c>
      <c r="N297" s="143">
        <f>N73</f>
        <v>0</v>
      </c>
      <c r="O297" s="143">
        <f>SUM(J297:N297)</f>
        <v>122895</v>
      </c>
    </row>
    <row r="298" spans="1:15" x14ac:dyDescent="0.25">
      <c r="I298" s="2" t="s">
        <v>99</v>
      </c>
      <c r="J298" s="143">
        <f>J74</f>
        <v>0</v>
      </c>
      <c r="K298" s="143">
        <f>K74</f>
        <v>61764.762806493483</v>
      </c>
      <c r="L298" s="143">
        <f t="shared" ref="L298:N299" si="91">L74</f>
        <v>0</v>
      </c>
      <c r="M298" s="143">
        <f t="shared" si="91"/>
        <v>0</v>
      </c>
      <c r="N298" s="143">
        <f t="shared" si="91"/>
        <v>0</v>
      </c>
      <c r="O298" s="143">
        <f>SUM(J298:N298)</f>
        <v>61764.762806493483</v>
      </c>
    </row>
    <row r="299" spans="1:15" ht="16.5" thickBot="1" x14ac:dyDescent="0.3">
      <c r="I299" s="2" t="s">
        <v>100</v>
      </c>
      <c r="J299" s="143">
        <f>J75</f>
        <v>0</v>
      </c>
      <c r="K299" s="143">
        <f>K75</f>
        <v>16351.144</v>
      </c>
      <c r="L299" s="143">
        <f t="shared" si="91"/>
        <v>0</v>
      </c>
      <c r="M299" s="143">
        <f t="shared" si="91"/>
        <v>0</v>
      </c>
      <c r="N299" s="143">
        <f t="shared" si="91"/>
        <v>0</v>
      </c>
      <c r="O299" s="143">
        <f>SUM(J299:N299)</f>
        <v>16351.144</v>
      </c>
    </row>
    <row r="300" spans="1:15" ht="16.5" thickBot="1" x14ac:dyDescent="0.3">
      <c r="G300" s="139" t="s">
        <v>346</v>
      </c>
      <c r="H300" s="140"/>
      <c r="I300" s="141"/>
      <c r="J300" s="142"/>
      <c r="K300" s="142"/>
      <c r="L300" s="142"/>
      <c r="M300" s="142"/>
      <c r="N300" s="142"/>
      <c r="O300" s="142"/>
    </row>
    <row r="301" spans="1:15" x14ac:dyDescent="0.25">
      <c r="I301" s="2" t="s">
        <v>347</v>
      </c>
      <c r="J301" s="143">
        <f>J98+J99+J111+J112+J114+J116+J169+J176</f>
        <v>0</v>
      </c>
      <c r="K301" s="143">
        <f>K134+K180</f>
        <v>78876.652651874989</v>
      </c>
      <c r="L301" s="143">
        <f>L98+L99+L111+L112+L114+L116+L169+L176</f>
        <v>0</v>
      </c>
      <c r="M301" s="143">
        <f>M98+M99+M111+M112+M114+M116+M169+M176</f>
        <v>0</v>
      </c>
      <c r="N301" s="143">
        <f>N98+N99+N111+N112+N114+N116+N169+N176</f>
        <v>0</v>
      </c>
      <c r="O301" s="143">
        <f t="shared" ref="O301:O306" si="92">SUM(J301:N301)</f>
        <v>78876.652651874989</v>
      </c>
    </row>
    <row r="302" spans="1:15" x14ac:dyDescent="0.25">
      <c r="I302" s="2" t="s">
        <v>348</v>
      </c>
      <c r="J302" s="143">
        <f>J139+J146+J187+J195</f>
        <v>0</v>
      </c>
      <c r="K302" s="143">
        <f>K153+K201</f>
        <v>42982.434273864055</v>
      </c>
      <c r="L302" s="143">
        <f>L139+L146+L187+L195</f>
        <v>0</v>
      </c>
      <c r="M302" s="143">
        <f>M139+M146+M187+M195</f>
        <v>0</v>
      </c>
      <c r="N302" s="143">
        <f>N139+N146+N187+N195</f>
        <v>0</v>
      </c>
      <c r="O302" s="143">
        <f t="shared" si="92"/>
        <v>42982.434273864055</v>
      </c>
    </row>
    <row r="303" spans="1:15" x14ac:dyDescent="0.25">
      <c r="I303" s="2" t="s">
        <v>349</v>
      </c>
      <c r="J303" s="143">
        <f>J211</f>
        <v>0</v>
      </c>
      <c r="K303" s="143">
        <f>K212+K221</f>
        <v>2975</v>
      </c>
      <c r="L303" s="143">
        <f>L211</f>
        <v>0</v>
      </c>
      <c r="M303" s="143">
        <f>M211</f>
        <v>0</v>
      </c>
      <c r="N303" s="143">
        <f>N211</f>
        <v>0</v>
      </c>
      <c r="O303" s="143">
        <f t="shared" si="92"/>
        <v>2975</v>
      </c>
    </row>
    <row r="304" spans="1:15" x14ac:dyDescent="0.25">
      <c r="I304" s="2" t="s">
        <v>350</v>
      </c>
      <c r="J304" s="143">
        <f>J226</f>
        <v>0</v>
      </c>
      <c r="K304" s="143">
        <f>K233+K245</f>
        <v>67910</v>
      </c>
      <c r="L304" s="143">
        <f>L226</f>
        <v>0</v>
      </c>
      <c r="M304" s="143">
        <f>M226</f>
        <v>0</v>
      </c>
      <c r="N304" s="143">
        <f>N226</f>
        <v>0</v>
      </c>
      <c r="O304" s="143">
        <f t="shared" si="92"/>
        <v>67910</v>
      </c>
    </row>
    <row r="305" spans="7:15" x14ac:dyDescent="0.25">
      <c r="I305" s="2" t="s">
        <v>351</v>
      </c>
      <c r="J305" s="143">
        <f>0</f>
        <v>0</v>
      </c>
      <c r="K305" s="143">
        <f>0</f>
        <v>0</v>
      </c>
      <c r="L305" s="143">
        <f>0</f>
        <v>0</v>
      </c>
      <c r="M305" s="143">
        <f>0</f>
        <v>0</v>
      </c>
      <c r="N305" s="143">
        <f>0</f>
        <v>0</v>
      </c>
      <c r="O305" s="143">
        <f t="shared" si="92"/>
        <v>0</v>
      </c>
    </row>
    <row r="306" spans="7:15" ht="16.5" thickBot="1" x14ac:dyDescent="0.3">
      <c r="I306" s="2" t="s">
        <v>352</v>
      </c>
      <c r="J306" s="143">
        <v>0</v>
      </c>
      <c r="K306" s="143">
        <v>0</v>
      </c>
      <c r="L306" s="143">
        <v>0</v>
      </c>
      <c r="M306" s="143">
        <v>0</v>
      </c>
      <c r="N306" s="143">
        <v>0</v>
      </c>
      <c r="O306" s="143">
        <f t="shared" si="92"/>
        <v>0</v>
      </c>
    </row>
    <row r="307" spans="7:15" ht="16.5" thickBot="1" x14ac:dyDescent="0.3">
      <c r="G307" s="139" t="s">
        <v>353</v>
      </c>
      <c r="H307" s="140"/>
      <c r="I307" s="141"/>
      <c r="J307" s="142">
        <f t="shared" ref="J307:O307" si="93">SUM(J297:J299)-SUM(J301:J306)</f>
        <v>0</v>
      </c>
      <c r="K307" s="142">
        <f t="shared" si="93"/>
        <v>8266.8198807544541</v>
      </c>
      <c r="L307" s="142">
        <f t="shared" si="93"/>
        <v>0</v>
      </c>
      <c r="M307" s="142">
        <f t="shared" si="93"/>
        <v>0</v>
      </c>
      <c r="N307" s="142">
        <f t="shared" si="93"/>
        <v>0</v>
      </c>
      <c r="O307" s="142">
        <f t="shared" si="93"/>
        <v>8266.8198807544541</v>
      </c>
    </row>
    <row r="308" spans="7:15" x14ac:dyDescent="0.25">
      <c r="I308" s="1"/>
    </row>
    <row r="309" spans="7:15" ht="16.5" thickBot="1" x14ac:dyDescent="0.3">
      <c r="I309" s="138"/>
      <c r="J309" s="137" t="s">
        <v>40</v>
      </c>
      <c r="K309" s="137" t="s">
        <v>40</v>
      </c>
      <c r="L309" s="137" t="s">
        <v>40</v>
      </c>
      <c r="M309" s="137" t="s">
        <v>40</v>
      </c>
      <c r="N309" s="137" t="s">
        <v>40</v>
      </c>
      <c r="O309" s="137" t="s">
        <v>40</v>
      </c>
    </row>
    <row r="310" spans="7:15" ht="16.5" thickBot="1" x14ac:dyDescent="0.3">
      <c r="G310" s="133" t="s">
        <v>354</v>
      </c>
      <c r="H310" s="134"/>
      <c r="I310" s="135"/>
      <c r="J310" s="136"/>
      <c r="K310" s="136"/>
      <c r="L310" s="136"/>
      <c r="M310" s="136"/>
      <c r="N310" s="136"/>
      <c r="O310" s="136"/>
    </row>
    <row r="311" spans="7:15" x14ac:dyDescent="0.25">
      <c r="I311" s="2" t="s">
        <v>103</v>
      </c>
      <c r="J311" s="143">
        <f t="shared" ref="J311:N312" si="94">J81</f>
        <v>0</v>
      </c>
      <c r="K311" s="143">
        <f t="shared" si="94"/>
        <v>0</v>
      </c>
      <c r="L311" s="143">
        <f t="shared" si="94"/>
        <v>21382.031411999993</v>
      </c>
      <c r="M311" s="143">
        <f t="shared" si="94"/>
        <v>0</v>
      </c>
      <c r="N311" s="143">
        <f t="shared" si="94"/>
        <v>0</v>
      </c>
      <c r="O311" s="143">
        <f>SUM(J311:N311)</f>
        <v>21382.031411999993</v>
      </c>
    </row>
    <row r="312" spans="7:15" ht="16.5" thickBot="1" x14ac:dyDescent="0.3">
      <c r="I312" s="2" t="s">
        <v>104</v>
      </c>
      <c r="J312" s="143">
        <f t="shared" si="94"/>
        <v>0</v>
      </c>
      <c r="K312" s="143">
        <f t="shared" si="94"/>
        <v>0</v>
      </c>
      <c r="L312" s="143">
        <f t="shared" si="94"/>
        <v>51045.83555399999</v>
      </c>
      <c r="M312" s="143">
        <f t="shared" si="94"/>
        <v>0</v>
      </c>
      <c r="N312" s="143">
        <f t="shared" si="94"/>
        <v>0</v>
      </c>
      <c r="O312" s="143">
        <f>SUM(J312:N312)</f>
        <v>51045.83555399999</v>
      </c>
    </row>
    <row r="313" spans="7:15" ht="16.5" thickBot="1" x14ac:dyDescent="0.3">
      <c r="G313" s="133" t="s">
        <v>355</v>
      </c>
      <c r="H313" s="134"/>
      <c r="I313" s="135"/>
      <c r="J313" s="136"/>
      <c r="K313" s="136"/>
      <c r="L313" s="136"/>
      <c r="M313" s="136"/>
      <c r="N313" s="136"/>
      <c r="O313" s="136"/>
    </row>
    <row r="314" spans="7:15" x14ac:dyDescent="0.25">
      <c r="I314" s="2" t="s">
        <v>347</v>
      </c>
      <c r="J314" s="143">
        <f>J132</f>
        <v>0</v>
      </c>
      <c r="K314" s="143">
        <f>K132</f>
        <v>0</v>
      </c>
      <c r="L314" s="143">
        <f>L134+L180</f>
        <v>50192.561999999984</v>
      </c>
      <c r="M314" s="143">
        <f>M132</f>
        <v>0</v>
      </c>
      <c r="N314" s="143">
        <f>N132</f>
        <v>0</v>
      </c>
      <c r="O314" s="143">
        <f t="shared" ref="O314:O319" si="95">SUM(J314:N314)</f>
        <v>50192.561999999984</v>
      </c>
    </row>
    <row r="315" spans="7:15" x14ac:dyDescent="0.25">
      <c r="I315" s="2" t="s">
        <v>348</v>
      </c>
      <c r="J315" s="143">
        <f>J141+J148</f>
        <v>0</v>
      </c>
      <c r="K315" s="143">
        <f>K141+K148</f>
        <v>0</v>
      </c>
      <c r="L315" s="143">
        <f>L201+L153</f>
        <v>27101.576454999991</v>
      </c>
      <c r="M315" s="143">
        <f>M141+M148</f>
        <v>0</v>
      </c>
      <c r="N315" s="143">
        <f>N141+N148</f>
        <v>0</v>
      </c>
      <c r="O315" s="143">
        <f t="shared" si="95"/>
        <v>27101.576454999991</v>
      </c>
    </row>
    <row r="316" spans="7:15" x14ac:dyDescent="0.25">
      <c r="I316" s="2" t="s">
        <v>349</v>
      </c>
      <c r="J316" s="143">
        <f>0</f>
        <v>0</v>
      </c>
      <c r="K316" s="143">
        <f>0</f>
        <v>0</v>
      </c>
      <c r="L316" s="143">
        <f>0</f>
        <v>0</v>
      </c>
      <c r="M316" s="143">
        <f>0</f>
        <v>0</v>
      </c>
      <c r="N316" s="143">
        <f>0</f>
        <v>0</v>
      </c>
      <c r="O316" s="143">
        <f t="shared" si="95"/>
        <v>0</v>
      </c>
    </row>
    <row r="317" spans="7:15" x14ac:dyDescent="0.25">
      <c r="I317" s="2" t="s">
        <v>350</v>
      </c>
      <c r="J317" s="143">
        <f>0</f>
        <v>0</v>
      </c>
      <c r="K317" s="143">
        <f>0</f>
        <v>0</v>
      </c>
      <c r="L317" s="143">
        <f>0</f>
        <v>0</v>
      </c>
      <c r="M317" s="143">
        <f>0</f>
        <v>0</v>
      </c>
      <c r="N317" s="143">
        <f>0</f>
        <v>0</v>
      </c>
      <c r="O317" s="143">
        <f t="shared" si="95"/>
        <v>0</v>
      </c>
    </row>
    <row r="318" spans="7:15" x14ac:dyDescent="0.25">
      <c r="I318" s="2" t="s">
        <v>351</v>
      </c>
      <c r="J318" s="143">
        <f>J255+J256</f>
        <v>0</v>
      </c>
      <c r="K318" s="143">
        <f>K255+K256</f>
        <v>0</v>
      </c>
      <c r="L318" s="143">
        <f>L255+L256</f>
        <v>62414.450846999978</v>
      </c>
      <c r="M318" s="143">
        <f>M255+M256</f>
        <v>0</v>
      </c>
      <c r="N318" s="143">
        <f>N255+N256</f>
        <v>0</v>
      </c>
      <c r="O318" s="143">
        <f t="shared" si="95"/>
        <v>62414.450846999978</v>
      </c>
    </row>
    <row r="319" spans="7:15" ht="16.5" thickBot="1" x14ac:dyDescent="0.3">
      <c r="I319" s="2" t="s">
        <v>352</v>
      </c>
      <c r="J319" s="143">
        <v>0</v>
      </c>
      <c r="K319" s="143">
        <v>0</v>
      </c>
      <c r="L319" s="143">
        <v>0</v>
      </c>
      <c r="M319" s="143">
        <v>0</v>
      </c>
      <c r="N319" s="143">
        <v>0</v>
      </c>
      <c r="O319" s="143">
        <f t="shared" si="95"/>
        <v>0</v>
      </c>
    </row>
    <row r="320" spans="7:15" ht="16.5" thickBot="1" x14ac:dyDescent="0.3">
      <c r="G320" s="133" t="s">
        <v>356</v>
      </c>
      <c r="H320" s="134"/>
      <c r="I320" s="135"/>
      <c r="J320" s="136">
        <f t="shared" ref="J320:O320" si="96">SUM(J311:J312)-SUM(J314:J319)</f>
        <v>0</v>
      </c>
      <c r="K320" s="136">
        <f t="shared" si="96"/>
        <v>0</v>
      </c>
      <c r="L320" s="136">
        <f t="shared" si="96"/>
        <v>-67280.722335999963</v>
      </c>
      <c r="M320" s="136">
        <f t="shared" si="96"/>
        <v>0</v>
      </c>
      <c r="N320" s="136">
        <f t="shared" si="96"/>
        <v>0</v>
      </c>
      <c r="O320" s="136">
        <f t="shared" si="96"/>
        <v>-67280.722335999963</v>
      </c>
    </row>
  </sheetData>
  <mergeCells count="1">
    <mergeCell ref="G282:I282"/>
  </mergeCells>
  <pageMargins left="0.7" right="0.7" top="0.75" bottom="0.75" header="0.3" footer="0.3"/>
  <pageSetup scale="34" fitToHeight="0" orientation="portrait" r:id="rId1"/>
  <rowBreaks count="2" manualBreakCount="2">
    <brk id="90" min="6" max="19" man="1"/>
    <brk id="201" min="6" max="1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ED57-2AAA-4FB5-85D3-428933456AF7}">
  <sheetPr>
    <pageSetUpPr fitToPage="1"/>
  </sheetPr>
  <dimension ref="A1:P320"/>
  <sheetViews>
    <sheetView topLeftCell="F1" zoomScale="75" zoomScaleNormal="75" workbookViewId="0">
      <pane xSplit="4" ySplit="1" topLeftCell="J252" activePane="bottomRight" state="frozen"/>
      <selection activeCell="J80" sqref="J80"/>
      <selection pane="topRight" activeCell="J80" sqref="J80"/>
      <selection pane="bottomLeft" activeCell="J80" sqref="J80"/>
      <selection pane="bottomRight" activeCell="J80" sqref="J80"/>
    </sheetView>
  </sheetViews>
  <sheetFormatPr defaultColWidth="8.7109375" defaultRowHeight="15.75" x14ac:dyDescent="0.25"/>
  <cols>
    <col min="1" max="1" width="46.7109375" style="1" customWidth="1"/>
    <col min="2" max="2" width="24.5703125" style="1" customWidth="1"/>
    <col min="3" max="3" width="31.28515625" style="1" customWidth="1"/>
    <col min="4" max="4" width="41.7109375" style="1" customWidth="1"/>
    <col min="5" max="5" width="57.28515625" style="1" bestFit="1" customWidth="1"/>
    <col min="6" max="8" width="1.7109375" style="1" customWidth="1"/>
    <col min="9" max="9" width="53.85546875" style="11" bestFit="1" customWidth="1"/>
    <col min="10" max="15" width="18.5703125" style="1" customWidth="1"/>
    <col min="16" max="16" width="6.28515625" style="1" bestFit="1" customWidth="1"/>
    <col min="17" max="16384" width="8.7109375" style="1"/>
  </cols>
  <sheetData>
    <row r="1" spans="1:16" x14ac:dyDescent="0.25">
      <c r="B1" s="2" t="s">
        <v>0</v>
      </c>
      <c r="C1" s="2"/>
      <c r="G1" s="3"/>
      <c r="I1" s="4" t="s">
        <v>400</v>
      </c>
      <c r="J1" s="4" t="s">
        <v>10</v>
      </c>
      <c r="K1" s="144" t="s">
        <v>44</v>
      </c>
      <c r="L1" s="144" t="s">
        <v>40</v>
      </c>
      <c r="M1" s="144" t="s">
        <v>45</v>
      </c>
      <c r="N1" s="144" t="s">
        <v>46</v>
      </c>
      <c r="O1" s="144" t="s">
        <v>383</v>
      </c>
    </row>
    <row r="2" spans="1:16" x14ac:dyDescent="0.25">
      <c r="B2" s="2" t="s">
        <v>1</v>
      </c>
      <c r="C2" s="2"/>
      <c r="I2" s="5" t="s">
        <v>2</v>
      </c>
      <c r="J2" s="6">
        <f>ROUND(9486*1.015*1.015*1.015,0)</f>
        <v>9919</v>
      </c>
      <c r="K2" s="6"/>
      <c r="L2" s="6"/>
      <c r="M2" s="6"/>
      <c r="N2" s="6"/>
      <c r="O2" s="6">
        <f>SUM(J2:N2)</f>
        <v>9919</v>
      </c>
    </row>
    <row r="3" spans="1:16" x14ac:dyDescent="0.25">
      <c r="I3" s="7" t="s">
        <v>3</v>
      </c>
      <c r="J3" s="8">
        <f>J4+J5+J6+J7+J8+J9+J10+J11+J12+J13+J14+J15+J16</f>
        <v>170</v>
      </c>
      <c r="K3" s="8"/>
      <c r="L3" s="8"/>
      <c r="M3" s="8"/>
      <c r="N3" s="8"/>
      <c r="O3" s="8">
        <f t="shared" ref="O3" si="0">O4+O5+O6+O7+O8+O9+O10+O11+O12+O13+O14+O15+O16</f>
        <v>170</v>
      </c>
    </row>
    <row r="4" spans="1:16" x14ac:dyDescent="0.25">
      <c r="A4" s="4" t="s">
        <v>4</v>
      </c>
      <c r="C4" s="4" t="s">
        <v>5</v>
      </c>
      <c r="D4" s="4" t="s">
        <v>6</v>
      </c>
      <c r="E4" s="4" t="s">
        <v>7</v>
      </c>
      <c r="I4" s="9" t="s">
        <v>8</v>
      </c>
      <c r="J4" s="10">
        <v>0</v>
      </c>
      <c r="K4" s="10"/>
      <c r="L4" s="10"/>
      <c r="M4" s="10"/>
      <c r="N4" s="10"/>
      <c r="O4" s="10">
        <f>SUM(J4:N4)</f>
        <v>0</v>
      </c>
    </row>
    <row r="5" spans="1:16" x14ac:dyDescent="0.25">
      <c r="A5" s="11" t="s">
        <v>9</v>
      </c>
      <c r="B5" s="11" t="s">
        <v>10</v>
      </c>
      <c r="C5" s="12" t="e">
        <f>SUMIF('29-30'!$D$68:$D$88,A5,'29-30'!#REF!)</f>
        <v>#REF!</v>
      </c>
      <c r="D5" s="12" t="e">
        <f>SUMIF('29-30'!$D$92:$D$289,A5,'29-30'!#REF!)</f>
        <v>#REF!</v>
      </c>
      <c r="E5" s="13" t="e">
        <f t="shared" ref="E5:E12" si="1">C5-D5</f>
        <v>#REF!</v>
      </c>
      <c r="I5" s="7" t="s">
        <v>11</v>
      </c>
      <c r="J5" s="10">
        <v>0</v>
      </c>
      <c r="K5" s="10"/>
      <c r="L5" s="10"/>
      <c r="M5" s="10"/>
      <c r="N5" s="10"/>
      <c r="O5" s="10">
        <f t="shared" ref="O5:O16" si="2">SUM(J5:N5)</f>
        <v>0</v>
      </c>
    </row>
    <row r="6" spans="1:16" x14ac:dyDescent="0.25">
      <c r="A6" s="11" t="s">
        <v>12</v>
      </c>
      <c r="B6" s="11" t="s">
        <v>13</v>
      </c>
      <c r="C6" s="12" t="e">
        <f>SUMIF('29-30'!$D$68:$D$88,A6,'29-30'!#REF!)</f>
        <v>#REF!</v>
      </c>
      <c r="D6" s="12" t="e">
        <f>SUMIF('29-30'!$D$92:$D$289,A6,'29-30'!#REF!)</f>
        <v>#REF!</v>
      </c>
      <c r="E6" s="13" t="e">
        <f t="shared" si="1"/>
        <v>#REF!</v>
      </c>
      <c r="I6" s="7" t="s">
        <v>14</v>
      </c>
      <c r="J6" s="10">
        <v>0</v>
      </c>
      <c r="K6" s="10"/>
      <c r="L6" s="10"/>
      <c r="M6" s="10"/>
      <c r="N6" s="10"/>
      <c r="O6" s="10">
        <f t="shared" si="2"/>
        <v>0</v>
      </c>
    </row>
    <row r="7" spans="1:16" x14ac:dyDescent="0.25">
      <c r="A7" s="11" t="s">
        <v>15</v>
      </c>
      <c r="B7" s="11" t="s">
        <v>16</v>
      </c>
      <c r="C7" s="12" t="e">
        <f>SUMIF('29-30'!$D$68:$D$88,A7,'29-30'!#REF!)</f>
        <v>#REF!</v>
      </c>
      <c r="D7" s="12" t="e">
        <f>SUMIF('29-30'!$D$92:$D$289,A7,'29-30'!#REF!)</f>
        <v>#REF!</v>
      </c>
      <c r="E7" s="13" t="e">
        <f t="shared" si="1"/>
        <v>#REF!</v>
      </c>
      <c r="I7" s="14" t="s">
        <v>17</v>
      </c>
      <c r="J7" s="10">
        <v>0</v>
      </c>
      <c r="K7" s="10"/>
      <c r="L7" s="10"/>
      <c r="M7" s="10"/>
      <c r="N7" s="10"/>
      <c r="O7" s="10">
        <f t="shared" si="2"/>
        <v>0</v>
      </c>
    </row>
    <row r="8" spans="1:16" x14ac:dyDescent="0.25">
      <c r="A8" s="11" t="s">
        <v>18</v>
      </c>
      <c r="B8" s="11" t="s">
        <v>19</v>
      </c>
      <c r="C8" s="12" t="e">
        <f>SUMIF('29-30'!$D$68:$D$88,A8,'29-30'!#REF!)</f>
        <v>#REF!</v>
      </c>
      <c r="D8" s="12" t="e">
        <f>SUMIF('29-30'!$D$92:$D$289,A8,'29-30'!#REF!)</f>
        <v>#REF!</v>
      </c>
      <c r="E8" s="13" t="e">
        <f t="shared" si="1"/>
        <v>#REF!</v>
      </c>
      <c r="I8" s="14" t="s">
        <v>20</v>
      </c>
      <c r="J8" s="10">
        <v>0</v>
      </c>
      <c r="K8" s="10"/>
      <c r="L8" s="10"/>
      <c r="M8" s="10"/>
      <c r="N8" s="10"/>
      <c r="O8" s="10">
        <f t="shared" si="2"/>
        <v>0</v>
      </c>
    </row>
    <row r="9" spans="1:16" x14ac:dyDescent="0.25">
      <c r="A9" s="11" t="s">
        <v>21</v>
      </c>
      <c r="B9" s="11" t="s">
        <v>22</v>
      </c>
      <c r="C9" s="12" t="e">
        <f>SUMIF('29-30'!$D$68:$D$88,A9,'29-30'!#REF!)</f>
        <v>#REF!</v>
      </c>
      <c r="D9" s="12" t="e">
        <f>SUMIF('29-30'!$D$92:$D$289,A9,'29-30'!#REF!)</f>
        <v>#REF!</v>
      </c>
      <c r="E9" s="13" t="e">
        <f t="shared" si="1"/>
        <v>#REF!</v>
      </c>
      <c r="I9" s="14" t="s">
        <v>23</v>
      </c>
      <c r="J9" s="10">
        <v>0</v>
      </c>
      <c r="K9" s="10"/>
      <c r="L9" s="10"/>
      <c r="M9" s="10"/>
      <c r="N9" s="10"/>
      <c r="O9" s="10">
        <f t="shared" si="2"/>
        <v>0</v>
      </c>
    </row>
    <row r="10" spans="1:16" x14ac:dyDescent="0.25">
      <c r="A10" s="11" t="s">
        <v>24</v>
      </c>
      <c r="B10" s="11" t="s">
        <v>25</v>
      </c>
      <c r="C10" s="12" t="e">
        <f>SUMIF('29-30'!$D$68:$D$88,A10,'29-30'!#REF!)</f>
        <v>#REF!</v>
      </c>
      <c r="D10" s="12" t="e">
        <f>SUMIF('29-30'!$D$92:$D$289,A10,'29-30'!#REF!)</f>
        <v>#REF!</v>
      </c>
      <c r="E10" s="13" t="e">
        <f t="shared" si="1"/>
        <v>#REF!</v>
      </c>
      <c r="I10" s="14" t="s">
        <v>26</v>
      </c>
      <c r="J10" s="15">
        <v>30</v>
      </c>
      <c r="K10" s="15"/>
      <c r="L10" s="15"/>
      <c r="M10" s="15"/>
      <c r="N10" s="15"/>
      <c r="O10" s="10">
        <f t="shared" si="2"/>
        <v>30</v>
      </c>
      <c r="P10" s="157">
        <v>1</v>
      </c>
    </row>
    <row r="11" spans="1:16" x14ac:dyDescent="0.25">
      <c r="A11" s="11" t="s">
        <v>27</v>
      </c>
      <c r="B11" s="11" t="s">
        <v>28</v>
      </c>
      <c r="C11" s="12" t="e">
        <f>SUMIF('29-30'!$D$68:$D$88,A11,'29-30'!#REF!)</f>
        <v>#REF!</v>
      </c>
      <c r="D11" s="12" t="e">
        <f>SUMIF('29-30'!$D$92:$D$289,A11,'29-30'!#REF!)</f>
        <v>#REF!</v>
      </c>
      <c r="E11" s="13" t="e">
        <f t="shared" si="1"/>
        <v>#REF!</v>
      </c>
      <c r="I11" s="14" t="s">
        <v>29</v>
      </c>
      <c r="J11" s="15">
        <v>30</v>
      </c>
      <c r="K11" s="15"/>
      <c r="L11" s="15"/>
      <c r="M11" s="15"/>
      <c r="N11" s="15"/>
      <c r="O11" s="10">
        <f t="shared" si="2"/>
        <v>30</v>
      </c>
      <c r="P11" s="157">
        <v>1</v>
      </c>
    </row>
    <row r="12" spans="1:16" x14ac:dyDescent="0.25">
      <c r="A12" s="11" t="s">
        <v>30</v>
      </c>
      <c r="B12" s="11" t="s">
        <v>31</v>
      </c>
      <c r="C12" s="12" t="e">
        <f>SUMIF('29-30'!$D$68:$D$88,A12,'29-30'!#REF!)</f>
        <v>#REF!</v>
      </c>
      <c r="D12" s="12" t="e">
        <f>SUMIF('29-30'!$D$92:$D$289,A12,'29-30'!#REF!)</f>
        <v>#REF!</v>
      </c>
      <c r="E12" s="13" t="e">
        <f t="shared" si="1"/>
        <v>#REF!</v>
      </c>
      <c r="I12" s="14" t="s">
        <v>32</v>
      </c>
      <c r="J12" s="15">
        <v>30</v>
      </c>
      <c r="K12" s="15"/>
      <c r="L12" s="15"/>
      <c r="M12" s="15"/>
      <c r="N12" s="15"/>
      <c r="O12" s="10">
        <f t="shared" si="2"/>
        <v>30</v>
      </c>
      <c r="P12" s="157">
        <v>1</v>
      </c>
    </row>
    <row r="13" spans="1:16" x14ac:dyDescent="0.25">
      <c r="A13" s="16" t="s">
        <v>33</v>
      </c>
      <c r="B13" s="11" t="s">
        <v>34</v>
      </c>
      <c r="C13" s="12" t="e">
        <f>SUMIF('29-30'!$D$68:$D$88,A13,'29-30'!#REF!)</f>
        <v>#REF!</v>
      </c>
      <c r="D13" s="12" t="e">
        <f>SUMIF('29-30'!$D$92:$D$289,A13,'29-30'!#REF!)</f>
        <v>#REF!</v>
      </c>
      <c r="E13" s="13" t="e">
        <f>C13-D13</f>
        <v>#REF!</v>
      </c>
      <c r="I13" s="14" t="s">
        <v>35</v>
      </c>
      <c r="J13" s="15">
        <v>30</v>
      </c>
      <c r="K13" s="15"/>
      <c r="L13" s="15"/>
      <c r="M13" s="15"/>
      <c r="N13" s="15"/>
      <c r="O13" s="10">
        <f t="shared" si="2"/>
        <v>30</v>
      </c>
      <c r="P13" s="157">
        <v>1</v>
      </c>
    </row>
    <row r="14" spans="1:16" x14ac:dyDescent="0.25">
      <c r="A14" s="11" t="s">
        <v>36</v>
      </c>
      <c r="B14" s="11" t="s">
        <v>37</v>
      </c>
      <c r="C14" s="12" t="e">
        <f>SUMIF('29-30'!$D$68:$D$88,A14,'29-30'!#REF!)</f>
        <v>#REF!</v>
      </c>
      <c r="D14" s="12" t="e">
        <f>SUMIF('29-30'!$D$92:$D$289,A14,'29-30'!#REF!)</f>
        <v>#REF!</v>
      </c>
      <c r="E14" s="13" t="e">
        <f>C14-D14</f>
        <v>#REF!</v>
      </c>
      <c r="I14" s="14" t="s">
        <v>38</v>
      </c>
      <c r="J14" s="15">
        <v>20</v>
      </c>
      <c r="K14" s="15"/>
      <c r="L14" s="15"/>
      <c r="M14" s="15"/>
      <c r="N14" s="15"/>
      <c r="O14" s="10">
        <f t="shared" si="2"/>
        <v>20</v>
      </c>
      <c r="P14" s="157">
        <v>1</v>
      </c>
    </row>
    <row r="15" spans="1:16" x14ac:dyDescent="0.25">
      <c r="A15" s="11" t="s">
        <v>39</v>
      </c>
      <c r="B15" s="11" t="s">
        <v>40</v>
      </c>
      <c r="C15" s="12" t="e">
        <f>SUMIF('29-30'!$D$68:$D$88,A15,'29-30'!#REF!)</f>
        <v>#REF!</v>
      </c>
      <c r="D15" s="12" t="e">
        <f>SUMIF('29-30'!$D$92:$D$289,A15,'29-30'!#REF!)</f>
        <v>#REF!</v>
      </c>
      <c r="E15" s="13" t="e">
        <f>C15-D15</f>
        <v>#REF!</v>
      </c>
      <c r="I15" s="14" t="s">
        <v>41</v>
      </c>
      <c r="J15" s="15">
        <v>15</v>
      </c>
      <c r="K15" s="15"/>
      <c r="L15" s="15"/>
      <c r="M15" s="15"/>
      <c r="N15" s="15"/>
      <c r="O15" s="10">
        <f t="shared" si="2"/>
        <v>15</v>
      </c>
      <c r="P15" s="157">
        <v>1</v>
      </c>
    </row>
    <row r="16" spans="1:16" x14ac:dyDescent="0.25">
      <c r="A16" s="17"/>
      <c r="C16" s="4"/>
      <c r="D16" s="4"/>
      <c r="E16" s="4"/>
      <c r="I16" s="14" t="s">
        <v>42</v>
      </c>
      <c r="J16" s="10">
        <v>15</v>
      </c>
      <c r="K16" s="10"/>
      <c r="L16" s="10"/>
      <c r="M16" s="10"/>
      <c r="N16" s="10"/>
      <c r="O16" s="10">
        <f t="shared" si="2"/>
        <v>15</v>
      </c>
      <c r="P16" s="157">
        <v>1</v>
      </c>
    </row>
    <row r="17" spans="1:16" x14ac:dyDescent="0.25">
      <c r="A17" s="4"/>
      <c r="C17" s="18" t="e">
        <f>SUM(C5:C16)</f>
        <v>#REF!</v>
      </c>
      <c r="D17" s="18" t="e">
        <f>SUM(D5:D16)</f>
        <v>#REF!</v>
      </c>
      <c r="E17" s="18" t="e">
        <f>SUM(E5:E16)</f>
        <v>#REF!</v>
      </c>
      <c r="I17" s="19" t="s">
        <v>3</v>
      </c>
      <c r="J17" s="8">
        <f>SUM(J4:J16)</f>
        <v>170</v>
      </c>
      <c r="K17" s="8">
        <f t="shared" ref="K17:O17" si="3">SUM(K4:K16)</f>
        <v>0</v>
      </c>
      <c r="L17" s="8">
        <f t="shared" si="3"/>
        <v>0</v>
      </c>
      <c r="M17" s="8">
        <f t="shared" si="3"/>
        <v>0</v>
      </c>
      <c r="N17" s="8">
        <f t="shared" si="3"/>
        <v>0</v>
      </c>
      <c r="O17" s="8">
        <f t="shared" si="3"/>
        <v>170</v>
      </c>
      <c r="P17" s="157">
        <f>SUM(P4:P16)</f>
        <v>7</v>
      </c>
    </row>
    <row r="18" spans="1:16" x14ac:dyDescent="0.25">
      <c r="A18" s="11"/>
      <c r="C18" s="20" t="e">
        <f>C17=('29-30'!#REF!+'29-30'!#REF!)</f>
        <v>#REF!</v>
      </c>
      <c r="D18" s="1" t="e">
        <f>D17=('29-30'!#REF!+'29-30'!#REF!)</f>
        <v>#REF!</v>
      </c>
      <c r="E18" s="20" t="e">
        <f>ROUND(E17,2)=ROUND('29-30'!#REF!,2)</f>
        <v>#REF!</v>
      </c>
    </row>
    <row r="20" spans="1:16" x14ac:dyDescent="0.25">
      <c r="I20" s="21" t="s">
        <v>43</v>
      </c>
      <c r="J20" s="22" t="s">
        <v>10</v>
      </c>
      <c r="K20" s="22" t="s">
        <v>44</v>
      </c>
      <c r="L20" s="22" t="s">
        <v>40</v>
      </c>
      <c r="M20" s="22" t="s">
        <v>45</v>
      </c>
      <c r="N20" s="22" t="s">
        <v>46</v>
      </c>
      <c r="O20" s="22" t="s">
        <v>47</v>
      </c>
    </row>
    <row r="21" spans="1:16" x14ac:dyDescent="0.25">
      <c r="I21" s="14" t="s">
        <v>49</v>
      </c>
      <c r="J21" s="10">
        <v>0</v>
      </c>
      <c r="K21" s="10">
        <f>ROUND(('28-29'!K21/'28-29'!J17)*'29-30'!J17,0)</f>
        <v>19</v>
      </c>
      <c r="L21" s="10"/>
      <c r="M21" s="10"/>
      <c r="N21" s="10"/>
      <c r="O21" s="10">
        <f>SUM(J21:N21)</f>
        <v>19</v>
      </c>
    </row>
    <row r="22" spans="1:16" x14ac:dyDescent="0.25">
      <c r="I22" s="14" t="s">
        <v>50</v>
      </c>
      <c r="J22" s="10">
        <f>ROUND(('28-29'!J22/'28-29'!J17)*'29-30'!J17,0)</f>
        <v>23</v>
      </c>
      <c r="K22" s="10"/>
      <c r="L22" s="10"/>
      <c r="M22" s="10"/>
      <c r="N22" s="10"/>
      <c r="O22" s="10">
        <f t="shared" ref="O22:O25" si="4">SUM(J22:N22)</f>
        <v>23</v>
      </c>
    </row>
    <row r="23" spans="1:16" x14ac:dyDescent="0.25">
      <c r="I23" s="14" t="s">
        <v>51</v>
      </c>
      <c r="J23" s="15">
        <v>0</v>
      </c>
      <c r="K23" s="15"/>
      <c r="L23" s="15"/>
      <c r="M23" s="15"/>
      <c r="N23" s="15"/>
      <c r="O23" s="10">
        <f t="shared" si="4"/>
        <v>0</v>
      </c>
    </row>
    <row r="24" spans="1:16" x14ac:dyDescent="0.25">
      <c r="I24" s="14" t="s">
        <v>52</v>
      </c>
      <c r="J24" s="15">
        <v>3</v>
      </c>
      <c r="K24" s="15"/>
      <c r="L24" s="15"/>
      <c r="M24" s="15"/>
      <c r="N24" s="15"/>
      <c r="O24" s="10">
        <f t="shared" si="4"/>
        <v>3</v>
      </c>
    </row>
    <row r="25" spans="1:16" x14ac:dyDescent="0.25">
      <c r="I25" s="14" t="s">
        <v>53</v>
      </c>
      <c r="J25" s="23"/>
      <c r="K25" s="23"/>
      <c r="L25" s="23">
        <v>1</v>
      </c>
      <c r="M25" s="23"/>
      <c r="N25" s="23"/>
      <c r="O25" s="24">
        <f t="shared" si="4"/>
        <v>1</v>
      </c>
    </row>
    <row r="26" spans="1:16" x14ac:dyDescent="0.25">
      <c r="I26" s="25" t="s">
        <v>54</v>
      </c>
      <c r="J26" s="22" t="str">
        <f>J20</f>
        <v>Operating</v>
      </c>
      <c r="K26" s="22" t="str">
        <f t="shared" ref="K26:O26" si="5">K20</f>
        <v>SPED</v>
      </c>
      <c r="L26" s="22" t="str">
        <f t="shared" si="5"/>
        <v>NSLP</v>
      </c>
      <c r="M26" s="22" t="str">
        <f t="shared" si="5"/>
        <v>Title(s)</v>
      </c>
      <c r="N26" s="22" t="str">
        <f t="shared" si="5"/>
        <v>Other</v>
      </c>
      <c r="O26" s="22" t="str">
        <f t="shared" si="5"/>
        <v>Total</v>
      </c>
    </row>
    <row r="27" spans="1:16" x14ac:dyDescent="0.25">
      <c r="I27" s="26" t="s">
        <v>55</v>
      </c>
      <c r="J27" s="27">
        <v>7</v>
      </c>
      <c r="K27" s="27"/>
      <c r="L27" s="27"/>
      <c r="M27" s="27"/>
      <c r="N27" s="27"/>
      <c r="O27" s="27">
        <f>SUM(J27:N27)</f>
        <v>7</v>
      </c>
    </row>
    <row r="28" spans="1:16" x14ac:dyDescent="0.25">
      <c r="I28" s="26" t="s">
        <v>56</v>
      </c>
      <c r="J28" s="28"/>
      <c r="K28" s="28">
        <v>1</v>
      </c>
      <c r="L28" s="28"/>
      <c r="M28" s="28"/>
      <c r="N28" s="28"/>
      <c r="O28" s="27">
        <f t="shared" ref="O28:O35" si="6">SUM(J28:N28)</f>
        <v>1</v>
      </c>
    </row>
    <row r="29" spans="1:16" x14ac:dyDescent="0.25">
      <c r="I29" s="26" t="s">
        <v>57</v>
      </c>
      <c r="J29" s="27">
        <v>0</v>
      </c>
      <c r="K29" s="27"/>
      <c r="L29" s="27"/>
      <c r="M29" s="27"/>
      <c r="N29" s="27"/>
      <c r="O29" s="27">
        <f t="shared" si="6"/>
        <v>0</v>
      </c>
    </row>
    <row r="30" spans="1:16" x14ac:dyDescent="0.25">
      <c r="I30" s="26" t="s">
        <v>58</v>
      </c>
      <c r="J30" s="27">
        <v>0</v>
      </c>
      <c r="K30" s="27"/>
      <c r="L30" s="27"/>
      <c r="M30" s="27"/>
      <c r="N30" s="27"/>
      <c r="O30" s="27">
        <f t="shared" si="6"/>
        <v>0</v>
      </c>
    </row>
    <row r="31" spans="1:16" x14ac:dyDescent="0.25">
      <c r="I31" s="26" t="s">
        <v>59</v>
      </c>
      <c r="J31" s="27">
        <v>0</v>
      </c>
      <c r="K31" s="27"/>
      <c r="L31" s="27"/>
      <c r="M31" s="27"/>
      <c r="N31" s="27"/>
      <c r="O31" s="27">
        <f t="shared" si="6"/>
        <v>0</v>
      </c>
    </row>
    <row r="32" spans="1:16" x14ac:dyDescent="0.25">
      <c r="I32" s="29" t="s">
        <v>60</v>
      </c>
      <c r="J32" s="27">
        <v>0</v>
      </c>
      <c r="K32" s="27"/>
      <c r="L32" s="27"/>
      <c r="M32" s="27"/>
      <c r="N32" s="27"/>
      <c r="O32" s="27">
        <f t="shared" si="6"/>
        <v>0</v>
      </c>
    </row>
    <row r="33" spans="9:15" x14ac:dyDescent="0.25">
      <c r="I33" s="29" t="s">
        <v>61</v>
      </c>
      <c r="J33" s="27">
        <v>0</v>
      </c>
      <c r="K33" s="27"/>
      <c r="L33" s="27"/>
      <c r="M33" s="27"/>
      <c r="N33" s="27"/>
      <c r="O33" s="27">
        <f t="shared" si="6"/>
        <v>0</v>
      </c>
    </row>
    <row r="34" spans="9:15" x14ac:dyDescent="0.25">
      <c r="I34" s="29" t="s">
        <v>62</v>
      </c>
      <c r="J34" s="27">
        <v>1</v>
      </c>
      <c r="K34" s="27"/>
      <c r="L34" s="27"/>
      <c r="M34" s="27"/>
      <c r="N34" s="27"/>
      <c r="O34" s="27">
        <f t="shared" si="6"/>
        <v>1</v>
      </c>
    </row>
    <row r="35" spans="9:15" x14ac:dyDescent="0.25">
      <c r="I35" s="30" t="s">
        <v>63</v>
      </c>
      <c r="J35" s="27">
        <v>0</v>
      </c>
      <c r="K35" s="27"/>
      <c r="L35" s="27"/>
      <c r="M35" s="27"/>
      <c r="N35" s="27"/>
      <c r="O35" s="27">
        <f t="shared" si="6"/>
        <v>0</v>
      </c>
    </row>
    <row r="36" spans="9:15" x14ac:dyDescent="0.25">
      <c r="I36" s="25" t="s">
        <v>64</v>
      </c>
      <c r="J36" s="31">
        <f t="shared" ref="J36:O36" si="7">SUM(J27:J35)</f>
        <v>8</v>
      </c>
      <c r="K36" s="31">
        <f t="shared" si="7"/>
        <v>1</v>
      </c>
      <c r="L36" s="31">
        <f t="shared" si="7"/>
        <v>0</v>
      </c>
      <c r="M36" s="31">
        <f t="shared" si="7"/>
        <v>0</v>
      </c>
      <c r="N36" s="31">
        <f t="shared" si="7"/>
        <v>0</v>
      </c>
      <c r="O36" s="31">
        <f t="shared" si="7"/>
        <v>9</v>
      </c>
    </row>
    <row r="37" spans="9:15" x14ac:dyDescent="0.25">
      <c r="I37" s="32"/>
      <c r="J37" s="10"/>
      <c r="K37" s="10"/>
      <c r="L37" s="10"/>
      <c r="M37" s="10"/>
      <c r="N37" s="10"/>
      <c r="O37" s="10"/>
    </row>
    <row r="38" spans="9:15" x14ac:dyDescent="0.25">
      <c r="I38" s="25" t="s">
        <v>65</v>
      </c>
      <c r="J38" s="22" t="str">
        <f>J20</f>
        <v>Operating</v>
      </c>
      <c r="K38" s="22" t="str">
        <f t="shared" ref="K38:N38" si="8">K20</f>
        <v>SPED</v>
      </c>
      <c r="L38" s="22" t="str">
        <f t="shared" si="8"/>
        <v>NSLP</v>
      </c>
      <c r="M38" s="22" t="str">
        <f t="shared" si="8"/>
        <v>Title(s)</v>
      </c>
      <c r="N38" s="22" t="str">
        <f t="shared" si="8"/>
        <v>Other</v>
      </c>
      <c r="O38" s="22" t="str">
        <f>O20</f>
        <v>Total</v>
      </c>
    </row>
    <row r="39" spans="9:15" x14ac:dyDescent="0.25">
      <c r="I39" s="29" t="s">
        <v>402</v>
      </c>
      <c r="J39" s="28">
        <v>0</v>
      </c>
      <c r="K39" s="28"/>
      <c r="L39" s="28"/>
      <c r="M39" s="28"/>
      <c r="N39" s="28"/>
      <c r="O39" s="27">
        <f>SUM(J39:N39)</f>
        <v>0</v>
      </c>
    </row>
    <row r="40" spans="9:15" x14ac:dyDescent="0.25">
      <c r="I40" s="29" t="s">
        <v>66</v>
      </c>
      <c r="J40" s="28">
        <v>1</v>
      </c>
      <c r="K40" s="28"/>
      <c r="L40" s="28"/>
      <c r="M40" s="28"/>
      <c r="N40" s="28"/>
      <c r="O40" s="27">
        <f t="shared" ref="O40:O60" si="9">SUM(J40:N40)</f>
        <v>1</v>
      </c>
    </row>
    <row r="41" spans="9:15" x14ac:dyDescent="0.25">
      <c r="I41" s="33" t="s">
        <v>67</v>
      </c>
      <c r="J41" s="28"/>
      <c r="K41" s="28"/>
      <c r="L41" s="28"/>
      <c r="M41" s="28">
        <v>0</v>
      </c>
      <c r="N41" s="28"/>
      <c r="O41" s="27">
        <f t="shared" si="9"/>
        <v>0</v>
      </c>
    </row>
    <row r="42" spans="9:15" x14ac:dyDescent="0.25">
      <c r="I42" s="29" t="s">
        <v>68</v>
      </c>
      <c r="J42" s="28">
        <v>0</v>
      </c>
      <c r="K42" s="28"/>
      <c r="L42" s="28"/>
      <c r="M42" s="28"/>
      <c r="N42" s="28"/>
      <c r="O42" s="27">
        <f t="shared" si="9"/>
        <v>0</v>
      </c>
    </row>
    <row r="43" spans="9:15" x14ac:dyDescent="0.25">
      <c r="I43" s="29" t="s">
        <v>69</v>
      </c>
      <c r="J43" s="28">
        <v>0</v>
      </c>
      <c r="K43" s="28"/>
      <c r="L43" s="28"/>
      <c r="M43" s="28"/>
      <c r="N43" s="28"/>
      <c r="O43" s="27">
        <f t="shared" si="9"/>
        <v>0</v>
      </c>
    </row>
    <row r="44" spans="9:15" x14ac:dyDescent="0.25">
      <c r="I44" s="29" t="s">
        <v>70</v>
      </c>
      <c r="J44" s="28">
        <v>1</v>
      </c>
      <c r="K44" s="28"/>
      <c r="L44" s="28"/>
      <c r="M44" s="28"/>
      <c r="N44" s="28"/>
      <c r="O44" s="27">
        <f t="shared" si="9"/>
        <v>1</v>
      </c>
    </row>
    <row r="45" spans="9:15" x14ac:dyDescent="0.25">
      <c r="I45" s="29" t="s">
        <v>71</v>
      </c>
      <c r="J45" s="28">
        <v>0</v>
      </c>
      <c r="K45" s="28"/>
      <c r="L45" s="28"/>
      <c r="M45" s="28"/>
      <c r="N45" s="28"/>
      <c r="O45" s="27">
        <f t="shared" si="9"/>
        <v>0</v>
      </c>
    </row>
    <row r="46" spans="9:15" x14ac:dyDescent="0.25">
      <c r="I46" s="29" t="s">
        <v>72</v>
      </c>
      <c r="J46" s="28">
        <v>1</v>
      </c>
      <c r="K46" s="28"/>
      <c r="L46" s="28"/>
      <c r="M46" s="28"/>
      <c r="N46" s="28"/>
      <c r="O46" s="27">
        <f t="shared" si="9"/>
        <v>1</v>
      </c>
    </row>
    <row r="47" spans="9:15" x14ac:dyDescent="0.25">
      <c r="I47" s="29" t="s">
        <v>73</v>
      </c>
      <c r="J47" s="28">
        <v>0</v>
      </c>
      <c r="K47" s="28"/>
      <c r="L47" s="28"/>
      <c r="M47" s="28"/>
      <c r="N47" s="28"/>
      <c r="O47" s="27">
        <f t="shared" si="9"/>
        <v>0</v>
      </c>
    </row>
    <row r="48" spans="9:15" x14ac:dyDescent="0.25">
      <c r="I48" s="29" t="s">
        <v>74</v>
      </c>
      <c r="J48" s="28">
        <v>0</v>
      </c>
      <c r="K48" s="28"/>
      <c r="L48" s="28"/>
      <c r="M48" s="28"/>
      <c r="N48" s="28"/>
      <c r="O48" s="27">
        <f t="shared" si="9"/>
        <v>0</v>
      </c>
    </row>
    <row r="49" spans="9:15" x14ac:dyDescent="0.25">
      <c r="I49" s="29" t="s">
        <v>75</v>
      </c>
      <c r="J49" s="28">
        <v>0</v>
      </c>
      <c r="K49" s="28"/>
      <c r="L49" s="28"/>
      <c r="M49" s="28"/>
      <c r="N49" s="28"/>
      <c r="O49" s="27">
        <f t="shared" si="9"/>
        <v>0</v>
      </c>
    </row>
    <row r="50" spans="9:15" x14ac:dyDescent="0.25">
      <c r="I50" s="29" t="s">
        <v>76</v>
      </c>
      <c r="J50" s="28">
        <v>0</v>
      </c>
      <c r="K50" s="28"/>
      <c r="L50" s="28"/>
      <c r="M50" s="28">
        <v>1</v>
      </c>
      <c r="N50" s="28"/>
      <c r="O50" s="27">
        <f t="shared" si="9"/>
        <v>1</v>
      </c>
    </row>
    <row r="51" spans="9:15" x14ac:dyDescent="0.25">
      <c r="I51" s="29" t="s">
        <v>77</v>
      </c>
      <c r="J51" s="28">
        <v>0</v>
      </c>
      <c r="K51" s="28"/>
      <c r="L51" s="28"/>
      <c r="M51" s="28"/>
      <c r="N51" s="28"/>
      <c r="O51" s="27">
        <f t="shared" si="9"/>
        <v>0</v>
      </c>
    </row>
    <row r="52" spans="9:15" x14ac:dyDescent="0.25">
      <c r="I52" s="29" t="s">
        <v>78</v>
      </c>
      <c r="J52" s="28"/>
      <c r="K52" s="28"/>
      <c r="L52" s="28">
        <v>1</v>
      </c>
      <c r="M52" s="28"/>
      <c r="N52" s="28"/>
      <c r="O52" s="27">
        <f t="shared" si="9"/>
        <v>1</v>
      </c>
    </row>
    <row r="53" spans="9:15" x14ac:dyDescent="0.25">
      <c r="I53" s="29" t="s">
        <v>79</v>
      </c>
      <c r="J53" s="28">
        <v>0</v>
      </c>
      <c r="K53" s="28"/>
      <c r="L53" s="28"/>
      <c r="M53" s="28"/>
      <c r="N53" s="28"/>
      <c r="O53" s="27">
        <f t="shared" si="9"/>
        <v>0</v>
      </c>
    </row>
    <row r="54" spans="9:15" x14ac:dyDescent="0.25">
      <c r="I54" s="33" t="s">
        <v>80</v>
      </c>
      <c r="J54" s="28">
        <v>0</v>
      </c>
      <c r="K54" s="28"/>
      <c r="L54" s="28"/>
      <c r="M54" s="28"/>
      <c r="N54" s="28"/>
      <c r="O54" s="27">
        <f t="shared" si="9"/>
        <v>0</v>
      </c>
    </row>
    <row r="55" spans="9:15" x14ac:dyDescent="0.25">
      <c r="I55" s="33" t="s">
        <v>81</v>
      </c>
      <c r="J55" s="28">
        <v>0</v>
      </c>
      <c r="K55" s="28"/>
      <c r="L55" s="28"/>
      <c r="M55" s="28"/>
      <c r="N55" s="28"/>
      <c r="O55" s="27">
        <f t="shared" si="9"/>
        <v>0</v>
      </c>
    </row>
    <row r="56" spans="9:15" x14ac:dyDescent="0.25">
      <c r="I56" s="33" t="s">
        <v>82</v>
      </c>
      <c r="J56" s="28">
        <v>0</v>
      </c>
      <c r="K56" s="28"/>
      <c r="L56" s="28"/>
      <c r="M56" s="28"/>
      <c r="N56" s="28"/>
      <c r="O56" s="27">
        <f t="shared" si="9"/>
        <v>0</v>
      </c>
    </row>
    <row r="57" spans="9:15" x14ac:dyDescent="0.25">
      <c r="I57" s="33" t="s">
        <v>83</v>
      </c>
      <c r="J57" s="28">
        <v>0</v>
      </c>
      <c r="K57" s="28"/>
      <c r="L57" s="28"/>
      <c r="M57" s="28"/>
      <c r="N57" s="28"/>
      <c r="O57" s="27">
        <f t="shared" si="9"/>
        <v>0</v>
      </c>
    </row>
    <row r="58" spans="9:15" x14ac:dyDescent="0.25">
      <c r="I58" s="33" t="s">
        <v>84</v>
      </c>
      <c r="J58" s="28">
        <v>0</v>
      </c>
      <c r="K58" s="28"/>
      <c r="L58" s="28"/>
      <c r="M58" s="28"/>
      <c r="N58" s="28"/>
      <c r="O58" s="27">
        <f t="shared" si="9"/>
        <v>0</v>
      </c>
    </row>
    <row r="59" spans="9:15" x14ac:dyDescent="0.25">
      <c r="I59" s="33" t="s">
        <v>85</v>
      </c>
      <c r="J59" s="28">
        <v>0</v>
      </c>
      <c r="K59" s="28"/>
      <c r="L59" s="28"/>
      <c r="M59" s="28"/>
      <c r="N59" s="28"/>
      <c r="O59" s="27">
        <f t="shared" si="9"/>
        <v>0</v>
      </c>
    </row>
    <row r="60" spans="9:15" x14ac:dyDescent="0.25">
      <c r="I60" s="29" t="s">
        <v>86</v>
      </c>
      <c r="J60" s="27">
        <v>0</v>
      </c>
      <c r="K60" s="27"/>
      <c r="L60" s="27"/>
      <c r="M60" s="27"/>
      <c r="N60" s="27"/>
      <c r="O60" s="27">
        <f t="shared" si="9"/>
        <v>0</v>
      </c>
    </row>
    <row r="61" spans="9:15" x14ac:dyDescent="0.25">
      <c r="I61" s="25" t="s">
        <v>87</v>
      </c>
      <c r="J61" s="31">
        <f t="shared" ref="J61:O61" si="10">SUM(J39:J60)</f>
        <v>3</v>
      </c>
      <c r="K61" s="31">
        <f t="shared" si="10"/>
        <v>0</v>
      </c>
      <c r="L61" s="31">
        <f t="shared" si="10"/>
        <v>1</v>
      </c>
      <c r="M61" s="31">
        <f t="shared" si="10"/>
        <v>1</v>
      </c>
      <c r="N61" s="31">
        <f t="shared" si="10"/>
        <v>0</v>
      </c>
      <c r="O61" s="31">
        <f t="shared" si="10"/>
        <v>5</v>
      </c>
    </row>
    <row r="62" spans="9:15" ht="16.5" thickBot="1" x14ac:dyDescent="0.3">
      <c r="I62" s="34"/>
      <c r="J62" s="35"/>
      <c r="K62" s="35"/>
      <c r="L62" s="35"/>
      <c r="M62" s="35"/>
      <c r="N62" s="35"/>
      <c r="O62" s="35"/>
    </row>
    <row r="63" spans="9:15" x14ac:dyDescent="0.25">
      <c r="I63" s="36" t="s">
        <v>88</v>
      </c>
      <c r="J63" s="37">
        <f t="shared" ref="J63:O63" si="11">J36</f>
        <v>8</v>
      </c>
      <c r="K63" s="37">
        <f t="shared" si="11"/>
        <v>1</v>
      </c>
      <c r="L63" s="37">
        <f t="shared" si="11"/>
        <v>0</v>
      </c>
      <c r="M63" s="37">
        <f t="shared" si="11"/>
        <v>0</v>
      </c>
      <c r="N63" s="37">
        <f t="shared" si="11"/>
        <v>0</v>
      </c>
      <c r="O63" s="37">
        <f t="shared" si="11"/>
        <v>9</v>
      </c>
    </row>
    <row r="64" spans="9:15" x14ac:dyDescent="0.25">
      <c r="I64" s="38" t="s">
        <v>89</v>
      </c>
      <c r="J64" s="39">
        <f t="shared" ref="J64:O64" si="12">J61</f>
        <v>3</v>
      </c>
      <c r="K64" s="39">
        <f t="shared" si="12"/>
        <v>0</v>
      </c>
      <c r="L64" s="39">
        <f t="shared" si="12"/>
        <v>1</v>
      </c>
      <c r="M64" s="39">
        <f t="shared" si="12"/>
        <v>1</v>
      </c>
      <c r="N64" s="39">
        <f t="shared" si="12"/>
        <v>0</v>
      </c>
      <c r="O64" s="39">
        <f t="shared" si="12"/>
        <v>5</v>
      </c>
    </row>
    <row r="65" spans="1:15" ht="16.5" thickBot="1" x14ac:dyDescent="0.3">
      <c r="I65" s="40" t="s">
        <v>90</v>
      </c>
      <c r="J65" s="41">
        <f t="shared" ref="J65:O65" si="13">SUM(J63:J64)</f>
        <v>11</v>
      </c>
      <c r="K65" s="41">
        <f t="shared" si="13"/>
        <v>1</v>
      </c>
      <c r="L65" s="41">
        <f t="shared" si="13"/>
        <v>1</v>
      </c>
      <c r="M65" s="41">
        <f t="shared" si="13"/>
        <v>1</v>
      </c>
      <c r="N65" s="41">
        <f t="shared" si="13"/>
        <v>0</v>
      </c>
      <c r="O65" s="41">
        <f t="shared" si="13"/>
        <v>14</v>
      </c>
    </row>
    <row r="66" spans="1:15" ht="16.5" thickBot="1" x14ac:dyDescent="0.3"/>
    <row r="67" spans="1:15" ht="16.5" thickBot="1" x14ac:dyDescent="0.3">
      <c r="A67" s="42" t="s">
        <v>5</v>
      </c>
      <c r="B67" s="42" t="s">
        <v>91</v>
      </c>
      <c r="C67" s="42" t="s">
        <v>92</v>
      </c>
      <c r="D67" s="42" t="s">
        <v>4</v>
      </c>
      <c r="E67" s="42" t="s">
        <v>93</v>
      </c>
      <c r="G67" s="43" t="s">
        <v>94</v>
      </c>
      <c r="H67" s="43"/>
      <c r="I67" s="44"/>
      <c r="J67" s="45" t="str">
        <f>J20</f>
        <v>Operating</v>
      </c>
      <c r="K67" s="45" t="str">
        <f t="shared" ref="K67:O67" si="14">K20</f>
        <v>SPED</v>
      </c>
      <c r="L67" s="45" t="str">
        <f t="shared" si="14"/>
        <v>NSLP</v>
      </c>
      <c r="M67" s="45" t="str">
        <f t="shared" si="14"/>
        <v>Title(s)</v>
      </c>
      <c r="N67" s="45" t="str">
        <f t="shared" si="14"/>
        <v>Other</v>
      </c>
      <c r="O67" s="45" t="str">
        <f t="shared" si="14"/>
        <v>Total</v>
      </c>
    </row>
    <row r="68" spans="1:15" x14ac:dyDescent="0.25">
      <c r="A68" s="46">
        <v>40010</v>
      </c>
      <c r="B68" s="47" t="s">
        <v>95</v>
      </c>
      <c r="C68" s="48">
        <f t="shared" ref="C68:C82" si="15">$C$1</f>
        <v>0</v>
      </c>
      <c r="D68" s="49" t="s">
        <v>9</v>
      </c>
      <c r="E68" s="47" t="s">
        <v>96</v>
      </c>
      <c r="I68" s="49" t="s">
        <v>97</v>
      </c>
      <c r="J68" s="50">
        <f>J17*J2</f>
        <v>1686230</v>
      </c>
      <c r="K68" s="50"/>
      <c r="L68" s="50"/>
      <c r="M68" s="50"/>
      <c r="N68" s="50"/>
      <c r="O68" s="50">
        <f>SUM(J68:N68)</f>
        <v>1686230</v>
      </c>
    </row>
    <row r="69" spans="1:15" x14ac:dyDescent="0.25">
      <c r="A69" s="51">
        <v>40012</v>
      </c>
      <c r="B69" s="47" t="s">
        <v>95</v>
      </c>
      <c r="C69" s="48">
        <f t="shared" si="15"/>
        <v>0</v>
      </c>
      <c r="D69" s="52" t="s">
        <v>12</v>
      </c>
      <c r="E69" s="47" t="s">
        <v>96</v>
      </c>
      <c r="I69" s="52" t="s">
        <v>13</v>
      </c>
      <c r="J69" s="53">
        <f>J22*(0.45*J2)</f>
        <v>102661.65000000001</v>
      </c>
      <c r="K69" s="53"/>
      <c r="L69" s="53"/>
      <c r="M69" s="53"/>
      <c r="N69" s="53"/>
      <c r="O69" s="50">
        <f t="shared" ref="O69:O82" si="16">SUM(J69:N69)</f>
        <v>102661.65000000001</v>
      </c>
    </row>
    <row r="70" spans="1:15" x14ac:dyDescent="0.25">
      <c r="A70" s="51">
        <v>40014</v>
      </c>
      <c r="B70" s="47" t="s">
        <v>95</v>
      </c>
      <c r="C70" s="48">
        <f t="shared" si="15"/>
        <v>0</v>
      </c>
      <c r="D70" s="52" t="s">
        <v>15</v>
      </c>
      <c r="E70" s="47" t="s">
        <v>96</v>
      </c>
      <c r="I70" s="52" t="s">
        <v>16</v>
      </c>
      <c r="J70" s="53">
        <f>J23*(0.12*J2)</f>
        <v>0</v>
      </c>
      <c r="K70" s="53"/>
      <c r="L70" s="53"/>
      <c r="M70" s="53"/>
      <c r="N70" s="53"/>
      <c r="O70" s="50">
        <f t="shared" si="16"/>
        <v>0</v>
      </c>
    </row>
    <row r="71" spans="1:15" x14ac:dyDescent="0.25">
      <c r="A71" s="51">
        <v>40013</v>
      </c>
      <c r="B71" s="47" t="s">
        <v>95</v>
      </c>
      <c r="C71" s="48">
        <f t="shared" si="15"/>
        <v>0</v>
      </c>
      <c r="D71" s="52" t="s">
        <v>18</v>
      </c>
      <c r="E71" s="47" t="s">
        <v>96</v>
      </c>
      <c r="I71" s="52" t="s">
        <v>19</v>
      </c>
      <c r="J71" s="53">
        <f>J24*(0.35*J2)</f>
        <v>10414.949999999999</v>
      </c>
      <c r="K71" s="53"/>
      <c r="L71" s="53"/>
      <c r="M71" s="53"/>
      <c r="N71" s="53"/>
      <c r="O71" s="50">
        <f t="shared" si="16"/>
        <v>10414.949999999999</v>
      </c>
    </row>
    <row r="72" spans="1:15" x14ac:dyDescent="0.25">
      <c r="A72" s="51">
        <v>40015</v>
      </c>
      <c r="B72" s="47" t="s">
        <v>95</v>
      </c>
      <c r="C72" s="48">
        <f t="shared" si="15"/>
        <v>0</v>
      </c>
      <c r="D72" s="52" t="s">
        <v>21</v>
      </c>
      <c r="E72" s="47" t="s">
        <v>96</v>
      </c>
      <c r="I72" s="52" t="s">
        <v>22</v>
      </c>
      <c r="J72" s="53">
        <v>49722.3</v>
      </c>
      <c r="K72" s="53"/>
      <c r="L72" s="53"/>
      <c r="M72" s="53"/>
      <c r="N72" s="53"/>
      <c r="O72" s="50">
        <f t="shared" si="16"/>
        <v>49722.3</v>
      </c>
    </row>
    <row r="73" spans="1:15" x14ac:dyDescent="0.25">
      <c r="A73" s="51">
        <v>40011</v>
      </c>
      <c r="B73" s="47" t="s">
        <v>95</v>
      </c>
      <c r="C73" s="48">
        <f t="shared" si="15"/>
        <v>0</v>
      </c>
      <c r="D73" s="54" t="s">
        <v>27</v>
      </c>
      <c r="E73" s="47" t="s">
        <v>96</v>
      </c>
      <c r="I73" s="52" t="s">
        <v>98</v>
      </c>
      <c r="J73" s="53"/>
      <c r="K73" s="53">
        <v>122895</v>
      </c>
      <c r="L73" s="53"/>
      <c r="M73" s="53"/>
      <c r="N73" s="53"/>
      <c r="O73" s="50">
        <f t="shared" si="16"/>
        <v>122895</v>
      </c>
    </row>
    <row r="74" spans="1:15" x14ac:dyDescent="0.25">
      <c r="A74" s="51">
        <v>40020</v>
      </c>
      <c r="B74" s="47" t="s">
        <v>95</v>
      </c>
      <c r="C74" s="48">
        <f t="shared" si="15"/>
        <v>0</v>
      </c>
      <c r="D74" s="52" t="s">
        <v>27</v>
      </c>
      <c r="E74" s="47" t="s">
        <v>96</v>
      </c>
      <c r="I74" s="52" t="s">
        <v>99</v>
      </c>
      <c r="J74" s="55"/>
      <c r="K74" s="55">
        <f>3633.22134155844*K21</f>
        <v>69031.205489610365</v>
      </c>
      <c r="L74" s="55"/>
      <c r="M74" s="55"/>
      <c r="N74" s="55"/>
      <c r="O74" s="50">
        <f t="shared" si="16"/>
        <v>69031.205489610365</v>
      </c>
    </row>
    <row r="75" spans="1:15" x14ac:dyDescent="0.25">
      <c r="A75" s="51">
        <v>42010</v>
      </c>
      <c r="B75" s="47" t="s">
        <v>95</v>
      </c>
      <c r="C75" s="48">
        <f t="shared" si="15"/>
        <v>0</v>
      </c>
      <c r="D75" s="52" t="s">
        <v>36</v>
      </c>
      <c r="E75" s="47" t="s">
        <v>96</v>
      </c>
      <c r="I75" s="52" t="s">
        <v>100</v>
      </c>
      <c r="J75" s="55"/>
      <c r="K75" s="55">
        <f>961.832*K21</f>
        <v>18274.808000000001</v>
      </c>
      <c r="L75" s="55"/>
      <c r="M75" s="55"/>
      <c r="N75" s="55"/>
      <c r="O75" s="50">
        <f t="shared" si="16"/>
        <v>18274.808000000001</v>
      </c>
    </row>
    <row r="76" spans="1:15" x14ac:dyDescent="0.25">
      <c r="A76" s="51">
        <v>70200</v>
      </c>
      <c r="B76" s="47" t="s">
        <v>95</v>
      </c>
      <c r="C76" s="48">
        <f t="shared" si="15"/>
        <v>0</v>
      </c>
      <c r="D76" s="49" t="s">
        <v>9</v>
      </c>
      <c r="E76" s="47" t="s">
        <v>96</v>
      </c>
      <c r="I76" s="52" t="s">
        <v>101</v>
      </c>
      <c r="J76" s="55">
        <v>0</v>
      </c>
      <c r="K76" s="55"/>
      <c r="L76" s="55"/>
      <c r="M76" s="55"/>
      <c r="N76" s="55"/>
      <c r="O76" s="50">
        <f t="shared" si="16"/>
        <v>0</v>
      </c>
    </row>
    <row r="77" spans="1:15" x14ac:dyDescent="0.25">
      <c r="A77" s="51">
        <v>40020</v>
      </c>
      <c r="B77" s="47" t="s">
        <v>95</v>
      </c>
      <c r="C77" s="48">
        <f t="shared" si="15"/>
        <v>0</v>
      </c>
      <c r="D77" s="52" t="s">
        <v>24</v>
      </c>
      <c r="E77" s="47" t="s">
        <v>96</v>
      </c>
      <c r="I77" s="52" t="s">
        <v>25</v>
      </c>
      <c r="J77" s="55"/>
      <c r="K77" s="55"/>
      <c r="L77" s="55"/>
      <c r="M77" s="55"/>
      <c r="N77" s="55"/>
      <c r="O77" s="50">
        <f t="shared" si="16"/>
        <v>0</v>
      </c>
    </row>
    <row r="78" spans="1:15" x14ac:dyDescent="0.25">
      <c r="A78" s="51">
        <v>42010</v>
      </c>
      <c r="B78" s="47" t="s">
        <v>95</v>
      </c>
      <c r="C78" s="48">
        <f t="shared" si="15"/>
        <v>0</v>
      </c>
      <c r="D78" s="52" t="s">
        <v>36</v>
      </c>
      <c r="E78" s="47" t="s">
        <v>96</v>
      </c>
      <c r="I78" s="52" t="s">
        <v>37</v>
      </c>
      <c r="J78" s="55"/>
      <c r="K78" s="55"/>
      <c r="L78" s="55"/>
      <c r="M78" s="55">
        <f>37760+2596.59+1446+3353+2331+44733</f>
        <v>92219.59</v>
      </c>
      <c r="N78" s="55"/>
      <c r="O78" s="50">
        <f t="shared" si="16"/>
        <v>92219.59</v>
      </c>
    </row>
    <row r="79" spans="1:15" x14ac:dyDescent="0.25">
      <c r="A79" s="51">
        <v>44000</v>
      </c>
      <c r="B79" s="47" t="s">
        <v>95</v>
      </c>
      <c r="C79" s="48">
        <f t="shared" si="15"/>
        <v>0</v>
      </c>
      <c r="D79" s="52" t="s">
        <v>30</v>
      </c>
      <c r="E79" s="47" t="s">
        <v>96</v>
      </c>
      <c r="I79" s="52" t="s">
        <v>31</v>
      </c>
      <c r="J79" s="55">
        <v>56752</v>
      </c>
      <c r="K79" s="55"/>
      <c r="L79" s="55"/>
      <c r="M79" s="55"/>
      <c r="N79" s="55"/>
      <c r="O79" s="50">
        <f t="shared" si="16"/>
        <v>56752</v>
      </c>
    </row>
    <row r="80" spans="1:15" x14ac:dyDescent="0.25">
      <c r="A80" s="51">
        <v>43040</v>
      </c>
      <c r="B80" s="47" t="s">
        <v>95</v>
      </c>
      <c r="C80" s="48">
        <f t="shared" si="15"/>
        <v>0</v>
      </c>
      <c r="D80" s="52" t="s">
        <v>33</v>
      </c>
      <c r="E80" s="47" t="s">
        <v>96</v>
      </c>
      <c r="I80" s="52" t="s">
        <v>102</v>
      </c>
      <c r="J80" s="55">
        <v>0</v>
      </c>
      <c r="K80" s="55"/>
      <c r="L80" s="55"/>
      <c r="M80" s="55"/>
      <c r="N80" s="55"/>
      <c r="O80" s="50">
        <f t="shared" si="16"/>
        <v>0</v>
      </c>
    </row>
    <row r="81" spans="1:15" x14ac:dyDescent="0.25">
      <c r="A81" s="51">
        <v>43020</v>
      </c>
      <c r="B81" s="47" t="s">
        <v>95</v>
      </c>
      <c r="C81" s="48">
        <f t="shared" si="15"/>
        <v>0</v>
      </c>
      <c r="D81" s="52" t="s">
        <v>39</v>
      </c>
      <c r="E81" s="47" t="s">
        <v>96</v>
      </c>
      <c r="I81" s="52" t="s">
        <v>103</v>
      </c>
      <c r="J81" s="55"/>
      <c r="K81" s="55"/>
      <c r="L81" s="55">
        <f>(40*2.84*180)*1.015*1.015*1.015*1.015</f>
        <v>21702.761883179992</v>
      </c>
      <c r="M81" s="55"/>
      <c r="N81" s="55"/>
      <c r="O81" s="50">
        <f t="shared" si="16"/>
        <v>21702.761883179992</v>
      </c>
    </row>
    <row r="82" spans="1:15" x14ac:dyDescent="0.25">
      <c r="A82" s="56">
        <v>43020</v>
      </c>
      <c r="B82" s="47" t="s">
        <v>95</v>
      </c>
      <c r="C82" s="48">
        <f t="shared" si="15"/>
        <v>0</v>
      </c>
      <c r="D82" s="57" t="s">
        <v>39</v>
      </c>
      <c r="E82" s="47" t="s">
        <v>96</v>
      </c>
      <c r="I82" s="57" t="s">
        <v>104</v>
      </c>
      <c r="J82" s="58"/>
      <c r="K82" s="58"/>
      <c r="L82" s="58">
        <f>(60*4.52*180)*1.015*1.015*1.015*1.015</f>
        <v>51811.523087309986</v>
      </c>
      <c r="M82" s="58"/>
      <c r="N82" s="58"/>
      <c r="O82" s="50">
        <f t="shared" si="16"/>
        <v>51811.523087309986</v>
      </c>
    </row>
    <row r="83" spans="1:15" x14ac:dyDescent="0.25">
      <c r="A83" s="59"/>
      <c r="B83" s="60"/>
      <c r="C83" s="60"/>
      <c r="D83" s="60"/>
      <c r="E83" s="60"/>
      <c r="H83" s="61" t="s">
        <v>105</v>
      </c>
      <c r="I83" s="62"/>
      <c r="J83" s="63">
        <f t="shared" ref="J83:O83" si="17">SUM(J68:J82)</f>
        <v>1905780.9</v>
      </c>
      <c r="K83" s="63">
        <f t="shared" si="17"/>
        <v>210201.01348961037</v>
      </c>
      <c r="L83" s="63">
        <f t="shared" si="17"/>
        <v>73514.284970489971</v>
      </c>
      <c r="M83" s="63">
        <f t="shared" si="17"/>
        <v>92219.59</v>
      </c>
      <c r="N83" s="63">
        <f t="shared" si="17"/>
        <v>0</v>
      </c>
      <c r="O83" s="63">
        <f t="shared" si="17"/>
        <v>2281715.7884601005</v>
      </c>
    </row>
    <row r="85" spans="1:15" x14ac:dyDescent="0.25">
      <c r="A85" s="59"/>
      <c r="B85" s="60"/>
      <c r="C85" s="60"/>
      <c r="D85" s="60"/>
      <c r="E85" s="60"/>
      <c r="G85" s="61" t="s">
        <v>106</v>
      </c>
      <c r="H85" s="64"/>
      <c r="I85" s="65"/>
      <c r="J85" s="66" t="str">
        <f>J20</f>
        <v>Operating</v>
      </c>
      <c r="K85" s="66" t="str">
        <f t="shared" ref="K85:O85" si="18">K20</f>
        <v>SPED</v>
      </c>
      <c r="L85" s="66" t="str">
        <f t="shared" si="18"/>
        <v>NSLP</v>
      </c>
      <c r="M85" s="66" t="str">
        <f t="shared" si="18"/>
        <v>Title(s)</v>
      </c>
      <c r="N85" s="66" t="str">
        <f t="shared" si="18"/>
        <v>Other</v>
      </c>
      <c r="O85" s="66" t="str">
        <f t="shared" si="18"/>
        <v>Total</v>
      </c>
    </row>
    <row r="86" spans="1:15" x14ac:dyDescent="0.25">
      <c r="A86" s="67">
        <v>45000</v>
      </c>
      <c r="B86" s="47" t="s">
        <v>95</v>
      </c>
      <c r="C86" s="48">
        <f>$C$1</f>
        <v>0</v>
      </c>
      <c r="D86" s="49" t="s">
        <v>9</v>
      </c>
      <c r="E86" s="47" t="s">
        <v>96</v>
      </c>
      <c r="I86" s="49" t="s">
        <v>107</v>
      </c>
      <c r="J86" s="177"/>
      <c r="K86" s="177"/>
      <c r="L86" s="177"/>
      <c r="M86" s="177"/>
      <c r="N86" s="177"/>
      <c r="O86" s="50">
        <f t="shared" ref="O86:O88" si="19">SUM(J86:N86)</f>
        <v>0</v>
      </c>
    </row>
    <row r="87" spans="1:15" x14ac:dyDescent="0.25">
      <c r="A87" s="67">
        <v>45000</v>
      </c>
      <c r="B87" s="47" t="s">
        <v>95</v>
      </c>
      <c r="C87" s="48">
        <f>$C$1</f>
        <v>0</v>
      </c>
      <c r="D87" s="49" t="s">
        <v>9</v>
      </c>
      <c r="E87" s="47" t="s">
        <v>96</v>
      </c>
      <c r="I87" s="52" t="s">
        <v>108</v>
      </c>
      <c r="J87" s="55"/>
      <c r="K87" s="55"/>
      <c r="L87" s="55"/>
      <c r="M87" s="55"/>
      <c r="N87" s="55"/>
      <c r="O87" s="50">
        <f t="shared" si="19"/>
        <v>0</v>
      </c>
    </row>
    <row r="88" spans="1:15" x14ac:dyDescent="0.25">
      <c r="A88" s="67">
        <v>45000</v>
      </c>
      <c r="B88" s="47" t="s">
        <v>95</v>
      </c>
      <c r="C88" s="48">
        <f>$C$1</f>
        <v>0</v>
      </c>
      <c r="D88" s="49" t="s">
        <v>9</v>
      </c>
      <c r="E88" s="47" t="s">
        <v>96</v>
      </c>
      <c r="I88" s="57" t="s">
        <v>109</v>
      </c>
      <c r="J88" s="178"/>
      <c r="K88" s="178"/>
      <c r="L88" s="178"/>
      <c r="M88" s="178"/>
      <c r="N88" s="178"/>
      <c r="O88" s="50">
        <f t="shared" si="19"/>
        <v>0</v>
      </c>
    </row>
    <row r="89" spans="1:15" x14ac:dyDescent="0.25">
      <c r="A89" s="59"/>
      <c r="B89" s="60"/>
      <c r="C89" s="60"/>
      <c r="D89" s="60"/>
      <c r="E89" s="60"/>
      <c r="H89" s="61" t="s">
        <v>110</v>
      </c>
      <c r="I89" s="65"/>
      <c r="J89" s="63">
        <f t="shared" ref="J89:O89" si="20">SUM(J86:J88)</f>
        <v>0</v>
      </c>
      <c r="K89" s="63">
        <f t="shared" si="20"/>
        <v>0</v>
      </c>
      <c r="L89" s="63">
        <f t="shared" si="20"/>
        <v>0</v>
      </c>
      <c r="M89" s="63">
        <f t="shared" si="20"/>
        <v>0</v>
      </c>
      <c r="N89" s="63">
        <f t="shared" si="20"/>
        <v>0</v>
      </c>
      <c r="O89" s="63">
        <f t="shared" si="20"/>
        <v>0</v>
      </c>
    </row>
    <row r="91" spans="1:15" ht="16.5" thickBot="1" x14ac:dyDescent="0.3"/>
    <row r="92" spans="1:15" ht="16.5" thickBot="1" x14ac:dyDescent="0.3">
      <c r="A92" s="68" t="s">
        <v>5</v>
      </c>
      <c r="B92" s="68" t="s">
        <v>91</v>
      </c>
      <c r="C92" s="68" t="s">
        <v>92</v>
      </c>
      <c r="D92" s="68" t="s">
        <v>4</v>
      </c>
      <c r="E92" s="68" t="s">
        <v>93</v>
      </c>
      <c r="G92" s="69" t="s">
        <v>111</v>
      </c>
      <c r="H92" s="70"/>
      <c r="I92" s="71"/>
      <c r="J92" s="72" t="str">
        <f>J20</f>
        <v>Operating</v>
      </c>
      <c r="K92" s="72" t="str">
        <f t="shared" ref="K92:O92" si="21">K20</f>
        <v>SPED</v>
      </c>
      <c r="L92" s="72" t="str">
        <f t="shared" si="21"/>
        <v>NSLP</v>
      </c>
      <c r="M92" s="72" t="str">
        <f t="shared" si="21"/>
        <v>Title(s)</v>
      </c>
      <c r="N92" s="72" t="str">
        <f t="shared" si="21"/>
        <v>Other</v>
      </c>
      <c r="O92" s="72" t="str">
        <f t="shared" si="21"/>
        <v>Total</v>
      </c>
    </row>
    <row r="93" spans="1:15" x14ac:dyDescent="0.25">
      <c r="A93" s="73"/>
      <c r="B93" s="74"/>
      <c r="C93" s="75"/>
      <c r="D93" s="76"/>
      <c r="E93" s="74"/>
      <c r="H93" s="77" t="s">
        <v>112</v>
      </c>
      <c r="I93" s="78"/>
      <c r="J93" s="79"/>
      <c r="K93" s="79"/>
      <c r="L93" s="79"/>
      <c r="M93" s="79"/>
      <c r="N93" s="79"/>
      <c r="O93" s="79"/>
    </row>
    <row r="94" spans="1:15" x14ac:dyDescent="0.25">
      <c r="A94" s="51">
        <v>60036</v>
      </c>
      <c r="B94" s="80" t="s">
        <v>113</v>
      </c>
      <c r="C94" s="48">
        <f>$C$1</f>
        <v>0</v>
      </c>
      <c r="D94" s="49" t="s">
        <v>9</v>
      </c>
      <c r="E94" s="52" t="s">
        <v>114</v>
      </c>
      <c r="I94" s="49" t="s">
        <v>402</v>
      </c>
      <c r="J94" s="50">
        <v>0</v>
      </c>
      <c r="K94" s="50"/>
      <c r="L94" s="50"/>
      <c r="M94" s="50"/>
      <c r="N94" s="50"/>
      <c r="O94" s="50">
        <f t="shared" ref="O94:O152" si="22">SUM(J94:N94)</f>
        <v>0</v>
      </c>
    </row>
    <row r="95" spans="1:15" x14ac:dyDescent="0.25">
      <c r="A95" s="51">
        <v>60036</v>
      </c>
      <c r="B95" s="80" t="s">
        <v>113</v>
      </c>
      <c r="C95" s="48">
        <f>$C$1</f>
        <v>0</v>
      </c>
      <c r="D95" s="49" t="s">
        <v>9</v>
      </c>
      <c r="E95" s="52" t="s">
        <v>114</v>
      </c>
      <c r="I95" s="52" t="s">
        <v>66</v>
      </c>
      <c r="J95" s="55">
        <f>'28-29'!J95*1.015</f>
        <v>135323.85270468745</v>
      </c>
      <c r="K95" s="55"/>
      <c r="L95" s="55"/>
      <c r="M95" s="55"/>
      <c r="N95" s="55"/>
      <c r="O95" s="50">
        <f t="shared" si="22"/>
        <v>135323.85270468745</v>
      </c>
    </row>
    <row r="96" spans="1:15" x14ac:dyDescent="0.25">
      <c r="A96" s="51">
        <v>60036</v>
      </c>
      <c r="B96" s="80" t="s">
        <v>113</v>
      </c>
      <c r="C96" s="48">
        <f>$C$1</f>
        <v>0</v>
      </c>
      <c r="D96" s="52" t="s">
        <v>36</v>
      </c>
      <c r="E96" s="52" t="s">
        <v>114</v>
      </c>
      <c r="I96" s="52" t="s">
        <v>115</v>
      </c>
      <c r="J96" s="55"/>
      <c r="K96" s="55"/>
      <c r="L96" s="55"/>
      <c r="M96" s="55"/>
      <c r="N96" s="55"/>
      <c r="O96" s="50">
        <f t="shared" si="22"/>
        <v>0</v>
      </c>
    </row>
    <row r="97" spans="1:15" x14ac:dyDescent="0.25">
      <c r="A97" s="81"/>
      <c r="B97" s="82"/>
      <c r="C97" s="82"/>
      <c r="D97" s="82"/>
      <c r="E97" s="82"/>
      <c r="H97" s="83" t="s">
        <v>116</v>
      </c>
      <c r="I97" s="84"/>
      <c r="J97" s="79"/>
      <c r="K97" s="79"/>
      <c r="L97" s="79"/>
      <c r="M97" s="79"/>
      <c r="N97" s="79"/>
      <c r="O97" s="79"/>
    </row>
    <row r="98" spans="1:15" x14ac:dyDescent="0.25">
      <c r="A98" s="51">
        <v>60036</v>
      </c>
      <c r="B98" s="80" t="s">
        <v>113</v>
      </c>
      <c r="C98" s="85">
        <f>$C$1</f>
        <v>0</v>
      </c>
      <c r="D98" s="52" t="s">
        <v>27</v>
      </c>
      <c r="E98" s="52" t="s">
        <v>114</v>
      </c>
      <c r="I98" s="52" t="s">
        <v>117</v>
      </c>
      <c r="J98" s="50">
        <v>0</v>
      </c>
      <c r="K98" s="50">
        <v>0</v>
      </c>
      <c r="L98" s="50"/>
      <c r="M98" s="50"/>
      <c r="N98" s="50"/>
      <c r="O98" s="50">
        <f t="shared" si="22"/>
        <v>0</v>
      </c>
    </row>
    <row r="99" spans="1:15" x14ac:dyDescent="0.25">
      <c r="A99" s="51">
        <v>60036</v>
      </c>
      <c r="B99" s="80" t="s">
        <v>113</v>
      </c>
      <c r="C99" s="85">
        <f>$C$1</f>
        <v>0</v>
      </c>
      <c r="D99" s="52" t="s">
        <v>27</v>
      </c>
      <c r="E99" s="52" t="s">
        <v>114</v>
      </c>
      <c r="I99" s="52" t="s">
        <v>118</v>
      </c>
      <c r="J99" s="50">
        <v>0</v>
      </c>
      <c r="K99" s="50"/>
      <c r="L99" s="50"/>
      <c r="M99" s="50"/>
      <c r="N99" s="50"/>
      <c r="O99" s="50">
        <f t="shared" si="22"/>
        <v>0</v>
      </c>
    </row>
    <row r="100" spans="1:15" x14ac:dyDescent="0.25">
      <c r="A100" s="81"/>
      <c r="B100" s="82"/>
      <c r="C100" s="82"/>
      <c r="D100" s="82"/>
      <c r="E100" s="82"/>
      <c r="H100" s="83" t="s">
        <v>119</v>
      </c>
      <c r="I100" s="84"/>
      <c r="J100" s="79"/>
      <c r="K100" s="79"/>
      <c r="L100" s="79"/>
      <c r="M100" s="79"/>
      <c r="N100" s="79"/>
      <c r="O100" s="79"/>
    </row>
    <row r="101" spans="1:15" x14ac:dyDescent="0.25">
      <c r="A101" s="51">
        <v>60036</v>
      </c>
      <c r="B101" s="80" t="s">
        <v>113</v>
      </c>
      <c r="C101" s="48">
        <f t="shared" ref="C101:C119" si="23">$C$1</f>
        <v>0</v>
      </c>
      <c r="D101" s="49" t="s">
        <v>9</v>
      </c>
      <c r="E101" s="52" t="s">
        <v>120</v>
      </c>
      <c r="I101" s="52" t="s">
        <v>70</v>
      </c>
      <c r="J101" s="55">
        <f>(70000*1.015*1.015*1.015*1.015)-J103</f>
        <v>72321.448543749982</v>
      </c>
      <c r="K101" s="55"/>
      <c r="L101" s="55"/>
      <c r="M101" s="55"/>
      <c r="N101" s="55"/>
      <c r="O101" s="50">
        <f t="shared" si="22"/>
        <v>72321.448543749982</v>
      </c>
    </row>
    <row r="102" spans="1:15" x14ac:dyDescent="0.25">
      <c r="A102" s="86">
        <v>60036</v>
      </c>
      <c r="B102" s="87" t="s">
        <v>113</v>
      </c>
      <c r="C102" s="88">
        <f t="shared" si="23"/>
        <v>0</v>
      </c>
      <c r="D102" s="89" t="s">
        <v>18</v>
      </c>
      <c r="E102" s="89" t="s">
        <v>120</v>
      </c>
      <c r="I102" s="52" t="s">
        <v>121</v>
      </c>
      <c r="J102" s="55">
        <v>0</v>
      </c>
      <c r="K102" s="55"/>
      <c r="L102" s="55"/>
      <c r="M102" s="55"/>
      <c r="N102" s="55"/>
      <c r="O102" s="50">
        <f t="shared" si="22"/>
        <v>0</v>
      </c>
    </row>
    <row r="103" spans="1:15" x14ac:dyDescent="0.25">
      <c r="A103" s="86">
        <v>60036</v>
      </c>
      <c r="B103" s="87" t="s">
        <v>113</v>
      </c>
      <c r="C103" s="88">
        <f t="shared" si="23"/>
        <v>0</v>
      </c>
      <c r="D103" s="89" t="s">
        <v>21</v>
      </c>
      <c r="E103" s="89" t="s">
        <v>120</v>
      </c>
      <c r="I103" s="52" t="s">
        <v>122</v>
      </c>
      <c r="J103" s="55">
        <v>1974</v>
      </c>
      <c r="K103" s="55"/>
      <c r="L103" s="55"/>
      <c r="M103" s="55"/>
      <c r="N103" s="55"/>
      <c r="O103" s="50">
        <f t="shared" si="22"/>
        <v>1974</v>
      </c>
    </row>
    <row r="104" spans="1:15" x14ac:dyDescent="0.25">
      <c r="A104" s="51">
        <v>60036</v>
      </c>
      <c r="B104" s="80" t="s">
        <v>113</v>
      </c>
      <c r="C104" s="48">
        <f t="shared" si="23"/>
        <v>0</v>
      </c>
      <c r="D104" s="52" t="s">
        <v>36</v>
      </c>
      <c r="E104" s="52" t="s">
        <v>120</v>
      </c>
      <c r="I104" s="52" t="s">
        <v>123</v>
      </c>
      <c r="J104" s="55">
        <v>0</v>
      </c>
      <c r="K104" s="55"/>
      <c r="L104" s="55"/>
      <c r="M104" s="55"/>
      <c r="N104" s="55"/>
      <c r="O104" s="50">
        <f t="shared" si="22"/>
        <v>0</v>
      </c>
    </row>
    <row r="105" spans="1:15" ht="17.649999999999999" customHeight="1" x14ac:dyDescent="0.25">
      <c r="A105" s="51">
        <v>60036</v>
      </c>
      <c r="B105" s="80" t="s">
        <v>113</v>
      </c>
      <c r="C105" s="48">
        <f t="shared" si="23"/>
        <v>0</v>
      </c>
      <c r="D105" s="49" t="s">
        <v>9</v>
      </c>
      <c r="E105" s="52" t="s">
        <v>124</v>
      </c>
      <c r="I105" s="52" t="s">
        <v>125</v>
      </c>
      <c r="J105" s="55">
        <v>0</v>
      </c>
      <c r="K105" s="55"/>
      <c r="L105" s="55"/>
      <c r="M105" s="55"/>
      <c r="N105" s="55"/>
      <c r="O105" s="50">
        <f t="shared" si="22"/>
        <v>0</v>
      </c>
    </row>
    <row r="106" spans="1:15" ht="17.649999999999999" customHeight="1" x14ac:dyDescent="0.25">
      <c r="A106" s="86">
        <v>60036</v>
      </c>
      <c r="B106" s="87" t="s">
        <v>113</v>
      </c>
      <c r="C106" s="88">
        <f t="shared" si="23"/>
        <v>0</v>
      </c>
      <c r="D106" s="89" t="s">
        <v>21</v>
      </c>
      <c r="E106" s="89" t="s">
        <v>124</v>
      </c>
      <c r="I106" s="52" t="s">
        <v>126</v>
      </c>
      <c r="J106" s="55">
        <v>0</v>
      </c>
      <c r="K106" s="55"/>
      <c r="L106" s="55"/>
      <c r="M106" s="55"/>
      <c r="N106" s="55"/>
      <c r="O106" s="50">
        <f t="shared" si="22"/>
        <v>0</v>
      </c>
    </row>
    <row r="107" spans="1:15" ht="17.649999999999999" customHeight="1" x14ac:dyDescent="0.25">
      <c r="A107" s="51">
        <v>60036</v>
      </c>
      <c r="B107" s="80" t="s">
        <v>113</v>
      </c>
      <c r="C107" s="48">
        <f t="shared" si="23"/>
        <v>0</v>
      </c>
      <c r="D107" s="52" t="s">
        <v>36</v>
      </c>
      <c r="E107" s="52" t="s">
        <v>124</v>
      </c>
      <c r="I107" s="52" t="s">
        <v>127</v>
      </c>
      <c r="J107" s="55">
        <v>0</v>
      </c>
      <c r="K107" s="55"/>
      <c r="L107" s="55"/>
      <c r="M107" s="55"/>
      <c r="N107" s="55"/>
      <c r="O107" s="50">
        <f t="shared" si="22"/>
        <v>0</v>
      </c>
    </row>
    <row r="108" spans="1:15" x14ac:dyDescent="0.25">
      <c r="A108" s="51">
        <v>60036</v>
      </c>
      <c r="B108" s="80" t="s">
        <v>113</v>
      </c>
      <c r="C108" s="48">
        <f t="shared" si="23"/>
        <v>0</v>
      </c>
      <c r="D108" s="49" t="s">
        <v>9</v>
      </c>
      <c r="E108" s="52" t="s">
        <v>114</v>
      </c>
      <c r="I108" s="52" t="s">
        <v>128</v>
      </c>
      <c r="J108" s="55">
        <v>0</v>
      </c>
      <c r="K108" s="55"/>
      <c r="L108" s="55"/>
      <c r="M108" s="55"/>
      <c r="N108" s="55"/>
      <c r="O108" s="50">
        <f t="shared" si="22"/>
        <v>0</v>
      </c>
    </row>
    <row r="109" spans="1:15" x14ac:dyDescent="0.25">
      <c r="A109" s="86">
        <v>60036</v>
      </c>
      <c r="B109" s="87" t="s">
        <v>113</v>
      </c>
      <c r="C109" s="88">
        <f t="shared" si="23"/>
        <v>0</v>
      </c>
      <c r="D109" s="89" t="s">
        <v>21</v>
      </c>
      <c r="E109" s="89" t="s">
        <v>114</v>
      </c>
      <c r="I109" s="52" t="s">
        <v>129</v>
      </c>
      <c r="J109" s="55">
        <v>0</v>
      </c>
      <c r="K109" s="55"/>
      <c r="L109" s="55"/>
      <c r="M109" s="55"/>
      <c r="N109" s="55"/>
      <c r="O109" s="50">
        <f t="shared" si="22"/>
        <v>0</v>
      </c>
    </row>
    <row r="110" spans="1:15" x14ac:dyDescent="0.25">
      <c r="A110" s="51">
        <v>60036</v>
      </c>
      <c r="B110" s="80" t="s">
        <v>113</v>
      </c>
      <c r="C110" s="48">
        <f t="shared" si="23"/>
        <v>0</v>
      </c>
      <c r="D110" s="52" t="s">
        <v>36</v>
      </c>
      <c r="E110" s="52" t="s">
        <v>114</v>
      </c>
      <c r="I110" s="52" t="s">
        <v>130</v>
      </c>
      <c r="J110" s="55">
        <v>0</v>
      </c>
      <c r="K110" s="55"/>
      <c r="L110" s="55"/>
      <c r="M110" s="55"/>
      <c r="N110" s="55"/>
      <c r="O110" s="50">
        <f t="shared" si="22"/>
        <v>0</v>
      </c>
    </row>
    <row r="111" spans="1:15" x14ac:dyDescent="0.25">
      <c r="A111" s="51">
        <v>60070</v>
      </c>
      <c r="B111" s="52" t="s">
        <v>131</v>
      </c>
      <c r="C111" s="48">
        <f t="shared" si="23"/>
        <v>0</v>
      </c>
      <c r="D111" s="52" t="s">
        <v>27</v>
      </c>
      <c r="E111" s="52" t="s">
        <v>132</v>
      </c>
      <c r="I111" s="52" t="s">
        <v>133</v>
      </c>
      <c r="J111" s="55"/>
      <c r="K111" s="55"/>
      <c r="L111" s="55"/>
      <c r="M111" s="55"/>
      <c r="N111" s="55"/>
      <c r="O111" s="50">
        <f t="shared" si="22"/>
        <v>0</v>
      </c>
    </row>
    <row r="112" spans="1:15" x14ac:dyDescent="0.25">
      <c r="A112" s="51">
        <v>60041</v>
      </c>
      <c r="B112" s="52" t="s">
        <v>134</v>
      </c>
      <c r="C112" s="48">
        <f t="shared" si="23"/>
        <v>0</v>
      </c>
      <c r="D112" s="52" t="s">
        <v>27</v>
      </c>
      <c r="E112" s="52" t="s">
        <v>135</v>
      </c>
      <c r="I112" s="52" t="s">
        <v>80</v>
      </c>
      <c r="J112" s="55">
        <v>0</v>
      </c>
      <c r="K112" s="55"/>
      <c r="L112" s="55"/>
      <c r="M112" s="55"/>
      <c r="N112" s="55"/>
      <c r="O112" s="50">
        <f t="shared" si="22"/>
        <v>0</v>
      </c>
    </row>
    <row r="113" spans="1:15" x14ac:dyDescent="0.25">
      <c r="A113" s="86">
        <v>60041</v>
      </c>
      <c r="B113" s="89" t="s">
        <v>134</v>
      </c>
      <c r="C113" s="88">
        <f t="shared" si="23"/>
        <v>0</v>
      </c>
      <c r="D113" s="89" t="s">
        <v>21</v>
      </c>
      <c r="E113" s="89" t="s">
        <v>135</v>
      </c>
      <c r="I113" s="52" t="s">
        <v>136</v>
      </c>
      <c r="J113" s="55">
        <v>0</v>
      </c>
      <c r="K113" s="55"/>
      <c r="L113" s="55"/>
      <c r="M113" s="55"/>
      <c r="N113" s="55"/>
      <c r="O113" s="50">
        <f t="shared" si="22"/>
        <v>0</v>
      </c>
    </row>
    <row r="114" spans="1:15" x14ac:dyDescent="0.25">
      <c r="A114" s="51">
        <v>60070</v>
      </c>
      <c r="B114" s="52" t="s">
        <v>131</v>
      </c>
      <c r="C114" s="48">
        <f t="shared" si="23"/>
        <v>0</v>
      </c>
      <c r="D114" s="52" t="s">
        <v>27</v>
      </c>
      <c r="E114" s="52" t="s">
        <v>137</v>
      </c>
      <c r="I114" s="52" t="s">
        <v>138</v>
      </c>
      <c r="J114" s="55"/>
      <c r="K114" s="55"/>
      <c r="L114" s="55"/>
      <c r="M114" s="55"/>
      <c r="N114" s="55"/>
      <c r="O114" s="50">
        <f t="shared" si="22"/>
        <v>0</v>
      </c>
    </row>
    <row r="115" spans="1:15" x14ac:dyDescent="0.25">
      <c r="A115" s="86">
        <v>60070</v>
      </c>
      <c r="B115" s="89" t="s">
        <v>131</v>
      </c>
      <c r="C115" s="88">
        <f t="shared" si="23"/>
        <v>0</v>
      </c>
      <c r="D115" s="89" t="s">
        <v>21</v>
      </c>
      <c r="E115" s="89" t="s">
        <v>137</v>
      </c>
      <c r="I115" s="52" t="s">
        <v>139</v>
      </c>
      <c r="J115" s="55">
        <v>0</v>
      </c>
      <c r="K115" s="55"/>
      <c r="L115" s="55"/>
      <c r="M115" s="55"/>
      <c r="N115" s="55"/>
      <c r="O115" s="50">
        <f t="shared" si="22"/>
        <v>0</v>
      </c>
    </row>
    <row r="116" spans="1:15" x14ac:dyDescent="0.25">
      <c r="A116" s="51">
        <v>60070</v>
      </c>
      <c r="B116" s="52" t="s">
        <v>131</v>
      </c>
      <c r="C116" s="48">
        <f t="shared" si="23"/>
        <v>0</v>
      </c>
      <c r="D116" s="52" t="s">
        <v>27</v>
      </c>
      <c r="E116" s="52" t="s">
        <v>140</v>
      </c>
      <c r="I116" s="52" t="s">
        <v>141</v>
      </c>
      <c r="J116" s="55"/>
      <c r="K116" s="55"/>
      <c r="L116" s="55"/>
      <c r="M116" s="55"/>
      <c r="N116" s="55"/>
      <c r="O116" s="50">
        <f t="shared" si="22"/>
        <v>0</v>
      </c>
    </row>
    <row r="117" spans="1:15" x14ac:dyDescent="0.25">
      <c r="A117" s="86">
        <v>60070</v>
      </c>
      <c r="B117" s="89" t="s">
        <v>131</v>
      </c>
      <c r="C117" s="88">
        <f t="shared" si="23"/>
        <v>0</v>
      </c>
      <c r="D117" s="89" t="s">
        <v>21</v>
      </c>
      <c r="E117" s="89" t="s">
        <v>140</v>
      </c>
      <c r="I117" s="52" t="s">
        <v>142</v>
      </c>
      <c r="J117" s="55">
        <v>0</v>
      </c>
      <c r="K117" s="55"/>
      <c r="L117" s="55"/>
      <c r="M117" s="55"/>
      <c r="N117" s="55"/>
      <c r="O117" s="50">
        <f t="shared" si="22"/>
        <v>0</v>
      </c>
    </row>
    <row r="118" spans="1:15" x14ac:dyDescent="0.25">
      <c r="A118" s="51">
        <v>60070</v>
      </c>
      <c r="B118" s="52" t="s">
        <v>131</v>
      </c>
      <c r="C118" s="48">
        <f t="shared" si="23"/>
        <v>0</v>
      </c>
      <c r="D118" s="49" t="s">
        <v>9</v>
      </c>
      <c r="E118" s="52" t="s">
        <v>143</v>
      </c>
      <c r="I118" s="52" t="s">
        <v>84</v>
      </c>
      <c r="J118" s="55">
        <v>0</v>
      </c>
      <c r="K118" s="55"/>
      <c r="L118" s="55"/>
      <c r="M118" s="55"/>
      <c r="N118" s="55"/>
      <c r="O118" s="50">
        <f t="shared" si="22"/>
        <v>0</v>
      </c>
    </row>
    <row r="119" spans="1:15" x14ac:dyDescent="0.25">
      <c r="A119" s="86">
        <v>60070</v>
      </c>
      <c r="B119" s="89" t="s">
        <v>131</v>
      </c>
      <c r="C119" s="88">
        <f t="shared" si="23"/>
        <v>0</v>
      </c>
      <c r="D119" s="89" t="s">
        <v>21</v>
      </c>
      <c r="E119" s="89" t="s">
        <v>143</v>
      </c>
      <c r="I119" s="52" t="s">
        <v>144</v>
      </c>
      <c r="J119" s="55">
        <v>0</v>
      </c>
      <c r="K119" s="55"/>
      <c r="L119" s="55"/>
      <c r="M119" s="55"/>
      <c r="N119" s="55"/>
      <c r="O119" s="50">
        <f t="shared" si="22"/>
        <v>0</v>
      </c>
    </row>
    <row r="120" spans="1:15" x14ac:dyDescent="0.25">
      <c r="A120" s="81"/>
      <c r="B120" s="82"/>
      <c r="C120" s="82"/>
      <c r="D120" s="82"/>
      <c r="E120" s="82"/>
      <c r="H120" s="83" t="s">
        <v>145</v>
      </c>
      <c r="I120" s="84"/>
      <c r="J120" s="79"/>
      <c r="K120" s="79"/>
      <c r="L120" s="79"/>
      <c r="M120" s="79"/>
      <c r="N120" s="79"/>
      <c r="O120" s="79"/>
    </row>
    <row r="121" spans="1:15" x14ac:dyDescent="0.25">
      <c r="A121" s="51">
        <v>60043</v>
      </c>
      <c r="B121" s="90" t="s">
        <v>146</v>
      </c>
      <c r="C121" s="85">
        <f t="shared" ref="C121:C126" si="24">$C$1</f>
        <v>0</v>
      </c>
      <c r="D121" s="49" t="s">
        <v>9</v>
      </c>
      <c r="E121" s="52" t="s">
        <v>147</v>
      </c>
      <c r="I121" s="52" t="s">
        <v>148</v>
      </c>
      <c r="J121" s="55">
        <f>(65000*1.015*1.015*1.015*1.015)-J123</f>
        <v>63013.630790625</v>
      </c>
      <c r="K121" s="55"/>
      <c r="L121" s="55"/>
      <c r="M121" s="55"/>
      <c r="N121" s="55"/>
      <c r="O121" s="50">
        <f t="shared" si="22"/>
        <v>63013.630790625</v>
      </c>
    </row>
    <row r="122" spans="1:15" x14ac:dyDescent="0.25">
      <c r="A122" s="51">
        <v>60043</v>
      </c>
      <c r="B122" s="52" t="s">
        <v>146</v>
      </c>
      <c r="C122" s="85">
        <f t="shared" si="24"/>
        <v>0</v>
      </c>
      <c r="D122" s="49" t="s">
        <v>9</v>
      </c>
      <c r="E122" s="52" t="s">
        <v>147</v>
      </c>
      <c r="I122" s="52" t="s">
        <v>149</v>
      </c>
      <c r="J122" s="55">
        <f>(22.25*8*190)*(J48+J49)</f>
        <v>0</v>
      </c>
      <c r="K122" s="55"/>
      <c r="L122" s="55"/>
      <c r="M122" s="55"/>
      <c r="N122" s="55"/>
      <c r="O122" s="50">
        <f t="shared" si="22"/>
        <v>0</v>
      </c>
    </row>
    <row r="123" spans="1:15" x14ac:dyDescent="0.25">
      <c r="A123" s="86">
        <v>60043</v>
      </c>
      <c r="B123" s="91" t="s">
        <v>146</v>
      </c>
      <c r="C123" s="89">
        <f t="shared" si="24"/>
        <v>0</v>
      </c>
      <c r="D123" s="89" t="s">
        <v>21</v>
      </c>
      <c r="E123" s="89" t="s">
        <v>147</v>
      </c>
      <c r="I123" s="52" t="s">
        <v>150</v>
      </c>
      <c r="J123" s="55">
        <v>5975</v>
      </c>
      <c r="K123" s="55"/>
      <c r="L123" s="55"/>
      <c r="M123" s="55"/>
      <c r="N123" s="55"/>
      <c r="O123" s="50">
        <f t="shared" si="22"/>
        <v>5975</v>
      </c>
    </row>
    <row r="124" spans="1:15" x14ac:dyDescent="0.25">
      <c r="A124" s="51">
        <v>60043</v>
      </c>
      <c r="B124" s="52" t="s">
        <v>146</v>
      </c>
      <c r="C124" s="85">
        <f t="shared" si="24"/>
        <v>0</v>
      </c>
      <c r="D124" s="52" t="s">
        <v>24</v>
      </c>
      <c r="E124" s="52" t="s">
        <v>147</v>
      </c>
      <c r="I124" s="52" t="s">
        <v>151</v>
      </c>
      <c r="J124" s="55"/>
      <c r="K124" s="55"/>
      <c r="L124" s="55"/>
      <c r="M124" s="55"/>
      <c r="N124" s="55"/>
      <c r="O124" s="50">
        <f t="shared" si="22"/>
        <v>0</v>
      </c>
    </row>
    <row r="125" spans="1:15" x14ac:dyDescent="0.25">
      <c r="A125" s="51">
        <v>60043</v>
      </c>
      <c r="B125" s="52" t="s">
        <v>146</v>
      </c>
      <c r="C125" s="85">
        <f t="shared" si="24"/>
        <v>0</v>
      </c>
      <c r="D125" s="49" t="s">
        <v>9</v>
      </c>
      <c r="E125" s="52" t="s">
        <v>147</v>
      </c>
      <c r="I125" s="52" t="s">
        <v>152</v>
      </c>
      <c r="J125" s="55"/>
      <c r="K125" s="55"/>
      <c r="L125" s="55"/>
      <c r="M125" s="55"/>
      <c r="N125" s="55"/>
      <c r="O125" s="50">
        <f t="shared" si="22"/>
        <v>0</v>
      </c>
    </row>
    <row r="126" spans="1:15" x14ac:dyDescent="0.25">
      <c r="A126" s="51">
        <v>60043</v>
      </c>
      <c r="B126" s="52" t="s">
        <v>146</v>
      </c>
      <c r="C126" s="85">
        <f t="shared" si="24"/>
        <v>0</v>
      </c>
      <c r="D126" s="52" t="s">
        <v>36</v>
      </c>
      <c r="E126" s="52" t="s">
        <v>147</v>
      </c>
      <c r="I126" s="52" t="s">
        <v>153</v>
      </c>
      <c r="J126" s="55">
        <v>0</v>
      </c>
      <c r="K126" s="55"/>
      <c r="L126" s="55"/>
      <c r="M126" s="55"/>
      <c r="N126" s="55"/>
      <c r="O126" s="50">
        <f t="shared" si="22"/>
        <v>0</v>
      </c>
    </row>
    <row r="127" spans="1:15" x14ac:dyDescent="0.25">
      <c r="A127" s="81"/>
      <c r="B127" s="82"/>
      <c r="C127" s="82"/>
      <c r="D127" s="82"/>
      <c r="E127" s="82"/>
      <c r="H127" s="83" t="s">
        <v>154</v>
      </c>
      <c r="I127" s="84"/>
      <c r="J127" s="79"/>
      <c r="K127" s="79"/>
      <c r="L127" s="79"/>
      <c r="M127" s="79"/>
      <c r="N127" s="79"/>
      <c r="O127" s="79"/>
    </row>
    <row r="128" spans="1:15" x14ac:dyDescent="0.25">
      <c r="A128" s="51">
        <v>60043</v>
      </c>
      <c r="B128" s="52" t="s">
        <v>146</v>
      </c>
      <c r="C128" s="85">
        <f>$C$1</f>
        <v>0</v>
      </c>
      <c r="D128" s="49" t="s">
        <v>9</v>
      </c>
      <c r="E128" s="52" t="s">
        <v>147</v>
      </c>
      <c r="I128" s="52" t="s">
        <v>155</v>
      </c>
      <c r="J128" s="55">
        <f>(20*8*240)*J51</f>
        <v>0</v>
      </c>
      <c r="K128" s="55"/>
      <c r="L128" s="55"/>
      <c r="M128" s="55"/>
      <c r="N128" s="55"/>
      <c r="O128" s="50">
        <f t="shared" si="22"/>
        <v>0</v>
      </c>
    </row>
    <row r="129" spans="1:15" x14ac:dyDescent="0.25">
      <c r="A129" s="51">
        <v>60070</v>
      </c>
      <c r="B129" s="52" t="s">
        <v>131</v>
      </c>
      <c r="C129" s="85">
        <f>$C$1</f>
        <v>0</v>
      </c>
      <c r="D129" s="49" t="s">
        <v>9</v>
      </c>
      <c r="E129" s="52" t="s">
        <v>156</v>
      </c>
      <c r="I129" s="57" t="s">
        <v>157</v>
      </c>
      <c r="J129" s="58"/>
      <c r="K129" s="58"/>
      <c r="L129" s="58"/>
      <c r="M129" s="58"/>
      <c r="N129" s="58"/>
      <c r="O129" s="50">
        <f t="shared" si="22"/>
        <v>0</v>
      </c>
    </row>
    <row r="130" spans="1:15" x14ac:dyDescent="0.25">
      <c r="A130" s="86">
        <v>60070</v>
      </c>
      <c r="B130" s="89" t="s">
        <v>131</v>
      </c>
      <c r="C130" s="89">
        <f>$C$1</f>
        <v>0</v>
      </c>
      <c r="D130" s="89" t="s">
        <v>21</v>
      </c>
      <c r="E130" s="89" t="s">
        <v>156</v>
      </c>
      <c r="I130" s="57" t="s">
        <v>158</v>
      </c>
      <c r="J130" s="55">
        <v>0</v>
      </c>
      <c r="K130" s="55"/>
      <c r="L130" s="55"/>
      <c r="M130" s="55"/>
      <c r="N130" s="55"/>
      <c r="O130" s="50">
        <f t="shared" si="22"/>
        <v>0</v>
      </c>
    </row>
    <row r="131" spans="1:15" x14ac:dyDescent="0.25">
      <c r="A131" s="81"/>
      <c r="B131" s="82"/>
      <c r="C131" s="82"/>
      <c r="D131" s="82"/>
      <c r="E131" s="82"/>
      <c r="H131" s="83" t="s">
        <v>159</v>
      </c>
      <c r="I131" s="84"/>
      <c r="J131" s="79"/>
      <c r="K131" s="79"/>
      <c r="L131" s="79"/>
      <c r="M131" s="79"/>
      <c r="N131" s="79"/>
      <c r="O131" s="79"/>
    </row>
    <row r="132" spans="1:15" x14ac:dyDescent="0.25">
      <c r="A132" s="51">
        <v>60070</v>
      </c>
      <c r="B132" s="52" t="s">
        <v>131</v>
      </c>
      <c r="C132" s="85">
        <f>$C$1</f>
        <v>0</v>
      </c>
      <c r="D132" s="52" t="s">
        <v>39</v>
      </c>
      <c r="E132" s="52" t="s">
        <v>160</v>
      </c>
      <c r="I132" s="52" t="s">
        <v>161</v>
      </c>
      <c r="J132" s="55">
        <f>(24*8*200)*J52</f>
        <v>0</v>
      </c>
      <c r="K132" s="55"/>
      <c r="L132" s="55">
        <f>(48000*1.015*1.015*1.015*1.015)-L133</f>
        <v>47774.450429999975</v>
      </c>
      <c r="M132" s="55"/>
      <c r="N132" s="55"/>
      <c r="O132" s="50">
        <f t="shared" si="22"/>
        <v>47774.450429999975</v>
      </c>
    </row>
    <row r="133" spans="1:15" x14ac:dyDescent="0.25">
      <c r="A133" s="86">
        <v>60070</v>
      </c>
      <c r="B133" s="89" t="s">
        <v>131</v>
      </c>
      <c r="C133" s="89">
        <f>$C$1</f>
        <v>0</v>
      </c>
      <c r="D133" s="89" t="s">
        <v>21</v>
      </c>
      <c r="E133" s="89" t="s">
        <v>160</v>
      </c>
      <c r="I133" s="52" t="s">
        <v>162</v>
      </c>
      <c r="J133" s="55">
        <v>0</v>
      </c>
      <c r="K133" s="55"/>
      <c r="L133" s="55">
        <v>3171</v>
      </c>
      <c r="M133" s="55"/>
      <c r="N133" s="55"/>
      <c r="O133" s="50">
        <f t="shared" si="22"/>
        <v>3171</v>
      </c>
    </row>
    <row r="134" spans="1:15" x14ac:dyDescent="0.25">
      <c r="A134" s="92" t="s">
        <v>5</v>
      </c>
      <c r="B134" s="92" t="s">
        <v>91</v>
      </c>
      <c r="C134" s="92" t="s">
        <v>92</v>
      </c>
      <c r="D134" s="92" t="s">
        <v>4</v>
      </c>
      <c r="E134" s="92" t="s">
        <v>93</v>
      </c>
      <c r="H134" s="115" t="s">
        <v>163</v>
      </c>
      <c r="I134" s="94"/>
      <c r="J134" s="92">
        <f>SUM(J94:J133)</f>
        <v>278607.93203906243</v>
      </c>
      <c r="K134" s="92">
        <f t="shared" ref="K134:O134" si="25">SUM(K94:K133)</f>
        <v>0</v>
      </c>
      <c r="L134" s="92">
        <f t="shared" si="25"/>
        <v>50945.450429999975</v>
      </c>
      <c r="M134" s="92">
        <f t="shared" si="25"/>
        <v>0</v>
      </c>
      <c r="N134" s="92">
        <f t="shared" si="25"/>
        <v>0</v>
      </c>
      <c r="O134" s="92">
        <f t="shared" si="25"/>
        <v>329553.3824690624</v>
      </c>
    </row>
    <row r="135" spans="1:15" x14ac:dyDescent="0.25">
      <c r="A135" s="46">
        <v>60503</v>
      </c>
      <c r="B135" s="49" t="s">
        <v>164</v>
      </c>
      <c r="C135" s="85">
        <f t="shared" ref="C135:C152" si="26">$C$1</f>
        <v>0</v>
      </c>
      <c r="D135" s="49" t="s">
        <v>9</v>
      </c>
      <c r="E135" s="49" t="s">
        <v>165</v>
      </c>
      <c r="I135" s="49" t="s">
        <v>166</v>
      </c>
      <c r="J135" s="55">
        <f>SUMIF($D$94:$D$133,D135,$J$94:$J$133)*0.3875</f>
        <v>104880.3361651367</v>
      </c>
      <c r="K135" s="55">
        <f>SUMIF($D$94:$D$133,D135,$K$94:$K$133)*0.3675</f>
        <v>0</v>
      </c>
      <c r="L135" s="55">
        <f>SUMIF($D$94:$D$133,D135,$L$94:$L$133)*0.3675</f>
        <v>0</v>
      </c>
      <c r="M135" s="55">
        <f>SUMIF($D$94:$D$133,D135,$M$94:$M$133)*0.3675</f>
        <v>0</v>
      </c>
      <c r="N135" s="55">
        <f>SUMIF($D$94:$D$133,D135,$N$94:$N$133)*0.3675</f>
        <v>0</v>
      </c>
      <c r="O135" s="50">
        <f>SUM(J135:N135)</f>
        <v>104880.3361651367</v>
      </c>
    </row>
    <row r="136" spans="1:15" x14ac:dyDescent="0.25">
      <c r="A136" s="97">
        <v>60503</v>
      </c>
      <c r="B136" s="88" t="s">
        <v>164</v>
      </c>
      <c r="C136" s="89">
        <f t="shared" si="26"/>
        <v>0</v>
      </c>
      <c r="D136" s="89" t="s">
        <v>18</v>
      </c>
      <c r="E136" s="88" t="s">
        <v>165</v>
      </c>
      <c r="I136" s="52" t="s">
        <v>167</v>
      </c>
      <c r="J136" s="55">
        <f t="shared" ref="J136:J141" si="27">SUMIF($D$94:$D$133,D136,$J$94:$J$133)*0.3675</f>
        <v>0</v>
      </c>
      <c r="K136" s="55">
        <f t="shared" ref="K136:K141" si="28">SUMIF($D$94:$D$133,D136,$K$94:$K$133)*0.3675</f>
        <v>0</v>
      </c>
      <c r="L136" s="55">
        <f t="shared" ref="L136:L140" si="29">SUMIF($D$94:$D$133,D136,$L$94:$L$133)*0.3675</f>
        <v>0</v>
      </c>
      <c r="M136" s="55">
        <f t="shared" ref="M136:M141" si="30">SUMIF($D$94:$D$133,D136,$M$94:$M$133)*0.3675</f>
        <v>0</v>
      </c>
      <c r="N136" s="55">
        <f t="shared" ref="N136:N141" si="31">SUMIF($D$94:$D$133,D136,$N$94:$N$133)*0.3675</f>
        <v>0</v>
      </c>
      <c r="O136" s="50">
        <f t="shared" si="22"/>
        <v>0</v>
      </c>
    </row>
    <row r="137" spans="1:15" x14ac:dyDescent="0.25">
      <c r="A137" s="97">
        <v>60503</v>
      </c>
      <c r="B137" s="88" t="s">
        <v>164</v>
      </c>
      <c r="C137" s="89">
        <f t="shared" si="26"/>
        <v>0</v>
      </c>
      <c r="D137" s="89" t="s">
        <v>21</v>
      </c>
      <c r="E137" s="88" t="s">
        <v>165</v>
      </c>
      <c r="I137" s="52" t="s">
        <v>168</v>
      </c>
      <c r="J137" s="55">
        <f>SUMIF($D$94:$D$133,D137,$J$94:$J$133)*0.3875</f>
        <v>3080.2375000000002</v>
      </c>
      <c r="K137" s="55">
        <f t="shared" si="28"/>
        <v>0</v>
      </c>
      <c r="L137" s="55">
        <f>SUMIF($D$94:$D$133,D137,$L$94:$L$133)*0.3875</f>
        <v>1228.7625</v>
      </c>
      <c r="M137" s="55">
        <f t="shared" si="30"/>
        <v>0</v>
      </c>
      <c r="N137" s="55">
        <f t="shared" si="31"/>
        <v>0</v>
      </c>
      <c r="O137" s="50">
        <f t="shared" si="22"/>
        <v>4309</v>
      </c>
    </row>
    <row r="138" spans="1:15" x14ac:dyDescent="0.25">
      <c r="A138" s="46">
        <v>60503</v>
      </c>
      <c r="B138" s="49" t="s">
        <v>164</v>
      </c>
      <c r="C138" s="85">
        <f t="shared" si="26"/>
        <v>0</v>
      </c>
      <c r="D138" s="52" t="s">
        <v>24</v>
      </c>
      <c r="E138" s="49" t="s">
        <v>165</v>
      </c>
      <c r="I138" s="49" t="s">
        <v>169</v>
      </c>
      <c r="J138" s="55">
        <f t="shared" si="27"/>
        <v>0</v>
      </c>
      <c r="K138" s="55">
        <f t="shared" si="28"/>
        <v>0</v>
      </c>
      <c r="L138" s="55">
        <f t="shared" si="29"/>
        <v>0</v>
      </c>
      <c r="M138" s="55">
        <f t="shared" si="30"/>
        <v>0</v>
      </c>
      <c r="N138" s="55">
        <f t="shared" si="31"/>
        <v>0</v>
      </c>
      <c r="O138" s="50">
        <f t="shared" si="22"/>
        <v>0</v>
      </c>
    </row>
    <row r="139" spans="1:15" x14ac:dyDescent="0.25">
      <c r="A139" s="46">
        <v>60503</v>
      </c>
      <c r="B139" s="49" t="s">
        <v>164</v>
      </c>
      <c r="C139" s="85">
        <f t="shared" si="26"/>
        <v>0</v>
      </c>
      <c r="D139" s="52" t="s">
        <v>27</v>
      </c>
      <c r="E139" s="49" t="s">
        <v>165</v>
      </c>
      <c r="I139" s="49" t="s">
        <v>170</v>
      </c>
      <c r="J139" s="55">
        <f t="shared" si="27"/>
        <v>0</v>
      </c>
      <c r="K139" s="55">
        <f t="shared" si="28"/>
        <v>0</v>
      </c>
      <c r="L139" s="55">
        <f t="shared" si="29"/>
        <v>0</v>
      </c>
      <c r="M139" s="55">
        <f t="shared" si="30"/>
        <v>0</v>
      </c>
      <c r="N139" s="55">
        <f t="shared" si="31"/>
        <v>0</v>
      </c>
      <c r="O139" s="50">
        <f t="shared" si="22"/>
        <v>0</v>
      </c>
    </row>
    <row r="140" spans="1:15" x14ac:dyDescent="0.25">
      <c r="A140" s="46">
        <v>60503</v>
      </c>
      <c r="B140" s="49" t="s">
        <v>164</v>
      </c>
      <c r="C140" s="85">
        <f t="shared" si="26"/>
        <v>0</v>
      </c>
      <c r="D140" s="52" t="s">
        <v>36</v>
      </c>
      <c r="E140" s="49" t="s">
        <v>165</v>
      </c>
      <c r="I140" s="49" t="s">
        <v>171</v>
      </c>
      <c r="J140" s="55">
        <f t="shared" si="27"/>
        <v>0</v>
      </c>
      <c r="K140" s="55">
        <f t="shared" si="28"/>
        <v>0</v>
      </c>
      <c r="L140" s="55">
        <f t="shared" si="29"/>
        <v>0</v>
      </c>
      <c r="M140" s="55">
        <f t="shared" si="30"/>
        <v>0</v>
      </c>
      <c r="N140" s="55">
        <f t="shared" si="31"/>
        <v>0</v>
      </c>
      <c r="O140" s="50">
        <f t="shared" si="22"/>
        <v>0</v>
      </c>
    </row>
    <row r="141" spans="1:15" x14ac:dyDescent="0.25">
      <c r="A141" s="46">
        <v>60503</v>
      </c>
      <c r="B141" s="49" t="s">
        <v>164</v>
      </c>
      <c r="C141" s="85">
        <f t="shared" si="26"/>
        <v>0</v>
      </c>
      <c r="D141" s="52" t="s">
        <v>39</v>
      </c>
      <c r="E141" s="49" t="s">
        <v>165</v>
      </c>
      <c r="I141" s="49" t="s">
        <v>172</v>
      </c>
      <c r="J141" s="55">
        <f t="shared" si="27"/>
        <v>0</v>
      </c>
      <c r="K141" s="55">
        <f t="shared" si="28"/>
        <v>0</v>
      </c>
      <c r="L141" s="55">
        <f>SUMIF($D$94:$D$133,D141,$L$94:$L$133)*0.3875</f>
        <v>18512.59954162499</v>
      </c>
      <c r="M141" s="55">
        <f t="shared" si="30"/>
        <v>0</v>
      </c>
      <c r="N141" s="55">
        <f t="shared" si="31"/>
        <v>0</v>
      </c>
      <c r="O141" s="50">
        <f t="shared" si="22"/>
        <v>18512.59954162499</v>
      </c>
    </row>
    <row r="142" spans="1:15" x14ac:dyDescent="0.25">
      <c r="A142" s="51">
        <v>61012</v>
      </c>
      <c r="B142" s="49" t="s">
        <v>173</v>
      </c>
      <c r="C142" s="85">
        <f t="shared" si="26"/>
        <v>0</v>
      </c>
      <c r="D142" s="49" t="s">
        <v>9</v>
      </c>
      <c r="E142" s="49" t="s">
        <v>165</v>
      </c>
      <c r="I142" s="52" t="s">
        <v>174</v>
      </c>
      <c r="J142" s="55">
        <f>SUMIF($D$94:$D$132,D142,$J$94:$J$133)*0.15+SUMIF($D$94:$D$132,D144,$J$94:$J$133)*0.15</f>
        <v>41791.189805859365</v>
      </c>
      <c r="K142" s="55">
        <f>SUMIF($D$94:$D$132,D142,$K$94:$K$133)*0.13</f>
        <v>0</v>
      </c>
      <c r="L142" s="55">
        <f>SUMIF($D$94:$D$133,D142,$L$94:$L$133)*0.13</f>
        <v>0</v>
      </c>
      <c r="M142" s="55">
        <f>SUMIF($D$94:$D$132,D142,$M$94:$M$133)*0.13</f>
        <v>0</v>
      </c>
      <c r="N142" s="55">
        <f>SUMIF($D$94:$D$132,D142,$N$94:$N$133)*0.13</f>
        <v>0</v>
      </c>
      <c r="O142" s="50">
        <f t="shared" si="22"/>
        <v>41791.189805859365</v>
      </c>
    </row>
    <row r="143" spans="1:15" x14ac:dyDescent="0.25">
      <c r="A143" s="86">
        <v>61012</v>
      </c>
      <c r="B143" s="89" t="s">
        <v>173</v>
      </c>
      <c r="C143" s="89">
        <f>$C$1</f>
        <v>0</v>
      </c>
      <c r="D143" s="89" t="s">
        <v>18</v>
      </c>
      <c r="E143" s="89" t="s">
        <v>165</v>
      </c>
      <c r="I143" s="52" t="s">
        <v>175</v>
      </c>
      <c r="J143" s="55">
        <f t="shared" ref="J143:J148" si="32">SUMIF($D$94:$D$132,D143,$J$94:$J$133)*0.13</f>
        <v>0</v>
      </c>
      <c r="K143" s="55">
        <f t="shared" ref="K143:K148" si="33">SUMIF($D$94:$D$132,D143,$K$94:$K$133)*0.13</f>
        <v>0</v>
      </c>
      <c r="L143" s="55">
        <f t="shared" ref="L143:L147" si="34">SUMIF($D$94:$D$132,D143,$L$94:$L$133)*0.13</f>
        <v>0</v>
      </c>
      <c r="M143" s="55">
        <f t="shared" ref="M143:M148" si="35">SUMIF($D$94:$D$132,D143,$M$94:$M$133)*0.13</f>
        <v>0</v>
      </c>
      <c r="N143" s="55">
        <f t="shared" ref="N143:N148" si="36">SUMIF($D$94:$D$132,D143,$N$94:$N$133)*0.13</f>
        <v>0</v>
      </c>
      <c r="O143" s="50">
        <f t="shared" si="22"/>
        <v>0</v>
      </c>
    </row>
    <row r="144" spans="1:15" x14ac:dyDescent="0.25">
      <c r="A144" s="86">
        <v>61012</v>
      </c>
      <c r="B144" s="89" t="s">
        <v>173</v>
      </c>
      <c r="C144" s="89">
        <f>$C$1</f>
        <v>0</v>
      </c>
      <c r="D144" s="89" t="s">
        <v>21</v>
      </c>
      <c r="E144" s="89" t="s">
        <v>165</v>
      </c>
      <c r="I144" s="52" t="s">
        <v>176</v>
      </c>
      <c r="J144" s="55">
        <f>SUMIF($D$94:$D$133,D144,$J$94:$J$133)*0.13*0</f>
        <v>0</v>
      </c>
      <c r="K144" s="55">
        <f>SUMIF($D$94:$D$133,D144,$K$94:$K$133)*0.13</f>
        <v>0</v>
      </c>
      <c r="L144" s="55">
        <f>SUMIF($D$94:$D$133,D144,$L$94:$L$133)*0.13*0</f>
        <v>0</v>
      </c>
      <c r="M144" s="55">
        <f>SUMIF($D$94:$D$133,D144,$M$94:$M$133)*0.13</f>
        <v>0</v>
      </c>
      <c r="N144" s="55">
        <f>SUMIF($D$94:$D$133,D144,$N$94:$N$133)*0.13</f>
        <v>0</v>
      </c>
      <c r="O144" s="50">
        <f t="shared" si="22"/>
        <v>0</v>
      </c>
    </row>
    <row r="145" spans="1:16" x14ac:dyDescent="0.25">
      <c r="A145" s="51">
        <v>61012</v>
      </c>
      <c r="B145" s="49" t="s">
        <v>173</v>
      </c>
      <c r="C145" s="85">
        <f t="shared" si="26"/>
        <v>0</v>
      </c>
      <c r="D145" s="52" t="s">
        <v>24</v>
      </c>
      <c r="E145" s="49" t="s">
        <v>165</v>
      </c>
      <c r="I145" s="52" t="s">
        <v>177</v>
      </c>
      <c r="J145" s="55">
        <f t="shared" si="32"/>
        <v>0</v>
      </c>
      <c r="K145" s="55">
        <f t="shared" si="33"/>
        <v>0</v>
      </c>
      <c r="L145" s="55">
        <f t="shared" si="34"/>
        <v>0</v>
      </c>
      <c r="M145" s="55">
        <f t="shared" si="35"/>
        <v>0</v>
      </c>
      <c r="N145" s="55">
        <f t="shared" si="36"/>
        <v>0</v>
      </c>
      <c r="O145" s="50">
        <f t="shared" si="22"/>
        <v>0</v>
      </c>
    </row>
    <row r="146" spans="1:16" x14ac:dyDescent="0.25">
      <c r="A146" s="51">
        <v>61012</v>
      </c>
      <c r="B146" s="49" t="s">
        <v>173</v>
      </c>
      <c r="C146" s="85">
        <f t="shared" si="26"/>
        <v>0</v>
      </c>
      <c r="D146" s="52" t="s">
        <v>27</v>
      </c>
      <c r="E146" s="49" t="s">
        <v>165</v>
      </c>
      <c r="I146" s="52" t="s">
        <v>178</v>
      </c>
      <c r="J146" s="55">
        <f t="shared" si="32"/>
        <v>0</v>
      </c>
      <c r="K146" s="55">
        <f t="shared" si="33"/>
        <v>0</v>
      </c>
      <c r="L146" s="55">
        <f t="shared" si="34"/>
        <v>0</v>
      </c>
      <c r="M146" s="55">
        <f t="shared" si="35"/>
        <v>0</v>
      </c>
      <c r="N146" s="55">
        <f t="shared" si="36"/>
        <v>0</v>
      </c>
      <c r="O146" s="50">
        <f t="shared" si="22"/>
        <v>0</v>
      </c>
    </row>
    <row r="147" spans="1:16" x14ac:dyDescent="0.25">
      <c r="A147" s="51">
        <v>61012</v>
      </c>
      <c r="B147" s="49" t="s">
        <v>173</v>
      </c>
      <c r="C147" s="85">
        <f t="shared" si="26"/>
        <v>0</v>
      </c>
      <c r="D147" s="52" t="s">
        <v>36</v>
      </c>
      <c r="E147" s="49" t="s">
        <v>165</v>
      </c>
      <c r="I147" s="52" t="s">
        <v>179</v>
      </c>
      <c r="J147" s="55">
        <f t="shared" si="32"/>
        <v>0</v>
      </c>
      <c r="K147" s="55">
        <f t="shared" si="33"/>
        <v>0</v>
      </c>
      <c r="L147" s="55">
        <f t="shared" si="34"/>
        <v>0</v>
      </c>
      <c r="M147" s="55">
        <f t="shared" si="35"/>
        <v>0</v>
      </c>
      <c r="N147" s="55">
        <f t="shared" si="36"/>
        <v>0</v>
      </c>
      <c r="O147" s="50">
        <f t="shared" si="22"/>
        <v>0</v>
      </c>
    </row>
    <row r="148" spans="1:16" x14ac:dyDescent="0.25">
      <c r="A148" s="51">
        <v>61012</v>
      </c>
      <c r="B148" s="49" t="s">
        <v>173</v>
      </c>
      <c r="C148" s="85">
        <f t="shared" si="26"/>
        <v>0</v>
      </c>
      <c r="D148" s="52" t="s">
        <v>39</v>
      </c>
      <c r="E148" s="49" t="s">
        <v>165</v>
      </c>
      <c r="I148" s="52" t="s">
        <v>180</v>
      </c>
      <c r="J148" s="55">
        <f t="shared" si="32"/>
        <v>0</v>
      </c>
      <c r="K148" s="55">
        <f t="shared" si="33"/>
        <v>0</v>
      </c>
      <c r="L148" s="55">
        <f>SUMIF($D$94:$D$132,D148,$L$94:$L$133)*0.13+SUMIF($D$94:$D$133,D144,$L$94:$L$133)*0.15</f>
        <v>6686.3285558999969</v>
      </c>
      <c r="M148" s="55">
        <f t="shared" si="35"/>
        <v>0</v>
      </c>
      <c r="N148" s="55">
        <f t="shared" si="36"/>
        <v>0</v>
      </c>
      <c r="O148" s="50">
        <f t="shared" si="22"/>
        <v>6686.3285558999969</v>
      </c>
    </row>
    <row r="149" spans="1:16" x14ac:dyDescent="0.25">
      <c r="A149" s="51">
        <v>60037</v>
      </c>
      <c r="B149" s="52" t="s">
        <v>181</v>
      </c>
      <c r="C149" s="85">
        <f t="shared" si="26"/>
        <v>0</v>
      </c>
      <c r="D149" s="49" t="s">
        <v>9</v>
      </c>
      <c r="E149" s="49" t="s">
        <v>165</v>
      </c>
      <c r="I149" s="52" t="s">
        <v>182</v>
      </c>
      <c r="J149" s="55">
        <f>(J39*2500)*0+(J40*2000)*0+(J42*1750)+(SUM(J44:J47)*1750)+(SUM(J48:J49)*500)+(SUM(J51:J53)*500)+(SUM(J57:J60)*500)</f>
        <v>3500</v>
      </c>
      <c r="K149" s="55">
        <f t="shared" ref="K149:N149" si="37">(K39*2500)*0+(K40*2000)*0+(K42*1750)+(SUM(K44:K47)*1750)+(SUM(K48:K49)*500)+(SUM(K51:K53)*500)+(SUM(K57:K60)*500)</f>
        <v>0</v>
      </c>
      <c r="L149" s="55">
        <f t="shared" si="37"/>
        <v>500</v>
      </c>
      <c r="M149" s="55">
        <f t="shared" si="37"/>
        <v>0</v>
      </c>
      <c r="N149" s="55">
        <f t="shared" si="37"/>
        <v>0</v>
      </c>
      <c r="O149" s="50">
        <f t="shared" si="22"/>
        <v>4000</v>
      </c>
    </row>
    <row r="150" spans="1:16" x14ac:dyDescent="0.25">
      <c r="A150" s="51">
        <v>60037</v>
      </c>
      <c r="B150" s="52" t="s">
        <v>181</v>
      </c>
      <c r="C150" s="85">
        <f t="shared" si="26"/>
        <v>0</v>
      </c>
      <c r="D150" s="49" t="s">
        <v>9</v>
      </c>
      <c r="E150" s="49" t="s">
        <v>165</v>
      </c>
      <c r="I150" s="52" t="s">
        <v>183</v>
      </c>
      <c r="J150" s="55">
        <f>(J39+J40+J42+J44+J45+J46+J47+J48+J49+J51+J52+J53+J57+J58+J59+J60)*125+125*3</f>
        <v>750</v>
      </c>
      <c r="K150" s="55">
        <f>(K39+K40+K42+K44+K45+K46+K47+K48+K49+K51+K52+K53+K57+K58+K59+K60)*125</f>
        <v>0</v>
      </c>
      <c r="L150" s="55">
        <f t="shared" ref="L150:N150" si="38">(L39+L40+L42+L44+L45+L46+L47+L48+L49+L51+L52+L53+L57+L58+L59+L60)*125</f>
        <v>125</v>
      </c>
      <c r="M150" s="55">
        <f t="shared" si="38"/>
        <v>0</v>
      </c>
      <c r="N150" s="55">
        <f t="shared" si="38"/>
        <v>0</v>
      </c>
      <c r="O150" s="50">
        <f t="shared" si="22"/>
        <v>875</v>
      </c>
    </row>
    <row r="151" spans="1:16" x14ac:dyDescent="0.25">
      <c r="A151" s="51">
        <v>60037</v>
      </c>
      <c r="B151" s="52" t="s">
        <v>181</v>
      </c>
      <c r="C151" s="85">
        <f t="shared" si="26"/>
        <v>0</v>
      </c>
      <c r="D151" s="49" t="s">
        <v>9</v>
      </c>
      <c r="E151" s="49" t="s">
        <v>165</v>
      </c>
      <c r="I151" s="52" t="s">
        <v>184</v>
      </c>
      <c r="J151" s="55"/>
      <c r="K151" s="55"/>
      <c r="L151" s="55"/>
      <c r="M151" s="55"/>
      <c r="N151" s="55"/>
      <c r="O151" s="50">
        <f t="shared" si="22"/>
        <v>0</v>
      </c>
    </row>
    <row r="152" spans="1:16" x14ac:dyDescent="0.25">
      <c r="A152" s="56">
        <v>61251</v>
      </c>
      <c r="B152" s="57" t="s">
        <v>185</v>
      </c>
      <c r="C152" s="85">
        <f t="shared" si="26"/>
        <v>0</v>
      </c>
      <c r="D152" s="49" t="s">
        <v>9</v>
      </c>
      <c r="E152" s="52" t="s">
        <v>186</v>
      </c>
      <c r="I152" s="57" t="s">
        <v>187</v>
      </c>
      <c r="J152" s="58"/>
      <c r="K152" s="58"/>
      <c r="L152" s="58"/>
      <c r="M152" s="58"/>
      <c r="N152" s="58"/>
      <c r="O152" s="50">
        <f t="shared" si="22"/>
        <v>0</v>
      </c>
    </row>
    <row r="153" spans="1:16" x14ac:dyDescent="0.25">
      <c r="A153" s="98"/>
      <c r="B153" s="98"/>
      <c r="C153" s="98"/>
      <c r="D153" s="98"/>
      <c r="E153" s="98"/>
      <c r="F153" s="96"/>
      <c r="H153" s="93" t="s">
        <v>188</v>
      </c>
      <c r="I153" s="94"/>
      <c r="J153" s="92">
        <f t="shared" ref="J153:O153" si="39">SUM(J135:J152)</f>
        <v>154001.76347099605</v>
      </c>
      <c r="K153" s="92">
        <f t="shared" si="39"/>
        <v>0</v>
      </c>
      <c r="L153" s="92">
        <f t="shared" si="39"/>
        <v>27052.690597524987</v>
      </c>
      <c r="M153" s="92">
        <f t="shared" si="39"/>
        <v>0</v>
      </c>
      <c r="N153" s="92">
        <f t="shared" si="39"/>
        <v>0</v>
      </c>
      <c r="O153" s="92">
        <f t="shared" si="39"/>
        <v>181054.45406852107</v>
      </c>
      <c r="P153" s="96"/>
    </row>
    <row r="154" spans="1:16" ht="16.5" thickBot="1" x14ac:dyDescent="0.3">
      <c r="J154" s="99"/>
      <c r="K154" s="99"/>
      <c r="L154" s="99"/>
      <c r="M154" s="99"/>
      <c r="N154" s="99"/>
      <c r="O154" s="99"/>
    </row>
    <row r="155" spans="1:16" ht="16.5" thickBot="1" x14ac:dyDescent="0.3">
      <c r="A155" s="68" t="s">
        <v>5</v>
      </c>
      <c r="B155" s="68" t="s">
        <v>91</v>
      </c>
      <c r="C155" s="68" t="s">
        <v>92</v>
      </c>
      <c r="D155" s="68" t="s">
        <v>4</v>
      </c>
      <c r="E155" s="68" t="s">
        <v>93</v>
      </c>
      <c r="H155" s="100" t="s">
        <v>189</v>
      </c>
      <c r="I155" s="82"/>
      <c r="J155" s="101" t="str">
        <f>J20</f>
        <v>Operating</v>
      </c>
      <c r="K155" s="101" t="str">
        <f t="shared" ref="K155:O155" si="40">K20</f>
        <v>SPED</v>
      </c>
      <c r="L155" s="101" t="str">
        <f t="shared" si="40"/>
        <v>NSLP</v>
      </c>
      <c r="M155" s="101" t="str">
        <f t="shared" si="40"/>
        <v>Title(s)</v>
      </c>
      <c r="N155" s="101" t="str">
        <f t="shared" si="40"/>
        <v>Other</v>
      </c>
      <c r="O155" s="101" t="str">
        <f t="shared" si="40"/>
        <v>Total</v>
      </c>
    </row>
    <row r="156" spans="1:16" x14ac:dyDescent="0.25">
      <c r="A156" s="73"/>
      <c r="B156" s="74"/>
      <c r="C156" s="74"/>
      <c r="D156" s="74"/>
      <c r="E156" s="74"/>
      <c r="H156" s="77" t="s">
        <v>190</v>
      </c>
      <c r="I156" s="78"/>
      <c r="J156" s="79"/>
      <c r="K156" s="79"/>
      <c r="L156" s="79"/>
      <c r="M156" s="79"/>
      <c r="N156" s="79"/>
      <c r="O156" s="79"/>
    </row>
    <row r="157" spans="1:16" x14ac:dyDescent="0.25">
      <c r="A157" s="51">
        <v>60010</v>
      </c>
      <c r="B157" s="49" t="s">
        <v>191</v>
      </c>
      <c r="C157" s="85">
        <f t="shared" ref="C157:C167" si="41">$C$1</f>
        <v>0</v>
      </c>
      <c r="D157" s="49" t="s">
        <v>9</v>
      </c>
      <c r="E157" s="52" t="s">
        <v>186</v>
      </c>
      <c r="I157" s="49" t="s">
        <v>192</v>
      </c>
      <c r="J157" s="102">
        <v>0</v>
      </c>
      <c r="K157" s="102"/>
      <c r="L157" s="102"/>
      <c r="M157" s="102"/>
      <c r="N157" s="102"/>
      <c r="O157" s="50">
        <f t="shared" ref="O157:O200" si="42">SUM(J157:N157)</f>
        <v>0</v>
      </c>
    </row>
    <row r="158" spans="1:16" x14ac:dyDescent="0.25">
      <c r="A158" s="51">
        <v>60010</v>
      </c>
      <c r="B158" s="49" t="s">
        <v>191</v>
      </c>
      <c r="C158" s="85">
        <f t="shared" si="41"/>
        <v>0</v>
      </c>
      <c r="D158" s="52" t="s">
        <v>18</v>
      </c>
      <c r="E158" s="52" t="s">
        <v>186</v>
      </c>
      <c r="I158" s="49" t="s">
        <v>193</v>
      </c>
      <c r="J158" s="102"/>
      <c r="K158" s="102"/>
      <c r="L158" s="102"/>
      <c r="M158" s="102"/>
      <c r="N158" s="102"/>
      <c r="O158" s="50">
        <f t="shared" si="42"/>
        <v>0</v>
      </c>
    </row>
    <row r="159" spans="1:16" x14ac:dyDescent="0.25">
      <c r="A159" s="51">
        <v>60010</v>
      </c>
      <c r="B159" s="49" t="s">
        <v>191</v>
      </c>
      <c r="C159" s="85">
        <f t="shared" si="41"/>
        <v>0</v>
      </c>
      <c r="D159" s="52" t="s">
        <v>36</v>
      </c>
      <c r="E159" s="52" t="s">
        <v>186</v>
      </c>
      <c r="I159" s="49" t="s">
        <v>194</v>
      </c>
      <c r="J159" s="102">
        <v>0</v>
      </c>
      <c r="K159" s="102"/>
      <c r="L159" s="102"/>
      <c r="M159" s="102">
        <f>(84*24*40)*M41</f>
        <v>0</v>
      </c>
      <c r="N159" s="102"/>
      <c r="O159" s="50">
        <f t="shared" si="42"/>
        <v>0</v>
      </c>
    </row>
    <row r="160" spans="1:16" x14ac:dyDescent="0.25">
      <c r="A160" s="51">
        <v>60010</v>
      </c>
      <c r="B160" s="52" t="s">
        <v>191</v>
      </c>
      <c r="C160" s="85">
        <f t="shared" si="41"/>
        <v>0</v>
      </c>
      <c r="D160" s="52" t="s">
        <v>12</v>
      </c>
      <c r="E160" s="52" t="s">
        <v>186</v>
      </c>
      <c r="I160" s="52" t="s">
        <v>67</v>
      </c>
      <c r="J160" s="55">
        <v>0</v>
      </c>
      <c r="K160" s="55"/>
      <c r="L160" s="55"/>
      <c r="M160" s="55"/>
      <c r="N160" s="55"/>
      <c r="O160" s="50">
        <f t="shared" si="42"/>
        <v>0</v>
      </c>
    </row>
    <row r="161" spans="1:15" x14ac:dyDescent="0.25">
      <c r="A161" s="51">
        <v>60010</v>
      </c>
      <c r="B161" s="52" t="s">
        <v>191</v>
      </c>
      <c r="C161" s="85">
        <f t="shared" si="41"/>
        <v>0</v>
      </c>
      <c r="D161" s="52" t="s">
        <v>36</v>
      </c>
      <c r="E161" s="52" t="s">
        <v>186</v>
      </c>
      <c r="I161" s="52" t="s">
        <v>195</v>
      </c>
      <c r="J161" s="55"/>
      <c r="K161" s="55"/>
      <c r="L161" s="55"/>
      <c r="M161" s="55"/>
      <c r="N161" s="55"/>
      <c r="O161" s="50">
        <f t="shared" si="42"/>
        <v>0</v>
      </c>
    </row>
    <row r="162" spans="1:15" x14ac:dyDescent="0.25">
      <c r="A162" s="51">
        <v>60010</v>
      </c>
      <c r="B162" s="52" t="s">
        <v>191</v>
      </c>
      <c r="C162" s="85">
        <f t="shared" si="41"/>
        <v>0</v>
      </c>
      <c r="D162" s="49" t="s">
        <v>9</v>
      </c>
      <c r="E162" s="52" t="s">
        <v>186</v>
      </c>
      <c r="I162" s="52" t="s">
        <v>196</v>
      </c>
      <c r="J162" s="55">
        <f>(55200*1.015*1.015*1.015*1.015)*(J36-J35-J28)+0-J165-J163-K162</f>
        <v>361930.59689717629</v>
      </c>
      <c r="K162" s="55">
        <f>25500</f>
        <v>25500</v>
      </c>
      <c r="L162" s="55"/>
      <c r="M162" s="55"/>
      <c r="N162" s="55"/>
      <c r="O162" s="50">
        <f t="shared" si="42"/>
        <v>387430.59689717629</v>
      </c>
    </row>
    <row r="163" spans="1:15" x14ac:dyDescent="0.25">
      <c r="A163" s="51">
        <v>60010</v>
      </c>
      <c r="B163" s="52" t="s">
        <v>191</v>
      </c>
      <c r="C163" s="85">
        <f t="shared" si="41"/>
        <v>0</v>
      </c>
      <c r="D163" s="52" t="s">
        <v>12</v>
      </c>
      <c r="E163" s="52" t="s">
        <v>186</v>
      </c>
      <c r="I163" s="52" t="s">
        <v>197</v>
      </c>
      <c r="J163" s="55">
        <f>416711*(J22/J17)</f>
        <v>56378.547058823526</v>
      </c>
      <c r="K163" s="55"/>
      <c r="L163" s="55"/>
      <c r="M163" s="55"/>
      <c r="N163" s="55"/>
      <c r="O163" s="50">
        <f t="shared" si="42"/>
        <v>56378.547058823526</v>
      </c>
    </row>
    <row r="164" spans="1:15" x14ac:dyDescent="0.25">
      <c r="A164" s="51">
        <v>60010</v>
      </c>
      <c r="B164" s="52" t="s">
        <v>191</v>
      </c>
      <c r="C164" s="85">
        <f t="shared" si="41"/>
        <v>0</v>
      </c>
      <c r="D164" s="52" t="s">
        <v>18</v>
      </c>
      <c r="E164" s="52" t="s">
        <v>186</v>
      </c>
      <c r="I164" s="52" t="s">
        <v>198</v>
      </c>
      <c r="J164" s="55"/>
      <c r="K164" s="55"/>
      <c r="L164" s="55"/>
      <c r="M164" s="55"/>
      <c r="N164" s="55"/>
      <c r="O164" s="50">
        <f t="shared" si="42"/>
        <v>0</v>
      </c>
    </row>
    <row r="165" spans="1:15" x14ac:dyDescent="0.25">
      <c r="A165" s="51">
        <v>60010</v>
      </c>
      <c r="B165" s="52" t="s">
        <v>191</v>
      </c>
      <c r="C165" s="85">
        <f t="shared" si="41"/>
        <v>0</v>
      </c>
      <c r="D165" s="52" t="s">
        <v>21</v>
      </c>
      <c r="E165" s="52" t="s">
        <v>186</v>
      </c>
      <c r="I165" s="52" t="s">
        <v>199</v>
      </c>
      <c r="J165" s="55">
        <v>24889</v>
      </c>
      <c r="K165" s="55"/>
      <c r="L165" s="55"/>
      <c r="M165" s="55"/>
      <c r="N165" s="55"/>
      <c r="O165" s="50">
        <f t="shared" si="42"/>
        <v>24889</v>
      </c>
    </row>
    <row r="166" spans="1:15" x14ac:dyDescent="0.25">
      <c r="A166" s="51">
        <v>60010</v>
      </c>
      <c r="B166" s="52" t="s">
        <v>191</v>
      </c>
      <c r="C166" s="85">
        <f t="shared" si="41"/>
        <v>0</v>
      </c>
      <c r="D166" s="52" t="s">
        <v>24</v>
      </c>
      <c r="E166" s="52" t="s">
        <v>186</v>
      </c>
      <c r="I166" s="52" t="s">
        <v>200</v>
      </c>
      <c r="J166" s="55"/>
      <c r="K166" s="55"/>
      <c r="L166" s="55"/>
      <c r="M166" s="55"/>
      <c r="N166" s="55"/>
      <c r="O166" s="50">
        <f t="shared" si="42"/>
        <v>0</v>
      </c>
    </row>
    <row r="167" spans="1:15" ht="16.5" thickBot="1" x14ac:dyDescent="0.3">
      <c r="A167" s="51">
        <v>60010</v>
      </c>
      <c r="B167" s="52" t="s">
        <v>191</v>
      </c>
      <c r="C167" s="85">
        <f t="shared" si="41"/>
        <v>0</v>
      </c>
      <c r="D167" s="52" t="s">
        <v>15</v>
      </c>
      <c r="E167" s="52" t="s">
        <v>186</v>
      </c>
      <c r="I167" s="52" t="s">
        <v>201</v>
      </c>
      <c r="J167" s="55"/>
      <c r="K167" s="55"/>
      <c r="L167" s="55"/>
      <c r="M167" s="55"/>
      <c r="N167" s="55"/>
      <c r="O167" s="50">
        <f t="shared" si="42"/>
        <v>0</v>
      </c>
    </row>
    <row r="168" spans="1:15" x14ac:dyDescent="0.25">
      <c r="A168" s="73"/>
      <c r="B168" s="74"/>
      <c r="C168" s="74"/>
      <c r="D168" s="74"/>
      <c r="E168" s="74"/>
      <c r="H168" s="77" t="s">
        <v>202</v>
      </c>
      <c r="I168" s="78"/>
      <c r="J168" s="79"/>
      <c r="K168" s="79"/>
      <c r="L168" s="79"/>
      <c r="M168" s="79"/>
      <c r="N168" s="79"/>
      <c r="O168" s="79"/>
    </row>
    <row r="169" spans="1:15" ht="16.5" thickBot="1" x14ac:dyDescent="0.3">
      <c r="A169" s="51">
        <v>60013</v>
      </c>
      <c r="B169" s="52" t="s">
        <v>191</v>
      </c>
      <c r="C169" s="85">
        <f>$C$1</f>
        <v>0</v>
      </c>
      <c r="D169" s="52" t="s">
        <v>27</v>
      </c>
      <c r="E169" s="52" t="s">
        <v>186</v>
      </c>
      <c r="I169" s="52" t="s">
        <v>203</v>
      </c>
      <c r="J169" s="55">
        <f>50000*(J28)</f>
        <v>0</v>
      </c>
      <c r="K169" s="55">
        <f>(51045*1.015*1.015*1.015*1.015)*(K28)</f>
        <v>54177.302441653112</v>
      </c>
      <c r="L169" s="55"/>
      <c r="M169" s="55"/>
      <c r="N169" s="55"/>
      <c r="O169" s="50">
        <f t="shared" si="42"/>
        <v>54177.302441653112</v>
      </c>
    </row>
    <row r="170" spans="1:15" x14ac:dyDescent="0.25">
      <c r="A170" s="73"/>
      <c r="B170" s="74"/>
      <c r="C170" s="74"/>
      <c r="D170" s="74"/>
      <c r="E170" s="74"/>
      <c r="H170" s="77" t="s">
        <v>202</v>
      </c>
      <c r="I170" s="78"/>
      <c r="J170" s="79"/>
      <c r="K170" s="79"/>
      <c r="L170" s="79"/>
      <c r="M170" s="79"/>
      <c r="N170" s="79"/>
      <c r="O170" s="79"/>
    </row>
    <row r="171" spans="1:15" x14ac:dyDescent="0.25">
      <c r="A171" s="51">
        <v>60020</v>
      </c>
      <c r="B171" s="52" t="s">
        <v>204</v>
      </c>
      <c r="C171" s="85">
        <f t="shared" ref="C171:C177" si="43">$C$1</f>
        <v>0</v>
      </c>
      <c r="D171" s="49" t="s">
        <v>9</v>
      </c>
      <c r="E171" s="52" t="s">
        <v>186</v>
      </c>
      <c r="I171" s="52" t="s">
        <v>205</v>
      </c>
      <c r="J171" s="55">
        <v>0</v>
      </c>
      <c r="K171" s="55"/>
      <c r="L171" s="55"/>
      <c r="M171" s="55"/>
      <c r="N171" s="55"/>
      <c r="O171" s="50">
        <f t="shared" si="42"/>
        <v>0</v>
      </c>
    </row>
    <row r="172" spans="1:15" x14ac:dyDescent="0.25">
      <c r="A172" s="51">
        <v>60020</v>
      </c>
      <c r="B172" s="52" t="s">
        <v>204</v>
      </c>
      <c r="C172" s="85">
        <f t="shared" si="43"/>
        <v>0</v>
      </c>
      <c r="D172" s="52" t="s">
        <v>18</v>
      </c>
      <c r="E172" s="52" t="s">
        <v>186</v>
      </c>
      <c r="I172" s="52" t="s">
        <v>206</v>
      </c>
      <c r="J172" s="55"/>
      <c r="K172" s="55"/>
      <c r="L172" s="55"/>
      <c r="M172" s="55">
        <v>5000</v>
      </c>
      <c r="N172" s="55"/>
      <c r="O172" s="50">
        <f t="shared" si="42"/>
        <v>5000</v>
      </c>
    </row>
    <row r="173" spans="1:15" x14ac:dyDescent="0.25">
      <c r="A173" s="51">
        <v>60020</v>
      </c>
      <c r="B173" s="52" t="s">
        <v>204</v>
      </c>
      <c r="C173" s="85">
        <f t="shared" si="43"/>
        <v>0</v>
      </c>
      <c r="D173" s="52" t="s">
        <v>12</v>
      </c>
      <c r="E173" s="52" t="s">
        <v>186</v>
      </c>
      <c r="I173" s="52" t="s">
        <v>207</v>
      </c>
      <c r="J173" s="55">
        <v>0</v>
      </c>
      <c r="K173" s="55"/>
      <c r="L173" s="55"/>
      <c r="M173" s="55"/>
      <c r="N173" s="55"/>
      <c r="O173" s="50">
        <f t="shared" si="42"/>
        <v>0</v>
      </c>
    </row>
    <row r="174" spans="1:15" x14ac:dyDescent="0.25">
      <c r="A174" s="86">
        <v>60020</v>
      </c>
      <c r="B174" s="89" t="s">
        <v>204</v>
      </c>
      <c r="C174" s="89">
        <f t="shared" si="43"/>
        <v>0</v>
      </c>
      <c r="D174" s="89" t="s">
        <v>21</v>
      </c>
      <c r="E174" s="89" t="s">
        <v>186</v>
      </c>
      <c r="I174" s="52" t="s">
        <v>208</v>
      </c>
      <c r="J174" s="55">
        <v>0</v>
      </c>
      <c r="K174" s="55"/>
      <c r="L174" s="55"/>
      <c r="M174" s="55">
        <v>351</v>
      </c>
      <c r="N174" s="55"/>
      <c r="O174" s="50">
        <f t="shared" ref="O174" si="44">SUM(J174:N174)</f>
        <v>351</v>
      </c>
    </row>
    <row r="175" spans="1:15" x14ac:dyDescent="0.25">
      <c r="A175" s="51">
        <v>60020</v>
      </c>
      <c r="B175" s="52" t="s">
        <v>209</v>
      </c>
      <c r="C175" s="85">
        <f t="shared" si="43"/>
        <v>0</v>
      </c>
      <c r="D175" s="52" t="s">
        <v>24</v>
      </c>
      <c r="E175" s="52" t="s">
        <v>186</v>
      </c>
      <c r="I175" s="52" t="s">
        <v>210</v>
      </c>
      <c r="J175" s="55">
        <v>0</v>
      </c>
      <c r="K175" s="55"/>
      <c r="L175" s="55"/>
      <c r="M175" s="55"/>
      <c r="N175" s="55"/>
      <c r="O175" s="50">
        <f t="shared" si="42"/>
        <v>0</v>
      </c>
    </row>
    <row r="176" spans="1:15" x14ac:dyDescent="0.25">
      <c r="A176" s="51">
        <v>60020</v>
      </c>
      <c r="B176" s="52" t="s">
        <v>209</v>
      </c>
      <c r="C176" s="85">
        <f t="shared" si="43"/>
        <v>0</v>
      </c>
      <c r="D176" s="52" t="s">
        <v>27</v>
      </c>
      <c r="E176" s="52" t="s">
        <v>186</v>
      </c>
      <c r="I176" s="52" t="s">
        <v>211</v>
      </c>
      <c r="J176" s="55"/>
      <c r="K176" s="55"/>
      <c r="L176" s="55"/>
      <c r="M176" s="55"/>
      <c r="N176" s="55"/>
      <c r="O176" s="50">
        <f t="shared" si="42"/>
        <v>0</v>
      </c>
    </row>
    <row r="177" spans="1:16" ht="16.5" thickBot="1" x14ac:dyDescent="0.3">
      <c r="A177" s="51">
        <v>60020</v>
      </c>
      <c r="B177" s="52" t="s">
        <v>209</v>
      </c>
      <c r="C177" s="85">
        <f t="shared" si="43"/>
        <v>0</v>
      </c>
      <c r="D177" s="52" t="s">
        <v>36</v>
      </c>
      <c r="E177" s="52" t="s">
        <v>186</v>
      </c>
      <c r="I177" s="52" t="s">
        <v>212</v>
      </c>
      <c r="J177" s="55"/>
      <c r="K177" s="55"/>
      <c r="L177" s="55"/>
      <c r="M177" s="55">
        <f>(17*8*180)*M50-M172-M174</f>
        <v>19129</v>
      </c>
      <c r="N177" s="55"/>
      <c r="O177" s="50">
        <f t="shared" si="42"/>
        <v>19129</v>
      </c>
    </row>
    <row r="178" spans="1:16" x14ac:dyDescent="0.25">
      <c r="A178" s="73"/>
      <c r="B178" s="74"/>
      <c r="C178" s="74"/>
      <c r="D178" s="74"/>
      <c r="E178" s="74"/>
      <c r="H178" s="77" t="s">
        <v>213</v>
      </c>
      <c r="I178" s="78"/>
      <c r="J178" s="79"/>
      <c r="K178" s="79"/>
      <c r="L178" s="79"/>
      <c r="M178" s="79"/>
      <c r="N178" s="79"/>
      <c r="O178" s="79"/>
    </row>
    <row r="179" spans="1:16" x14ac:dyDescent="0.25">
      <c r="A179" s="56">
        <v>60030</v>
      </c>
      <c r="B179" s="57" t="s">
        <v>214</v>
      </c>
      <c r="C179" s="85">
        <f>$C$1</f>
        <v>0</v>
      </c>
      <c r="D179" s="49" t="s">
        <v>9</v>
      </c>
      <c r="E179" s="52" t="s">
        <v>186</v>
      </c>
      <c r="I179" s="57" t="s">
        <v>85</v>
      </c>
      <c r="J179" s="58">
        <f>170*180*J59</f>
        <v>0</v>
      </c>
      <c r="K179" s="58"/>
      <c r="L179" s="58"/>
      <c r="M179" s="58"/>
      <c r="N179" s="58"/>
      <c r="O179" s="50">
        <f t="shared" si="42"/>
        <v>0</v>
      </c>
    </row>
    <row r="180" spans="1:16" x14ac:dyDescent="0.25">
      <c r="A180" s="98"/>
      <c r="B180" s="98"/>
      <c r="C180" s="98"/>
      <c r="D180" s="98"/>
      <c r="E180" s="98"/>
      <c r="F180" s="95"/>
      <c r="H180" s="93" t="s">
        <v>215</v>
      </c>
      <c r="I180" s="103"/>
      <c r="J180" s="92">
        <f t="shared" ref="J180:O180" si="45">SUM(J157:J179)</f>
        <v>443198.14395599981</v>
      </c>
      <c r="K180" s="92">
        <f t="shared" si="45"/>
        <v>79677.302441653112</v>
      </c>
      <c r="L180" s="92">
        <f t="shared" si="45"/>
        <v>0</v>
      </c>
      <c r="M180" s="92">
        <f t="shared" si="45"/>
        <v>24480</v>
      </c>
      <c r="N180" s="92">
        <f t="shared" si="45"/>
        <v>0</v>
      </c>
      <c r="O180" s="92">
        <f t="shared" si="45"/>
        <v>547355.44639765285</v>
      </c>
      <c r="P180" s="95"/>
    </row>
    <row r="181" spans="1:16" x14ac:dyDescent="0.25">
      <c r="A181" s="46">
        <v>60505</v>
      </c>
      <c r="B181" s="49" t="s">
        <v>216</v>
      </c>
      <c r="C181" s="85">
        <f t="shared" ref="C181:C200" si="46">$C$1</f>
        <v>0</v>
      </c>
      <c r="D181" s="49" t="s">
        <v>9</v>
      </c>
      <c r="E181" s="52" t="s">
        <v>186</v>
      </c>
      <c r="F181" s="95"/>
      <c r="I181" s="49" t="s">
        <v>166</v>
      </c>
      <c r="J181" s="55">
        <f>SUMIF($D$157:$D$179,D181,$J$157:$J$179)*0.3875</f>
        <v>140248.10629765582</v>
      </c>
      <c r="K181" s="55">
        <f>SUMIF($D$157:$D$179,D181,$K$157:$K$179)*0.3875</f>
        <v>9881.25</v>
      </c>
      <c r="L181" s="55">
        <f t="shared" ref="L181:L188" si="47">SUMIF($D$157:$D$179,D181,$L$157:$L$179)*0.3675</f>
        <v>0</v>
      </c>
      <c r="M181" s="55">
        <f t="shared" ref="M181:M187" si="48">SUMIF($D$157:$D$179,D181,$M$157:$M$179)*0.3675</f>
        <v>0</v>
      </c>
      <c r="N181" s="55">
        <f t="shared" ref="N181:N188" si="49">SUMIF($D$157:$D$179,D181,$N$157:$N$179)*0.3675</f>
        <v>0</v>
      </c>
      <c r="O181" s="50">
        <f t="shared" si="42"/>
        <v>150129.35629765582</v>
      </c>
      <c r="P181" s="95"/>
    </row>
    <row r="182" spans="1:16" x14ac:dyDescent="0.25">
      <c r="A182" s="46">
        <v>60505</v>
      </c>
      <c r="B182" s="49" t="s">
        <v>216</v>
      </c>
      <c r="C182" s="85">
        <f t="shared" si="46"/>
        <v>0</v>
      </c>
      <c r="D182" s="52" t="s">
        <v>12</v>
      </c>
      <c r="E182" s="52" t="s">
        <v>186</v>
      </c>
      <c r="F182" s="95"/>
      <c r="I182" s="49" t="s">
        <v>217</v>
      </c>
      <c r="J182" s="55">
        <f>SUMIF($D$157:$D$179,D182,$J$157:$J$179)*0.3875</f>
        <v>21846.686985294116</v>
      </c>
      <c r="K182" s="55">
        <f t="shared" ref="K182:K188" si="50">SUMIF($D$157:$D$179,D182,$K$157:$K$179)*0.3675</f>
        <v>0</v>
      </c>
      <c r="L182" s="55">
        <f t="shared" si="47"/>
        <v>0</v>
      </c>
      <c r="M182" s="55">
        <f t="shared" si="48"/>
        <v>0</v>
      </c>
      <c r="N182" s="55">
        <f t="shared" si="49"/>
        <v>0</v>
      </c>
      <c r="O182" s="50">
        <f t="shared" si="42"/>
        <v>21846.686985294116</v>
      </c>
      <c r="P182" s="95"/>
    </row>
    <row r="183" spans="1:16" x14ac:dyDescent="0.25">
      <c r="A183" s="46">
        <v>60505</v>
      </c>
      <c r="B183" s="49" t="s">
        <v>216</v>
      </c>
      <c r="C183" s="85">
        <f t="shared" si="46"/>
        <v>0</v>
      </c>
      <c r="D183" s="52" t="s">
        <v>15</v>
      </c>
      <c r="E183" s="52" t="s">
        <v>186</v>
      </c>
      <c r="F183" s="95"/>
      <c r="I183" s="49" t="s">
        <v>218</v>
      </c>
      <c r="J183" s="55">
        <f t="shared" ref="J183:J188" si="51">SUMIF($D$157:$D$179,D183,$J$157:$J$179)*0.3675</f>
        <v>0</v>
      </c>
      <c r="K183" s="55">
        <f t="shared" si="50"/>
        <v>0</v>
      </c>
      <c r="L183" s="55">
        <f t="shared" si="47"/>
        <v>0</v>
      </c>
      <c r="M183" s="55">
        <f t="shared" si="48"/>
        <v>0</v>
      </c>
      <c r="N183" s="55">
        <f t="shared" si="49"/>
        <v>0</v>
      </c>
      <c r="O183" s="50">
        <f t="shared" si="42"/>
        <v>0</v>
      </c>
      <c r="P183" s="95"/>
    </row>
    <row r="184" spans="1:16" x14ac:dyDescent="0.25">
      <c r="A184" s="46">
        <v>60505</v>
      </c>
      <c r="B184" s="49" t="s">
        <v>216</v>
      </c>
      <c r="C184" s="85">
        <f t="shared" si="46"/>
        <v>0</v>
      </c>
      <c r="D184" s="52" t="s">
        <v>18</v>
      </c>
      <c r="E184" s="52" t="s">
        <v>186</v>
      </c>
      <c r="F184" s="95"/>
      <c r="I184" s="49" t="s">
        <v>167</v>
      </c>
      <c r="J184" s="55">
        <f t="shared" si="51"/>
        <v>0</v>
      </c>
      <c r="K184" s="55">
        <f t="shared" si="50"/>
        <v>0</v>
      </c>
      <c r="L184" s="55">
        <f t="shared" si="47"/>
        <v>0</v>
      </c>
      <c r="M184" s="55">
        <f>SUMIF($D$157:$D$179,D184,$M$157:$M$179)*0.3875</f>
        <v>1937.5</v>
      </c>
      <c r="N184" s="55">
        <f t="shared" si="49"/>
        <v>0</v>
      </c>
      <c r="O184" s="50">
        <f t="shared" si="42"/>
        <v>1937.5</v>
      </c>
      <c r="P184" s="95"/>
    </row>
    <row r="185" spans="1:16" x14ac:dyDescent="0.25">
      <c r="A185" s="46">
        <v>60505</v>
      </c>
      <c r="B185" s="49" t="s">
        <v>216</v>
      </c>
      <c r="C185" s="85">
        <f t="shared" si="46"/>
        <v>0</v>
      </c>
      <c r="D185" s="52" t="s">
        <v>21</v>
      </c>
      <c r="E185" s="52" t="s">
        <v>186</v>
      </c>
      <c r="F185" s="95"/>
      <c r="I185" s="49" t="s">
        <v>168</v>
      </c>
      <c r="J185" s="55">
        <f>SUMIF($D$157:$D$179,D185,$J$157:$J$179)*0.3875</f>
        <v>9644.4875000000011</v>
      </c>
      <c r="K185" s="55">
        <f t="shared" si="50"/>
        <v>0</v>
      </c>
      <c r="L185" s="55">
        <f t="shared" si="47"/>
        <v>0</v>
      </c>
      <c r="M185" s="55">
        <f>SUMIF($D$157:$D$179,D185,$M$157:$M$179)*0.3875</f>
        <v>136.01250000000002</v>
      </c>
      <c r="N185" s="55">
        <f t="shared" si="49"/>
        <v>0</v>
      </c>
      <c r="O185" s="50">
        <f t="shared" si="42"/>
        <v>9780.5000000000018</v>
      </c>
      <c r="P185" s="95"/>
    </row>
    <row r="186" spans="1:16" x14ac:dyDescent="0.25">
      <c r="A186" s="46">
        <v>60505</v>
      </c>
      <c r="B186" s="49" t="s">
        <v>216</v>
      </c>
      <c r="C186" s="85">
        <f t="shared" si="46"/>
        <v>0</v>
      </c>
      <c r="D186" s="52" t="s">
        <v>24</v>
      </c>
      <c r="E186" s="52" t="s">
        <v>186</v>
      </c>
      <c r="F186" s="95"/>
      <c r="I186" s="49" t="s">
        <v>169</v>
      </c>
      <c r="J186" s="55">
        <f t="shared" si="51"/>
        <v>0</v>
      </c>
      <c r="K186" s="55">
        <f t="shared" si="50"/>
        <v>0</v>
      </c>
      <c r="L186" s="55">
        <f t="shared" si="47"/>
        <v>0</v>
      </c>
      <c r="M186" s="55">
        <f t="shared" si="48"/>
        <v>0</v>
      </c>
      <c r="N186" s="55">
        <f t="shared" si="49"/>
        <v>0</v>
      </c>
      <c r="O186" s="50">
        <f t="shared" si="42"/>
        <v>0</v>
      </c>
      <c r="P186" s="95"/>
    </row>
    <row r="187" spans="1:16" x14ac:dyDescent="0.25">
      <c r="A187" s="46">
        <v>60505</v>
      </c>
      <c r="B187" s="49" t="s">
        <v>216</v>
      </c>
      <c r="C187" s="85">
        <f t="shared" si="46"/>
        <v>0</v>
      </c>
      <c r="D187" s="52" t="s">
        <v>27</v>
      </c>
      <c r="E187" s="52" t="s">
        <v>186</v>
      </c>
      <c r="F187" s="95"/>
      <c r="I187" s="49" t="s">
        <v>170</v>
      </c>
      <c r="J187" s="55">
        <f t="shared" si="51"/>
        <v>0</v>
      </c>
      <c r="K187" s="55">
        <f>SUMIF($D$157:$D$179,D187,$K$157:$K$179)*0.3875</f>
        <v>20993.704696140583</v>
      </c>
      <c r="L187" s="55">
        <f t="shared" si="47"/>
        <v>0</v>
      </c>
      <c r="M187" s="55">
        <f t="shared" si="48"/>
        <v>0</v>
      </c>
      <c r="N187" s="55">
        <f t="shared" si="49"/>
        <v>0</v>
      </c>
      <c r="O187" s="50">
        <f t="shared" si="42"/>
        <v>20993.704696140583</v>
      </c>
      <c r="P187" s="95"/>
    </row>
    <row r="188" spans="1:16" x14ac:dyDescent="0.25">
      <c r="A188" s="46">
        <v>60505</v>
      </c>
      <c r="B188" s="49" t="s">
        <v>216</v>
      </c>
      <c r="C188" s="85">
        <f t="shared" si="46"/>
        <v>0</v>
      </c>
      <c r="D188" s="52" t="s">
        <v>36</v>
      </c>
      <c r="E188" s="52" t="s">
        <v>186</v>
      </c>
      <c r="F188" s="95"/>
      <c r="I188" s="49" t="s">
        <v>171</v>
      </c>
      <c r="J188" s="55">
        <f t="shared" si="51"/>
        <v>0</v>
      </c>
      <c r="K188" s="55">
        <f t="shared" si="50"/>
        <v>0</v>
      </c>
      <c r="L188" s="55">
        <f t="shared" si="47"/>
        <v>0</v>
      </c>
      <c r="M188" s="55">
        <f>(SUMIF($D$157:$D$179,D188,$M$157:$M$179)-M159)*0.3875+SUMIF($D$157:$D$179,D193,$M$157:$M$179)*0.3875</f>
        <v>7548.5</v>
      </c>
      <c r="N188" s="55">
        <f t="shared" si="49"/>
        <v>0</v>
      </c>
      <c r="O188" s="50">
        <f t="shared" si="42"/>
        <v>7548.5</v>
      </c>
      <c r="P188" s="95"/>
    </row>
    <row r="189" spans="1:16" x14ac:dyDescent="0.25">
      <c r="A189" s="51">
        <v>60905</v>
      </c>
      <c r="B189" s="52" t="s">
        <v>219</v>
      </c>
      <c r="C189" s="85">
        <f t="shared" si="46"/>
        <v>0</v>
      </c>
      <c r="D189" s="49" t="s">
        <v>9</v>
      </c>
      <c r="E189" s="52" t="s">
        <v>186</v>
      </c>
      <c r="F189" s="95"/>
      <c r="I189" s="52" t="s">
        <v>174</v>
      </c>
      <c r="J189" s="55">
        <f>SUMIF($D$157:$D$179,D189,$J$157:$J$179)*0.15+SUMIF($D$157:$D$179,D193,$J$157:$J$179)*0.15</f>
        <v>58022.939534576442</v>
      </c>
      <c r="K189" s="55">
        <f>SUMIF($D$157:$D$179,D189,$K$157:$K$179)*0.15</f>
        <v>3825</v>
      </c>
      <c r="L189" s="55">
        <f t="shared" ref="L189:L196" si="52">SUMIF($D$157:$D$179,D189,$L$157:$L$179)*0.13</f>
        <v>0</v>
      </c>
      <c r="M189" s="55">
        <f>SUMIF($D$157:$D$179,D189,$M$157:$M$179)*0.13</f>
        <v>0</v>
      </c>
      <c r="N189" s="55">
        <f t="shared" ref="N189:N196" si="53">SUMIF($D$157:$D$179,D189,$N$157:$N$179)*0.13</f>
        <v>0</v>
      </c>
      <c r="O189" s="50">
        <f t="shared" si="42"/>
        <v>61847.939534576442</v>
      </c>
      <c r="P189" s="95"/>
    </row>
    <row r="190" spans="1:16" x14ac:dyDescent="0.25">
      <c r="A190" s="51">
        <v>60905</v>
      </c>
      <c r="B190" s="52" t="s">
        <v>219</v>
      </c>
      <c r="C190" s="85">
        <f t="shared" si="46"/>
        <v>0</v>
      </c>
      <c r="D190" s="52" t="s">
        <v>12</v>
      </c>
      <c r="E190" s="52" t="s">
        <v>186</v>
      </c>
      <c r="F190" s="95"/>
      <c r="I190" s="52" t="s">
        <v>220</v>
      </c>
      <c r="J190" s="55">
        <f>SUMIF($D$157:$D$179,D190,$J$157:$J$179)*0.15</f>
        <v>8456.7820588235281</v>
      </c>
      <c r="K190" s="55">
        <f t="shared" ref="K190:K196" si="54">SUMIF($D$157:$D$179,D190,$K$157:$K$179)*0.13</f>
        <v>0</v>
      </c>
      <c r="L190" s="55">
        <f t="shared" si="52"/>
        <v>0</v>
      </c>
      <c r="M190" s="55">
        <f>SUMIF($D$157:$D$179,D190,$M$157:$M$179)*0.13</f>
        <v>0</v>
      </c>
      <c r="N190" s="55">
        <f t="shared" si="53"/>
        <v>0</v>
      </c>
      <c r="O190" s="50">
        <f t="shared" si="42"/>
        <v>8456.7820588235281</v>
      </c>
      <c r="P190" s="95"/>
    </row>
    <row r="191" spans="1:16" x14ac:dyDescent="0.25">
      <c r="A191" s="51">
        <v>60905</v>
      </c>
      <c r="B191" s="52" t="s">
        <v>219</v>
      </c>
      <c r="C191" s="85">
        <f t="shared" si="46"/>
        <v>0</v>
      </c>
      <c r="D191" s="52" t="s">
        <v>15</v>
      </c>
      <c r="E191" s="52" t="s">
        <v>186</v>
      </c>
      <c r="F191" s="95"/>
      <c r="I191" s="52" t="s">
        <v>221</v>
      </c>
      <c r="J191" s="55">
        <f>SUMIF($D$157:$D$179,D191,$J$157:$J$179)*0.13</f>
        <v>0</v>
      </c>
      <c r="K191" s="55">
        <f t="shared" si="54"/>
        <v>0</v>
      </c>
      <c r="L191" s="55">
        <f t="shared" si="52"/>
        <v>0</v>
      </c>
      <c r="M191" s="55">
        <f>SUMIF($D$157:$D$179,D191,$M$157:$M$179)*0.13</f>
        <v>0</v>
      </c>
      <c r="N191" s="55">
        <f t="shared" si="53"/>
        <v>0</v>
      </c>
      <c r="O191" s="50">
        <f t="shared" si="42"/>
        <v>0</v>
      </c>
      <c r="P191" s="95"/>
    </row>
    <row r="192" spans="1:16" x14ac:dyDescent="0.25">
      <c r="A192" s="51">
        <v>60905</v>
      </c>
      <c r="B192" s="52" t="s">
        <v>219</v>
      </c>
      <c r="C192" s="85">
        <f t="shared" si="46"/>
        <v>0</v>
      </c>
      <c r="D192" s="52" t="s">
        <v>18</v>
      </c>
      <c r="E192" s="52" t="s">
        <v>186</v>
      </c>
      <c r="F192" s="95"/>
      <c r="I192" s="52" t="s">
        <v>175</v>
      </c>
      <c r="J192" s="55">
        <f>SUMIF($D$157:$D$179,D192,$J$157:$J$179)*0.13</f>
        <v>0</v>
      </c>
      <c r="K192" s="55">
        <f t="shared" si="54"/>
        <v>0</v>
      </c>
      <c r="L192" s="55">
        <f t="shared" si="52"/>
        <v>0</v>
      </c>
      <c r="M192" s="55">
        <f>SUMIF($D$157:$D$179,D192,$M$157:$M$179)*0.15</f>
        <v>750</v>
      </c>
      <c r="N192" s="55">
        <f t="shared" si="53"/>
        <v>0</v>
      </c>
      <c r="O192" s="50">
        <f t="shared" si="42"/>
        <v>750</v>
      </c>
      <c r="P192" s="95"/>
    </row>
    <row r="193" spans="1:16" x14ac:dyDescent="0.25">
      <c r="A193" s="51">
        <v>60905</v>
      </c>
      <c r="B193" s="52" t="s">
        <v>219</v>
      </c>
      <c r="C193" s="85">
        <f t="shared" si="46"/>
        <v>0</v>
      </c>
      <c r="D193" s="52" t="s">
        <v>21</v>
      </c>
      <c r="E193" s="52" t="s">
        <v>186</v>
      </c>
      <c r="F193" s="95"/>
      <c r="I193" s="52" t="s">
        <v>176</v>
      </c>
      <c r="J193" s="55">
        <f>SUMIF($D$157:$D$179,D193,$J$157:$J$179)*0.13*0</f>
        <v>0</v>
      </c>
      <c r="K193" s="55">
        <f t="shared" si="54"/>
        <v>0</v>
      </c>
      <c r="L193" s="55">
        <f t="shared" si="52"/>
        <v>0</v>
      </c>
      <c r="M193" s="55">
        <f>SUMIF($D$157:$D$179,D193,$M$157:$M$179)*0.13*0</f>
        <v>0</v>
      </c>
      <c r="N193" s="55">
        <f t="shared" si="53"/>
        <v>0</v>
      </c>
      <c r="O193" s="50">
        <f t="shared" si="42"/>
        <v>0</v>
      </c>
      <c r="P193" s="95"/>
    </row>
    <row r="194" spans="1:16" x14ac:dyDescent="0.25">
      <c r="A194" s="51">
        <v>60905</v>
      </c>
      <c r="B194" s="52" t="s">
        <v>219</v>
      </c>
      <c r="C194" s="85">
        <f t="shared" si="46"/>
        <v>0</v>
      </c>
      <c r="D194" s="52" t="s">
        <v>24</v>
      </c>
      <c r="E194" s="52" t="s">
        <v>186</v>
      </c>
      <c r="F194" s="95"/>
      <c r="I194" s="52" t="s">
        <v>177</v>
      </c>
      <c r="J194" s="55">
        <f>SUMIF($D$157:$D$179,D194,$J$157:$J$179)*0.13</f>
        <v>0</v>
      </c>
      <c r="K194" s="55">
        <f t="shared" si="54"/>
        <v>0</v>
      </c>
      <c r="L194" s="55">
        <f t="shared" si="52"/>
        <v>0</v>
      </c>
      <c r="M194" s="55">
        <f>SUMIF($D$157:$D$179,D194,$M$157:$M$179)*0.13</f>
        <v>0</v>
      </c>
      <c r="N194" s="55">
        <f t="shared" si="53"/>
        <v>0</v>
      </c>
      <c r="O194" s="50">
        <f t="shared" si="42"/>
        <v>0</v>
      </c>
      <c r="P194" s="95"/>
    </row>
    <row r="195" spans="1:16" x14ac:dyDescent="0.25">
      <c r="A195" s="51">
        <v>60905</v>
      </c>
      <c r="B195" s="52" t="s">
        <v>219</v>
      </c>
      <c r="C195" s="85">
        <f t="shared" si="46"/>
        <v>0</v>
      </c>
      <c r="D195" s="52" t="s">
        <v>27</v>
      </c>
      <c r="E195" s="52" t="s">
        <v>186</v>
      </c>
      <c r="F195" s="95"/>
      <c r="I195" s="52" t="s">
        <v>178</v>
      </c>
      <c r="J195" s="55">
        <f>SUMIF($D$157:$D$179,D195,$J$157:$J$179)*0.13</f>
        <v>0</v>
      </c>
      <c r="K195" s="55">
        <f>SUMIF($D$157:$D$179,D195,$K$157:$K$179)*0.15</f>
        <v>8126.595366247966</v>
      </c>
      <c r="L195" s="55">
        <f t="shared" si="52"/>
        <v>0</v>
      </c>
      <c r="M195" s="55">
        <f>SUMIF($D$157:$D$179,D195,$M$157:$M$179)*0.13</f>
        <v>0</v>
      </c>
      <c r="N195" s="55">
        <f t="shared" si="53"/>
        <v>0</v>
      </c>
      <c r="O195" s="50">
        <f t="shared" si="42"/>
        <v>8126.595366247966</v>
      </c>
      <c r="P195" s="95"/>
    </row>
    <row r="196" spans="1:16" x14ac:dyDescent="0.25">
      <c r="A196" s="51">
        <v>60905</v>
      </c>
      <c r="B196" s="52" t="s">
        <v>219</v>
      </c>
      <c r="C196" s="85">
        <f t="shared" si="46"/>
        <v>0</v>
      </c>
      <c r="D196" s="52" t="s">
        <v>36</v>
      </c>
      <c r="E196" s="52" t="s">
        <v>186</v>
      </c>
      <c r="F196" s="95"/>
      <c r="I196" s="52" t="s">
        <v>179</v>
      </c>
      <c r="J196" s="55">
        <f>SUMIF($D$157:$D$179,D196,$J$157:$J$179)*0.13</f>
        <v>0</v>
      </c>
      <c r="K196" s="55">
        <f t="shared" si="54"/>
        <v>0</v>
      </c>
      <c r="L196" s="55">
        <f t="shared" si="52"/>
        <v>0</v>
      </c>
      <c r="M196" s="55">
        <f>SUMIF($D$157:$D$179,D196,$M$157:$M$179)*0.15</f>
        <v>2869.35</v>
      </c>
      <c r="N196" s="55">
        <f t="shared" si="53"/>
        <v>0</v>
      </c>
      <c r="O196" s="50">
        <f t="shared" si="42"/>
        <v>2869.35</v>
      </c>
      <c r="P196" s="95"/>
    </row>
    <row r="197" spans="1:16" x14ac:dyDescent="0.25">
      <c r="A197" s="51">
        <v>60011</v>
      </c>
      <c r="B197" s="52" t="s">
        <v>222</v>
      </c>
      <c r="C197" s="85">
        <f t="shared" si="46"/>
        <v>0</v>
      </c>
      <c r="D197" s="49" t="s">
        <v>9</v>
      </c>
      <c r="E197" s="52" t="s">
        <v>186</v>
      </c>
      <c r="I197" s="52" t="s">
        <v>182</v>
      </c>
      <c r="J197" s="55">
        <f>(J36*1250)+(J41*1750)+(J43*1750)+(J50*500)+(SUM(J54:J56)*500)-2250</f>
        <v>7750</v>
      </c>
      <c r="K197" s="55">
        <f>(K36*1250)+(K41*1750)+(K43*1750)+(K50*500)+(SUM(K54:K56)*500)</f>
        <v>1250</v>
      </c>
      <c r="L197" s="55">
        <f t="shared" ref="L197:N197" si="55">(L36*1250)+(L41*1750)+(L43*1750)+(L50*500)+(SUM(L54:L56)*500)</f>
        <v>0</v>
      </c>
      <c r="M197" s="55">
        <f t="shared" si="55"/>
        <v>500</v>
      </c>
      <c r="N197" s="55">
        <f t="shared" si="55"/>
        <v>0</v>
      </c>
      <c r="O197" s="50">
        <f t="shared" si="42"/>
        <v>9500</v>
      </c>
    </row>
    <row r="198" spans="1:16" x14ac:dyDescent="0.25">
      <c r="A198" s="51">
        <v>60011</v>
      </c>
      <c r="B198" s="52" t="s">
        <v>222</v>
      </c>
      <c r="C198" s="85">
        <f t="shared" si="46"/>
        <v>0</v>
      </c>
      <c r="D198" s="49" t="s">
        <v>9</v>
      </c>
      <c r="E198" s="52" t="s">
        <v>186</v>
      </c>
      <c r="I198" s="52" t="s">
        <v>183</v>
      </c>
      <c r="J198" s="55">
        <f>(J36+J41+J43+J50+J54+J55+J56)*125+125*3</f>
        <v>1375</v>
      </c>
      <c r="K198" s="55">
        <f>(K36+K41+K43+K50+K54+K55+K56)*125</f>
        <v>125</v>
      </c>
      <c r="L198" s="55">
        <f t="shared" ref="L198:N198" si="56">(L36+L41+L43+L50+L54+L55+L56)*125</f>
        <v>0</v>
      </c>
      <c r="M198" s="55">
        <f>(M36+M41+M43+M50+M54+M55+M56)*125*0</f>
        <v>0</v>
      </c>
      <c r="N198" s="55">
        <f t="shared" si="56"/>
        <v>0</v>
      </c>
      <c r="O198" s="50">
        <f t="shared" si="42"/>
        <v>1500</v>
      </c>
    </row>
    <row r="199" spans="1:16" x14ac:dyDescent="0.25">
      <c r="A199" s="51">
        <v>60011</v>
      </c>
      <c r="B199" s="52" t="s">
        <v>222</v>
      </c>
      <c r="C199" s="85">
        <f t="shared" si="46"/>
        <v>0</v>
      </c>
      <c r="D199" s="49" t="s">
        <v>9</v>
      </c>
      <c r="E199" s="52" t="s">
        <v>186</v>
      </c>
      <c r="I199" s="52" t="s">
        <v>184</v>
      </c>
      <c r="J199" s="55">
        <f>(30*3*3)*30</f>
        <v>8100</v>
      </c>
      <c r="K199" s="55"/>
      <c r="L199" s="55"/>
      <c r="M199" s="55"/>
      <c r="N199" s="55"/>
      <c r="O199" s="50">
        <f t="shared" si="42"/>
        <v>8100</v>
      </c>
    </row>
    <row r="200" spans="1:16" x14ac:dyDescent="0.25">
      <c r="A200" s="56">
        <v>61251</v>
      </c>
      <c r="B200" s="57" t="s">
        <v>185</v>
      </c>
      <c r="C200" s="85">
        <f t="shared" si="46"/>
        <v>0</v>
      </c>
      <c r="D200" s="49" t="s">
        <v>9</v>
      </c>
      <c r="E200" s="52" t="s">
        <v>186</v>
      </c>
      <c r="I200" s="57" t="s">
        <v>187</v>
      </c>
      <c r="J200" s="58">
        <v>5000</v>
      </c>
      <c r="K200" s="58"/>
      <c r="L200" s="58"/>
      <c r="M200" s="58"/>
      <c r="N200" s="58"/>
      <c r="O200" s="50">
        <f t="shared" si="42"/>
        <v>5000</v>
      </c>
    </row>
    <row r="201" spans="1:16" x14ac:dyDescent="0.25">
      <c r="A201" s="98"/>
      <c r="B201" s="98"/>
      <c r="C201" s="98"/>
      <c r="D201" s="98"/>
      <c r="E201" s="98"/>
      <c r="H201" s="93" t="s">
        <v>223</v>
      </c>
      <c r="I201" s="94"/>
      <c r="J201" s="92">
        <f t="shared" ref="J201:K201" si="57">SUM(J181:J200)</f>
        <v>260444.0023763499</v>
      </c>
      <c r="K201" s="92">
        <f t="shared" si="57"/>
        <v>44201.550062388553</v>
      </c>
      <c r="L201" s="92">
        <f t="shared" ref="L201:O201" si="58">SUM(L181:L200)</f>
        <v>0</v>
      </c>
      <c r="M201" s="92">
        <f t="shared" si="58"/>
        <v>13741.362500000001</v>
      </c>
      <c r="N201" s="92">
        <f t="shared" si="58"/>
        <v>0</v>
      </c>
      <c r="O201" s="92">
        <f t="shared" si="58"/>
        <v>318386.91493873845</v>
      </c>
    </row>
    <row r="202" spans="1:16" ht="16.5" thickBot="1" x14ac:dyDescent="0.3">
      <c r="H202" s="2"/>
      <c r="J202" s="104"/>
      <c r="K202" s="104"/>
      <c r="L202" s="104"/>
      <c r="M202" s="104"/>
      <c r="N202" s="104"/>
      <c r="O202" s="104"/>
    </row>
    <row r="203" spans="1:16" ht="16.5" thickBot="1" x14ac:dyDescent="0.3">
      <c r="A203" s="68" t="s">
        <v>5</v>
      </c>
      <c r="B203" s="68" t="s">
        <v>91</v>
      </c>
      <c r="C203" s="68" t="s">
        <v>92</v>
      </c>
      <c r="D203" s="68" t="s">
        <v>4</v>
      </c>
      <c r="E203" s="68" t="s">
        <v>93</v>
      </c>
      <c r="G203" s="100" t="s">
        <v>224</v>
      </c>
      <c r="H203" s="105"/>
      <c r="I203" s="82"/>
      <c r="J203" s="101" t="str">
        <f>J20</f>
        <v>Operating</v>
      </c>
      <c r="K203" s="101" t="str">
        <f t="shared" ref="K203:O203" si="59">K20</f>
        <v>SPED</v>
      </c>
      <c r="L203" s="101" t="str">
        <f t="shared" si="59"/>
        <v>NSLP</v>
      </c>
      <c r="M203" s="101" t="str">
        <f t="shared" si="59"/>
        <v>Title(s)</v>
      </c>
      <c r="N203" s="101" t="str">
        <f t="shared" si="59"/>
        <v>Other</v>
      </c>
      <c r="O203" s="101" t="str">
        <f t="shared" si="59"/>
        <v>Total</v>
      </c>
    </row>
    <row r="204" spans="1:16" x14ac:dyDescent="0.25">
      <c r="A204" s="106">
        <v>62643</v>
      </c>
      <c r="B204" s="107" t="s">
        <v>225</v>
      </c>
      <c r="C204" s="85">
        <f t="shared" ref="C204:C211" si="60">$C$1</f>
        <v>0</v>
      </c>
      <c r="D204" s="49" t="s">
        <v>9</v>
      </c>
      <c r="E204" s="52" t="s">
        <v>186</v>
      </c>
      <c r="I204" s="107" t="s">
        <v>226</v>
      </c>
      <c r="J204" s="102">
        <f>J17*250</f>
        <v>42500</v>
      </c>
      <c r="K204" s="102"/>
      <c r="L204" s="102"/>
      <c r="M204" s="102"/>
      <c r="N204" s="102"/>
      <c r="O204" s="50">
        <f t="shared" ref="O204:O211" si="61">SUM(J204:N204)</f>
        <v>42500</v>
      </c>
    </row>
    <row r="205" spans="1:16" x14ac:dyDescent="0.25">
      <c r="A205" s="106">
        <v>62643</v>
      </c>
      <c r="B205" s="107" t="s">
        <v>225</v>
      </c>
      <c r="C205" s="85">
        <f t="shared" si="60"/>
        <v>0</v>
      </c>
      <c r="D205" s="52" t="s">
        <v>36</v>
      </c>
      <c r="E205" s="52" t="s">
        <v>186</v>
      </c>
      <c r="I205" s="107" t="s">
        <v>227</v>
      </c>
      <c r="J205" s="102"/>
      <c r="K205" s="102"/>
      <c r="L205" s="102"/>
      <c r="M205" s="102"/>
      <c r="N205" s="102"/>
      <c r="O205" s="50">
        <f t="shared" si="61"/>
        <v>0</v>
      </c>
    </row>
    <row r="206" spans="1:16" x14ac:dyDescent="0.25">
      <c r="A206" s="108">
        <v>62644</v>
      </c>
      <c r="B206" s="109" t="s">
        <v>228</v>
      </c>
      <c r="C206" s="85">
        <f t="shared" si="60"/>
        <v>0</v>
      </c>
      <c r="D206" s="49" t="s">
        <v>9</v>
      </c>
      <c r="E206" s="52" t="s">
        <v>186</v>
      </c>
      <c r="I206" s="109" t="s">
        <v>229</v>
      </c>
      <c r="J206" s="55"/>
      <c r="K206" s="55"/>
      <c r="L206" s="55"/>
      <c r="M206" s="55"/>
      <c r="N206" s="55"/>
      <c r="O206" s="50">
        <f t="shared" si="61"/>
        <v>0</v>
      </c>
    </row>
    <row r="207" spans="1:16" x14ac:dyDescent="0.25">
      <c r="A207" s="108">
        <v>62481</v>
      </c>
      <c r="B207" s="107" t="s">
        <v>225</v>
      </c>
      <c r="C207" s="85">
        <f t="shared" si="60"/>
        <v>0</v>
      </c>
      <c r="D207" s="49" t="s">
        <v>9</v>
      </c>
      <c r="E207" s="52" t="s">
        <v>186</v>
      </c>
      <c r="I207" s="110" t="s">
        <v>230</v>
      </c>
      <c r="J207" s="55">
        <v>0</v>
      </c>
      <c r="K207" s="55"/>
      <c r="L207" s="55"/>
      <c r="M207" s="55"/>
      <c r="N207" s="55"/>
      <c r="O207" s="50">
        <f t="shared" si="61"/>
        <v>0</v>
      </c>
    </row>
    <row r="208" spans="1:16" x14ac:dyDescent="0.25">
      <c r="A208" s="108">
        <v>62619</v>
      </c>
      <c r="B208" s="107" t="s">
        <v>225</v>
      </c>
      <c r="C208" s="85">
        <f t="shared" si="60"/>
        <v>0</v>
      </c>
      <c r="D208" s="49" t="s">
        <v>9</v>
      </c>
      <c r="E208" s="52" t="s">
        <v>186</v>
      </c>
      <c r="I208" s="110" t="s">
        <v>231</v>
      </c>
      <c r="J208" s="55">
        <f>65*J17</f>
        <v>11050</v>
      </c>
      <c r="K208" s="55"/>
      <c r="L208" s="55"/>
      <c r="M208" s="55"/>
      <c r="N208" s="55"/>
      <c r="O208" s="50">
        <f t="shared" si="61"/>
        <v>11050</v>
      </c>
    </row>
    <row r="209" spans="1:15" x14ac:dyDescent="0.25">
      <c r="A209" s="108">
        <v>62619</v>
      </c>
      <c r="B209" s="107" t="s">
        <v>225</v>
      </c>
      <c r="C209" s="85">
        <f t="shared" si="60"/>
        <v>0</v>
      </c>
      <c r="D209" s="52" t="s">
        <v>36</v>
      </c>
      <c r="E209" s="52" t="s">
        <v>186</v>
      </c>
      <c r="I209" s="110" t="s">
        <v>232</v>
      </c>
      <c r="J209" s="55">
        <f>40*J18</f>
        <v>0</v>
      </c>
      <c r="K209" s="55"/>
      <c r="L209" s="55"/>
      <c r="M209" s="55"/>
      <c r="N209" s="55"/>
      <c r="O209" s="50">
        <f t="shared" si="61"/>
        <v>0</v>
      </c>
    </row>
    <row r="210" spans="1:15" x14ac:dyDescent="0.25">
      <c r="A210" s="108">
        <v>62611</v>
      </c>
      <c r="B210" s="107" t="s">
        <v>225</v>
      </c>
      <c r="C210" s="85">
        <f t="shared" si="60"/>
        <v>0</v>
      </c>
      <c r="D210" s="49" t="s">
        <v>9</v>
      </c>
      <c r="E210" s="52" t="s">
        <v>186</v>
      </c>
      <c r="I210" s="110" t="s">
        <v>233</v>
      </c>
      <c r="J210" s="55">
        <f>7*J17</f>
        <v>1190</v>
      </c>
      <c r="K210" s="55"/>
      <c r="L210" s="55"/>
      <c r="M210" s="55"/>
      <c r="N210" s="55"/>
      <c r="O210" s="50">
        <f t="shared" si="61"/>
        <v>1190</v>
      </c>
    </row>
    <row r="211" spans="1:15" x14ac:dyDescent="0.25">
      <c r="A211" s="111">
        <v>62616</v>
      </c>
      <c r="B211" s="107" t="s">
        <v>225</v>
      </c>
      <c r="C211" s="85">
        <f t="shared" si="60"/>
        <v>0</v>
      </c>
      <c r="D211" s="52" t="s">
        <v>27</v>
      </c>
      <c r="E211" s="52" t="s">
        <v>186</v>
      </c>
      <c r="I211" s="112" t="s">
        <v>234</v>
      </c>
      <c r="J211" s="58">
        <f>175*J21</f>
        <v>0</v>
      </c>
      <c r="K211" s="58">
        <f>175*K21</f>
        <v>3325</v>
      </c>
      <c r="L211" s="58"/>
      <c r="M211" s="58"/>
      <c r="N211" s="58"/>
      <c r="O211" s="50">
        <f t="shared" si="61"/>
        <v>3325</v>
      </c>
    </row>
    <row r="212" spans="1:15" x14ac:dyDescent="0.25">
      <c r="A212" s="98"/>
      <c r="B212" s="98"/>
      <c r="C212" s="98"/>
      <c r="D212" s="98"/>
      <c r="E212" s="98"/>
      <c r="H212" s="93" t="s">
        <v>47</v>
      </c>
      <c r="I212" s="113"/>
      <c r="J212" s="92">
        <f t="shared" ref="J212:O212" si="62">SUM(J204:J211)</f>
        <v>54740</v>
      </c>
      <c r="K212" s="92">
        <f t="shared" si="62"/>
        <v>3325</v>
      </c>
      <c r="L212" s="92">
        <f t="shared" si="62"/>
        <v>0</v>
      </c>
      <c r="M212" s="92">
        <f t="shared" si="62"/>
        <v>0</v>
      </c>
      <c r="N212" s="92">
        <f t="shared" si="62"/>
        <v>0</v>
      </c>
      <c r="O212" s="92">
        <f t="shared" si="62"/>
        <v>58065</v>
      </c>
    </row>
    <row r="213" spans="1:15" x14ac:dyDescent="0.25">
      <c r="J213" s="99"/>
      <c r="K213" s="99"/>
      <c r="L213" s="99"/>
      <c r="M213" s="99"/>
      <c r="N213" s="99"/>
      <c r="O213" s="99"/>
    </row>
    <row r="214" spans="1:15" x14ac:dyDescent="0.25">
      <c r="A214" s="81"/>
      <c r="B214" s="82"/>
      <c r="C214" s="82"/>
      <c r="D214" s="82"/>
      <c r="E214" s="82"/>
      <c r="G214" s="100" t="s">
        <v>235</v>
      </c>
      <c r="H214" s="105"/>
      <c r="I214" s="82"/>
      <c r="J214" s="101" t="str">
        <f>J20</f>
        <v>Operating</v>
      </c>
      <c r="K214" s="101" t="str">
        <f t="shared" ref="K214:O214" si="63">K20</f>
        <v>SPED</v>
      </c>
      <c r="L214" s="101" t="str">
        <f t="shared" si="63"/>
        <v>NSLP</v>
      </c>
      <c r="M214" s="101" t="str">
        <f t="shared" si="63"/>
        <v>Title(s)</v>
      </c>
      <c r="N214" s="101" t="str">
        <f t="shared" si="63"/>
        <v>Other</v>
      </c>
      <c r="O214" s="101" t="str">
        <f t="shared" si="63"/>
        <v>Total</v>
      </c>
    </row>
    <row r="215" spans="1:15" x14ac:dyDescent="0.25">
      <c r="A215" s="106">
        <v>62617</v>
      </c>
      <c r="B215" s="114" t="s">
        <v>236</v>
      </c>
      <c r="C215" s="85">
        <f t="shared" ref="C215:C220" si="64">$C$1</f>
        <v>0</v>
      </c>
      <c r="D215" s="49" t="s">
        <v>9</v>
      </c>
      <c r="E215" s="52" t="s">
        <v>114</v>
      </c>
      <c r="I215" s="114" t="s">
        <v>237</v>
      </c>
      <c r="J215" s="102">
        <f>30*J17</f>
        <v>5100</v>
      </c>
      <c r="K215" s="102"/>
      <c r="L215" s="102"/>
      <c r="M215" s="102"/>
      <c r="N215" s="102"/>
      <c r="O215" s="50">
        <f t="shared" ref="O215:O220" si="65">SUM(J215:N215)</f>
        <v>5100</v>
      </c>
    </row>
    <row r="216" spans="1:15" x14ac:dyDescent="0.25">
      <c r="A216" s="106">
        <v>62617</v>
      </c>
      <c r="B216" s="114" t="s">
        <v>236</v>
      </c>
      <c r="C216" s="85">
        <f t="shared" si="64"/>
        <v>0</v>
      </c>
      <c r="D216" s="52" t="s">
        <v>36</v>
      </c>
      <c r="E216" s="52" t="s">
        <v>114</v>
      </c>
      <c r="I216" s="114" t="s">
        <v>238</v>
      </c>
      <c r="J216" s="102">
        <f>30*J18</f>
        <v>0</v>
      </c>
      <c r="K216" s="102"/>
      <c r="L216" s="102"/>
      <c r="M216" s="102"/>
      <c r="N216" s="102"/>
      <c r="O216" s="50">
        <f t="shared" si="65"/>
        <v>0</v>
      </c>
    </row>
    <row r="217" spans="1:15" x14ac:dyDescent="0.25">
      <c r="A217" s="108">
        <v>62611</v>
      </c>
      <c r="B217" s="114" t="s">
        <v>236</v>
      </c>
      <c r="C217" s="85">
        <f t="shared" si="64"/>
        <v>0</v>
      </c>
      <c r="D217" s="49" t="s">
        <v>9</v>
      </c>
      <c r="E217" s="52" t="s">
        <v>114</v>
      </c>
      <c r="I217" s="110" t="s">
        <v>233</v>
      </c>
      <c r="J217" s="55">
        <f>(3*J17)</f>
        <v>510</v>
      </c>
      <c r="K217" s="55"/>
      <c r="L217" s="55"/>
      <c r="M217" s="55"/>
      <c r="N217" s="55"/>
      <c r="O217" s="50">
        <f t="shared" si="65"/>
        <v>510</v>
      </c>
    </row>
    <row r="218" spans="1:15" x14ac:dyDescent="0.25">
      <c r="A218" s="108">
        <v>62618</v>
      </c>
      <c r="B218" s="114" t="s">
        <v>236</v>
      </c>
      <c r="C218" s="85">
        <f t="shared" si="64"/>
        <v>0</v>
      </c>
      <c r="D218" s="49" t="s">
        <v>9</v>
      </c>
      <c r="E218" s="52" t="s">
        <v>114</v>
      </c>
      <c r="I218" s="110" t="s">
        <v>239</v>
      </c>
      <c r="J218" s="55">
        <f>8*J17</f>
        <v>1360</v>
      </c>
      <c r="K218" s="55"/>
      <c r="L218" s="55"/>
      <c r="M218" s="55"/>
      <c r="N218" s="55"/>
      <c r="O218" s="50">
        <f t="shared" si="65"/>
        <v>1360</v>
      </c>
    </row>
    <row r="219" spans="1:15" x14ac:dyDescent="0.25">
      <c r="A219" s="108">
        <v>63113</v>
      </c>
      <c r="B219" s="114" t="s">
        <v>240</v>
      </c>
      <c r="C219" s="85">
        <f t="shared" si="64"/>
        <v>0</v>
      </c>
      <c r="D219" s="49" t="s">
        <v>9</v>
      </c>
      <c r="E219" s="114" t="s">
        <v>135</v>
      </c>
      <c r="I219" s="110" t="s">
        <v>241</v>
      </c>
      <c r="J219" s="55">
        <v>0</v>
      </c>
      <c r="K219" s="55"/>
      <c r="L219" s="55"/>
      <c r="M219" s="55"/>
      <c r="N219" s="55"/>
      <c r="O219" s="50">
        <f t="shared" si="65"/>
        <v>0</v>
      </c>
    </row>
    <row r="220" spans="1:15" x14ac:dyDescent="0.25">
      <c r="A220" s="111">
        <v>62612</v>
      </c>
      <c r="B220" s="114" t="s">
        <v>236</v>
      </c>
      <c r="C220" s="85">
        <f t="shared" si="64"/>
        <v>0</v>
      </c>
      <c r="D220" s="49" t="s">
        <v>9</v>
      </c>
      <c r="E220" s="114" t="s">
        <v>242</v>
      </c>
      <c r="I220" s="112" t="s">
        <v>243</v>
      </c>
      <c r="J220" s="58">
        <f>45*J17</f>
        <v>7650</v>
      </c>
      <c r="K220" s="58"/>
      <c r="L220" s="58"/>
      <c r="M220" s="58"/>
      <c r="N220" s="58"/>
      <c r="O220" s="50">
        <f t="shared" si="65"/>
        <v>7650</v>
      </c>
    </row>
    <row r="221" spans="1:15" x14ac:dyDescent="0.25">
      <c r="A221" s="98"/>
      <c r="B221" s="98"/>
      <c r="C221" s="98"/>
      <c r="D221" s="98"/>
      <c r="E221" s="98"/>
      <c r="H221" s="93" t="s">
        <v>47</v>
      </c>
      <c r="I221" s="113"/>
      <c r="J221" s="92">
        <f t="shared" ref="J221:O221" si="66">SUM(J215:J220)</f>
        <v>14620</v>
      </c>
      <c r="K221" s="92">
        <f t="shared" si="66"/>
        <v>0</v>
      </c>
      <c r="L221" s="92">
        <f t="shared" si="66"/>
        <v>0</v>
      </c>
      <c r="M221" s="92">
        <f t="shared" si="66"/>
        <v>0</v>
      </c>
      <c r="N221" s="92">
        <f t="shared" si="66"/>
        <v>0</v>
      </c>
      <c r="O221" s="92">
        <f t="shared" si="66"/>
        <v>14620</v>
      </c>
    </row>
    <row r="222" spans="1:15" x14ac:dyDescent="0.25">
      <c r="J222" s="99"/>
      <c r="K222" s="99"/>
      <c r="L222" s="99"/>
      <c r="M222" s="99"/>
      <c r="N222" s="99"/>
      <c r="O222" s="99"/>
    </row>
    <row r="223" spans="1:15" x14ac:dyDescent="0.25">
      <c r="A223" s="81"/>
      <c r="B223" s="82"/>
      <c r="C223" s="82"/>
      <c r="D223" s="82"/>
      <c r="E223" s="82"/>
      <c r="G223" s="100" t="s">
        <v>244</v>
      </c>
      <c r="H223" s="105"/>
      <c r="I223" s="82"/>
      <c r="J223" s="101" t="str">
        <f>J20</f>
        <v>Operating</v>
      </c>
      <c r="K223" s="101" t="str">
        <f t="shared" ref="K223:O223" si="67">K20</f>
        <v>SPED</v>
      </c>
      <c r="L223" s="101" t="str">
        <f t="shared" si="67"/>
        <v>NSLP</v>
      </c>
      <c r="M223" s="101" t="str">
        <f t="shared" si="67"/>
        <v>Title(s)</v>
      </c>
      <c r="N223" s="101" t="str">
        <f t="shared" si="67"/>
        <v>Other</v>
      </c>
      <c r="O223" s="101" t="str">
        <f t="shared" si="67"/>
        <v>Total</v>
      </c>
    </row>
    <row r="224" spans="1:15" x14ac:dyDescent="0.25">
      <c r="A224" s="106">
        <v>63114</v>
      </c>
      <c r="B224" s="114" t="s">
        <v>245</v>
      </c>
      <c r="C224" s="85">
        <f t="shared" ref="C224:C232" si="68">$C$1</f>
        <v>0</v>
      </c>
      <c r="D224" s="49" t="s">
        <v>9</v>
      </c>
      <c r="E224" s="114" t="s">
        <v>246</v>
      </c>
      <c r="I224" s="114" t="s">
        <v>247</v>
      </c>
      <c r="J224" s="102">
        <v>10000</v>
      </c>
      <c r="K224" s="102"/>
      <c r="L224" s="102"/>
      <c r="M224" s="102"/>
      <c r="N224" s="102"/>
      <c r="O224" s="102">
        <f>SUM(J224:N224)</f>
        <v>10000</v>
      </c>
    </row>
    <row r="225" spans="1:15" x14ac:dyDescent="0.25">
      <c r="A225" s="106">
        <v>63114</v>
      </c>
      <c r="B225" s="114" t="s">
        <v>245</v>
      </c>
      <c r="C225" s="85">
        <f t="shared" si="68"/>
        <v>0</v>
      </c>
      <c r="D225" s="52" t="s">
        <v>36</v>
      </c>
      <c r="E225" s="114" t="s">
        <v>246</v>
      </c>
      <c r="I225" s="114" t="s">
        <v>248</v>
      </c>
      <c r="J225" s="102"/>
      <c r="K225" s="102"/>
      <c r="L225" s="102"/>
      <c r="M225" s="102"/>
      <c r="N225" s="102"/>
      <c r="O225" s="102">
        <f t="shared" ref="O225:O232" si="69">SUM(J225:N225)</f>
        <v>0</v>
      </c>
    </row>
    <row r="226" spans="1:15" x14ac:dyDescent="0.25">
      <c r="A226" s="108">
        <v>63128</v>
      </c>
      <c r="B226" s="110" t="s">
        <v>245</v>
      </c>
      <c r="C226" s="85">
        <f t="shared" si="68"/>
        <v>0</v>
      </c>
      <c r="D226" s="52" t="s">
        <v>27</v>
      </c>
      <c r="E226" s="110" t="s">
        <v>135</v>
      </c>
      <c r="I226" s="110" t="s">
        <v>249</v>
      </c>
      <c r="J226" s="55">
        <v>0</v>
      </c>
      <c r="K226" s="55">
        <f>(425*J17)</f>
        <v>72250</v>
      </c>
      <c r="L226" s="55"/>
      <c r="M226" s="55"/>
      <c r="N226" s="55"/>
      <c r="O226" s="102">
        <f t="shared" si="69"/>
        <v>72250</v>
      </c>
    </row>
    <row r="227" spans="1:15" x14ac:dyDescent="0.25">
      <c r="A227" s="108">
        <v>63111</v>
      </c>
      <c r="B227" s="110" t="s">
        <v>245</v>
      </c>
      <c r="C227" s="85">
        <f t="shared" si="68"/>
        <v>0</v>
      </c>
      <c r="D227" s="49" t="s">
        <v>9</v>
      </c>
      <c r="E227" s="52" t="s">
        <v>186</v>
      </c>
      <c r="I227" s="110" t="s">
        <v>250</v>
      </c>
      <c r="J227" s="55">
        <f t="shared" ref="J227:K227" si="70">(185*11*J36)-J179</f>
        <v>16280</v>
      </c>
      <c r="K227" s="55">
        <f t="shared" si="70"/>
        <v>2035</v>
      </c>
      <c r="L227" s="55"/>
      <c r="M227" s="55"/>
      <c r="N227" s="55"/>
      <c r="O227" s="102">
        <f t="shared" si="69"/>
        <v>18315</v>
      </c>
    </row>
    <row r="228" spans="1:15" x14ac:dyDescent="0.25">
      <c r="A228" s="106">
        <v>63114</v>
      </c>
      <c r="B228" s="114" t="s">
        <v>245</v>
      </c>
      <c r="C228" s="85">
        <f t="shared" si="68"/>
        <v>0</v>
      </c>
      <c r="D228" s="49" t="s">
        <v>9</v>
      </c>
      <c r="E228" s="114" t="s">
        <v>246</v>
      </c>
      <c r="I228" s="110" t="s">
        <v>251</v>
      </c>
      <c r="J228" s="55">
        <v>0</v>
      </c>
      <c r="K228" s="55"/>
      <c r="L228" s="55"/>
      <c r="M228" s="55"/>
      <c r="N228" s="55"/>
      <c r="O228" s="102">
        <f t="shared" si="69"/>
        <v>0</v>
      </c>
    </row>
    <row r="229" spans="1:15" x14ac:dyDescent="0.25">
      <c r="A229" s="106">
        <v>63114</v>
      </c>
      <c r="B229" s="114" t="s">
        <v>245</v>
      </c>
      <c r="C229" s="85">
        <f t="shared" si="68"/>
        <v>0</v>
      </c>
      <c r="D229" s="52" t="s">
        <v>24</v>
      </c>
      <c r="E229" s="114" t="s">
        <v>246</v>
      </c>
      <c r="I229" s="110" t="s">
        <v>252</v>
      </c>
      <c r="J229" s="55">
        <v>0</v>
      </c>
      <c r="K229" s="55"/>
      <c r="L229" s="55"/>
      <c r="M229" s="55">
        <f>8000*10</f>
        <v>80000</v>
      </c>
      <c r="N229" s="55"/>
      <c r="O229" s="102">
        <f t="shared" si="69"/>
        <v>80000</v>
      </c>
    </row>
    <row r="230" spans="1:15" x14ac:dyDescent="0.25">
      <c r="A230" s="108">
        <v>63123</v>
      </c>
      <c r="B230" s="110" t="s">
        <v>253</v>
      </c>
      <c r="C230" s="85">
        <f t="shared" si="68"/>
        <v>0</v>
      </c>
      <c r="D230" s="49" t="s">
        <v>9</v>
      </c>
      <c r="E230" s="114" t="s">
        <v>254</v>
      </c>
      <c r="I230" s="110" t="s">
        <v>255</v>
      </c>
      <c r="J230" s="55">
        <v>0</v>
      </c>
      <c r="K230" s="55"/>
      <c r="L230" s="55"/>
      <c r="M230" s="55"/>
      <c r="N230" s="55"/>
      <c r="O230" s="102">
        <f t="shared" si="69"/>
        <v>0</v>
      </c>
    </row>
    <row r="231" spans="1:15" x14ac:dyDescent="0.25">
      <c r="A231" s="108">
        <v>63121</v>
      </c>
      <c r="B231" s="110" t="s">
        <v>256</v>
      </c>
      <c r="C231" s="85">
        <f t="shared" si="68"/>
        <v>0</v>
      </c>
      <c r="D231" s="49" t="s">
        <v>9</v>
      </c>
      <c r="E231" s="110" t="s">
        <v>257</v>
      </c>
      <c r="I231" s="110" t="s">
        <v>258</v>
      </c>
      <c r="J231" s="55">
        <v>0</v>
      </c>
      <c r="K231" s="55"/>
      <c r="L231" s="55"/>
      <c r="M231" s="55"/>
      <c r="N231" s="55"/>
      <c r="O231" s="102">
        <f t="shared" si="69"/>
        <v>0</v>
      </c>
    </row>
    <row r="232" spans="1:15" x14ac:dyDescent="0.25">
      <c r="A232" s="111">
        <v>63114</v>
      </c>
      <c r="B232" s="112" t="s">
        <v>245</v>
      </c>
      <c r="C232" s="85">
        <f t="shared" si="68"/>
        <v>0</v>
      </c>
      <c r="D232" s="52" t="s">
        <v>36</v>
      </c>
      <c r="E232" s="114" t="s">
        <v>246</v>
      </c>
      <c r="I232" s="112" t="s">
        <v>259</v>
      </c>
      <c r="J232" s="58">
        <f>J68*0.005</f>
        <v>8431.15</v>
      </c>
      <c r="K232" s="58"/>
      <c r="L232" s="58"/>
      <c r="M232" s="58">
        <f>2596.59+1446+3353</f>
        <v>7395.59</v>
      </c>
      <c r="N232" s="58"/>
      <c r="O232" s="102">
        <f t="shared" si="69"/>
        <v>15826.74</v>
      </c>
    </row>
    <row r="233" spans="1:15" x14ac:dyDescent="0.25">
      <c r="A233" s="98"/>
      <c r="B233" s="98"/>
      <c r="C233" s="98"/>
      <c r="D233" s="98"/>
      <c r="E233" s="98"/>
      <c r="H233" s="115" t="s">
        <v>47</v>
      </c>
      <c r="I233" s="113"/>
      <c r="J233" s="92">
        <f t="shared" ref="J233:O233" si="71">SUM(J224:J232)</f>
        <v>34711.15</v>
      </c>
      <c r="K233" s="92">
        <f t="shared" si="71"/>
        <v>74285</v>
      </c>
      <c r="L233" s="92">
        <f t="shared" si="71"/>
        <v>0</v>
      </c>
      <c r="M233" s="92">
        <f t="shared" si="71"/>
        <v>87395.59</v>
      </c>
      <c r="N233" s="92">
        <f t="shared" si="71"/>
        <v>0</v>
      </c>
      <c r="O233" s="92">
        <f t="shared" si="71"/>
        <v>196391.74</v>
      </c>
    </row>
    <row r="234" spans="1:15" x14ac:dyDescent="0.25">
      <c r="H234" s="116"/>
      <c r="J234" s="99"/>
      <c r="K234" s="99"/>
      <c r="L234" s="99"/>
      <c r="M234" s="99"/>
      <c r="N234" s="99"/>
      <c r="O234" s="99"/>
    </row>
    <row r="235" spans="1:15" x14ac:dyDescent="0.25">
      <c r="A235" s="81"/>
      <c r="B235" s="82"/>
      <c r="C235" s="82"/>
      <c r="D235" s="82"/>
      <c r="E235" s="82"/>
      <c r="G235" s="100" t="s">
        <v>260</v>
      </c>
      <c r="H235" s="105"/>
      <c r="I235" s="82"/>
      <c r="J235" s="101" t="str">
        <f>J20</f>
        <v>Operating</v>
      </c>
      <c r="K235" s="101" t="str">
        <f t="shared" ref="K235:O235" si="72">K20</f>
        <v>SPED</v>
      </c>
      <c r="L235" s="101" t="str">
        <f t="shared" si="72"/>
        <v>NSLP</v>
      </c>
      <c r="M235" s="101" t="str">
        <f t="shared" si="72"/>
        <v>Title(s)</v>
      </c>
      <c r="N235" s="101" t="str">
        <f t="shared" si="72"/>
        <v>Other</v>
      </c>
      <c r="O235" s="101" t="str">
        <f t="shared" si="72"/>
        <v>Total</v>
      </c>
    </row>
    <row r="236" spans="1:15" x14ac:dyDescent="0.25">
      <c r="A236" s="106">
        <v>63120</v>
      </c>
      <c r="B236" s="114" t="s">
        <v>261</v>
      </c>
      <c r="C236" s="85">
        <f t="shared" ref="C236:C244" si="73">$C$1</f>
        <v>0</v>
      </c>
      <c r="D236" s="49" t="s">
        <v>9</v>
      </c>
      <c r="E236" s="114" t="s">
        <v>242</v>
      </c>
      <c r="I236" s="114" t="s">
        <v>247</v>
      </c>
      <c r="J236" s="102">
        <v>50000</v>
      </c>
      <c r="K236" s="102"/>
      <c r="L236" s="102"/>
      <c r="M236" s="102"/>
      <c r="N236" s="102"/>
      <c r="O236" s="102">
        <f>SUM(J236:N236)</f>
        <v>50000</v>
      </c>
    </row>
    <row r="237" spans="1:15" x14ac:dyDescent="0.25">
      <c r="A237" s="108">
        <v>63120</v>
      </c>
      <c r="B237" s="110" t="s">
        <v>261</v>
      </c>
      <c r="C237" s="85">
        <f t="shared" si="73"/>
        <v>0</v>
      </c>
      <c r="D237" s="49" t="s">
        <v>9</v>
      </c>
      <c r="E237" s="114" t="s">
        <v>242</v>
      </c>
      <c r="I237" s="110" t="s">
        <v>262</v>
      </c>
      <c r="J237" s="55">
        <v>0</v>
      </c>
      <c r="K237" s="55"/>
      <c r="L237" s="55"/>
      <c r="M237" s="55"/>
      <c r="N237" s="55"/>
      <c r="O237" s="102">
        <f t="shared" ref="O237:O244" si="74">SUM(J237:N237)</f>
        <v>0</v>
      </c>
    </row>
    <row r="238" spans="1:15" x14ac:dyDescent="0.25">
      <c r="A238" s="108">
        <v>63126</v>
      </c>
      <c r="B238" s="110" t="s">
        <v>253</v>
      </c>
      <c r="C238" s="85">
        <f t="shared" si="73"/>
        <v>0</v>
      </c>
      <c r="D238" s="49" t="s">
        <v>9</v>
      </c>
      <c r="E238" s="114" t="s">
        <v>254</v>
      </c>
      <c r="I238" s="110" t="s">
        <v>263</v>
      </c>
      <c r="J238" s="55">
        <f>(495*1.0074*1.015*1.015*1.015)*J17</f>
        <v>88644.989637146224</v>
      </c>
      <c r="K238" s="55"/>
      <c r="L238" s="55"/>
      <c r="M238" s="55"/>
      <c r="N238" s="55"/>
      <c r="O238" s="102">
        <f t="shared" si="74"/>
        <v>88644.989637146224</v>
      </c>
    </row>
    <row r="239" spans="1:15" x14ac:dyDescent="0.25">
      <c r="A239" s="108">
        <v>63311</v>
      </c>
      <c r="B239" s="110" t="s">
        <v>253</v>
      </c>
      <c r="C239" s="85">
        <f t="shared" si="73"/>
        <v>0</v>
      </c>
      <c r="D239" s="49" t="s">
        <v>9</v>
      </c>
      <c r="E239" s="114" t="s">
        <v>254</v>
      </c>
      <c r="I239" s="110" t="s">
        <v>264</v>
      </c>
      <c r="J239" s="55">
        <v>6813</v>
      </c>
      <c r="K239" s="55"/>
      <c r="L239" s="55"/>
      <c r="M239" s="55"/>
      <c r="N239" s="55"/>
      <c r="O239" s="102">
        <f t="shared" si="74"/>
        <v>6813</v>
      </c>
    </row>
    <row r="240" spans="1:15" x14ac:dyDescent="0.25">
      <c r="A240" s="108">
        <v>63125</v>
      </c>
      <c r="B240" s="110" t="s">
        <v>261</v>
      </c>
      <c r="C240" s="85">
        <f t="shared" si="73"/>
        <v>0</v>
      </c>
      <c r="D240" s="49" t="s">
        <v>9</v>
      </c>
      <c r="E240" s="114" t="s">
        <v>254</v>
      </c>
      <c r="I240" s="110" t="s">
        <v>265</v>
      </c>
      <c r="J240" s="55">
        <v>33000</v>
      </c>
      <c r="K240" s="55"/>
      <c r="L240" s="55"/>
      <c r="M240" s="55"/>
      <c r="N240" s="55"/>
      <c r="O240" s="102">
        <f t="shared" si="74"/>
        <v>33000</v>
      </c>
    </row>
    <row r="241" spans="1:15" x14ac:dyDescent="0.25">
      <c r="A241" s="108">
        <v>63124</v>
      </c>
      <c r="B241" s="110" t="s">
        <v>261</v>
      </c>
      <c r="C241" s="85">
        <f t="shared" si="73"/>
        <v>0</v>
      </c>
      <c r="D241" s="49" t="s">
        <v>9</v>
      </c>
      <c r="E241" s="110" t="s">
        <v>266</v>
      </c>
      <c r="I241" s="110" t="s">
        <v>267</v>
      </c>
      <c r="J241" s="55">
        <v>12500</v>
      </c>
      <c r="K241" s="55"/>
      <c r="L241" s="55"/>
      <c r="M241" s="55"/>
      <c r="N241" s="55"/>
      <c r="O241" s="102">
        <f t="shared" si="74"/>
        <v>12500</v>
      </c>
    </row>
    <row r="242" spans="1:15" x14ac:dyDescent="0.25">
      <c r="A242" s="108">
        <v>63210</v>
      </c>
      <c r="B242" s="110" t="s">
        <v>268</v>
      </c>
      <c r="C242" s="85">
        <f t="shared" si="73"/>
        <v>0</v>
      </c>
      <c r="D242" s="49" t="s">
        <v>9</v>
      </c>
      <c r="E242" s="114" t="s">
        <v>254</v>
      </c>
      <c r="I242" s="110" t="s">
        <v>269</v>
      </c>
      <c r="J242" s="55">
        <f>(48*J17)+(60*12)</f>
        <v>8880</v>
      </c>
      <c r="K242" s="55"/>
      <c r="L242" s="55"/>
      <c r="M242" s="55"/>
      <c r="N242" s="55"/>
      <c r="O242" s="102">
        <f t="shared" si="74"/>
        <v>8880</v>
      </c>
    </row>
    <row r="243" spans="1:15" x14ac:dyDescent="0.25">
      <c r="A243" s="108">
        <v>63210</v>
      </c>
      <c r="B243" s="110" t="s">
        <v>268</v>
      </c>
      <c r="C243" s="85">
        <f t="shared" si="73"/>
        <v>0</v>
      </c>
      <c r="D243" s="49" t="s">
        <v>9</v>
      </c>
      <c r="E243" s="114" t="s">
        <v>254</v>
      </c>
      <c r="I243" s="110" t="s">
        <v>270</v>
      </c>
      <c r="J243" s="55">
        <v>15000</v>
      </c>
      <c r="K243" s="55"/>
      <c r="L243" s="55"/>
      <c r="M243" s="55"/>
      <c r="N243" s="55"/>
      <c r="O243" s="102">
        <f t="shared" si="74"/>
        <v>15000</v>
      </c>
    </row>
    <row r="244" spans="1:15" x14ac:dyDescent="0.25">
      <c r="A244" s="111">
        <v>63151</v>
      </c>
      <c r="B244" s="112" t="s">
        <v>271</v>
      </c>
      <c r="C244" s="85">
        <f t="shared" si="73"/>
        <v>0</v>
      </c>
      <c r="D244" s="49" t="s">
        <v>9</v>
      </c>
      <c r="E244" s="112" t="s">
        <v>272</v>
      </c>
      <c r="I244" s="112" t="s">
        <v>273</v>
      </c>
      <c r="J244" s="58">
        <f>(J68)*0.0125-8685.33</f>
        <v>12392.545</v>
      </c>
      <c r="K244" s="58"/>
      <c r="L244" s="58"/>
      <c r="M244" s="58"/>
      <c r="N244" s="58"/>
      <c r="O244" s="102">
        <f t="shared" si="74"/>
        <v>12392.545</v>
      </c>
    </row>
    <row r="245" spans="1:15" x14ac:dyDescent="0.25">
      <c r="A245" s="98"/>
      <c r="B245" s="98"/>
      <c r="C245" s="98"/>
      <c r="D245" s="98"/>
      <c r="E245" s="98"/>
      <c r="H245" s="93" t="s">
        <v>47</v>
      </c>
      <c r="I245" s="113"/>
      <c r="J245" s="92">
        <f t="shared" ref="J245:O245" si="75">SUM(J236:J244)</f>
        <v>227230.53463714625</v>
      </c>
      <c r="K245" s="92">
        <f t="shared" si="75"/>
        <v>0</v>
      </c>
      <c r="L245" s="92">
        <f t="shared" si="75"/>
        <v>0</v>
      </c>
      <c r="M245" s="92">
        <f t="shared" si="75"/>
        <v>0</v>
      </c>
      <c r="N245" s="92">
        <f t="shared" si="75"/>
        <v>0</v>
      </c>
      <c r="O245" s="92">
        <f t="shared" si="75"/>
        <v>227230.53463714625</v>
      </c>
    </row>
    <row r="246" spans="1:15" x14ac:dyDescent="0.25">
      <c r="J246" s="99"/>
      <c r="K246" s="99"/>
      <c r="L246" s="99"/>
      <c r="M246" s="99"/>
      <c r="N246" s="99"/>
      <c r="O246" s="99"/>
    </row>
    <row r="247" spans="1:15" x14ac:dyDescent="0.25">
      <c r="A247" s="81"/>
      <c r="B247" s="82"/>
      <c r="C247" s="82"/>
      <c r="D247" s="82"/>
      <c r="E247" s="82"/>
      <c r="G247" s="100" t="s">
        <v>274</v>
      </c>
      <c r="H247" s="105"/>
      <c r="I247" s="82"/>
      <c r="J247" s="101" t="str">
        <f>J20</f>
        <v>Operating</v>
      </c>
      <c r="K247" s="101" t="str">
        <f t="shared" ref="K247:O247" si="76">K20</f>
        <v>SPED</v>
      </c>
      <c r="L247" s="101" t="str">
        <f t="shared" si="76"/>
        <v>NSLP</v>
      </c>
      <c r="M247" s="101" t="str">
        <f t="shared" si="76"/>
        <v>Title(s)</v>
      </c>
      <c r="N247" s="101" t="str">
        <f t="shared" si="76"/>
        <v>Other</v>
      </c>
      <c r="O247" s="101" t="str">
        <f t="shared" si="76"/>
        <v>Total</v>
      </c>
    </row>
    <row r="248" spans="1:15" x14ac:dyDescent="0.25">
      <c r="A248" s="106">
        <v>63220</v>
      </c>
      <c r="B248" s="114" t="s">
        <v>275</v>
      </c>
      <c r="C248" s="85">
        <f t="shared" ref="C248:C265" si="77">$C$1</f>
        <v>0</v>
      </c>
      <c r="D248" s="49" t="s">
        <v>9</v>
      </c>
      <c r="E248" s="114" t="s">
        <v>254</v>
      </c>
      <c r="I248" s="114" t="s">
        <v>276</v>
      </c>
      <c r="J248" s="102">
        <f>'28-29'!J248*1.03</f>
        <v>3427.1743264500001</v>
      </c>
      <c r="K248" s="102"/>
      <c r="L248" s="102"/>
      <c r="M248" s="102"/>
      <c r="N248" s="102"/>
      <c r="O248" s="102">
        <f t="shared" ref="O248:O265" si="78">SUM(J248:N248)</f>
        <v>3427.1743264500001</v>
      </c>
    </row>
    <row r="249" spans="1:15" x14ac:dyDescent="0.25">
      <c r="A249" s="106">
        <v>63231</v>
      </c>
      <c r="B249" s="114" t="s">
        <v>277</v>
      </c>
      <c r="C249" s="85">
        <f t="shared" si="77"/>
        <v>0</v>
      </c>
      <c r="D249" s="49" t="s">
        <v>9</v>
      </c>
      <c r="E249" s="114" t="s">
        <v>278</v>
      </c>
      <c r="I249" s="114" t="s">
        <v>279</v>
      </c>
      <c r="J249" s="102">
        <f>'28-29'!J249*1.03</f>
        <v>4561.6872069299998</v>
      </c>
      <c r="K249" s="102"/>
      <c r="L249" s="102"/>
      <c r="M249" s="102"/>
      <c r="N249" s="102"/>
      <c r="O249" s="102">
        <f t="shared" si="78"/>
        <v>4561.6872069299998</v>
      </c>
    </row>
    <row r="250" spans="1:15" x14ac:dyDescent="0.25">
      <c r="A250" s="106">
        <v>63350</v>
      </c>
      <c r="B250" s="114" t="s">
        <v>280</v>
      </c>
      <c r="C250" s="85">
        <f t="shared" si="77"/>
        <v>0</v>
      </c>
      <c r="D250" s="49" t="s">
        <v>9</v>
      </c>
      <c r="E250" s="114" t="s">
        <v>114</v>
      </c>
      <c r="I250" s="110" t="s">
        <v>281</v>
      </c>
      <c r="J250" s="55">
        <v>2000</v>
      </c>
      <c r="K250" s="55"/>
      <c r="L250" s="55"/>
      <c r="M250" s="55"/>
      <c r="N250" s="55"/>
      <c r="O250" s="102">
        <f t="shared" si="78"/>
        <v>2000</v>
      </c>
    </row>
    <row r="251" spans="1:15" x14ac:dyDescent="0.25">
      <c r="A251" s="106">
        <v>63231</v>
      </c>
      <c r="B251" s="114" t="s">
        <v>277</v>
      </c>
      <c r="C251" s="85">
        <f t="shared" si="77"/>
        <v>0</v>
      </c>
      <c r="D251" s="49" t="s">
        <v>9</v>
      </c>
      <c r="E251" s="114" t="s">
        <v>278</v>
      </c>
      <c r="I251" s="110" t="s">
        <v>282</v>
      </c>
      <c r="J251" s="55">
        <v>5500</v>
      </c>
      <c r="K251" s="55"/>
      <c r="L251" s="55"/>
      <c r="M251" s="55"/>
      <c r="N251" s="55"/>
      <c r="O251" s="102">
        <f t="shared" si="78"/>
        <v>5500</v>
      </c>
    </row>
    <row r="252" spans="1:15" x14ac:dyDescent="0.25">
      <c r="A252" s="106">
        <v>64272</v>
      </c>
      <c r="B252" s="114" t="s">
        <v>283</v>
      </c>
      <c r="C252" s="85">
        <f t="shared" si="77"/>
        <v>0</v>
      </c>
      <c r="D252" s="49" t="s">
        <v>9</v>
      </c>
      <c r="E252" s="52" t="s">
        <v>186</v>
      </c>
      <c r="I252" s="110" t="s">
        <v>284</v>
      </c>
      <c r="J252" s="102">
        <f>'28-29'!J252*1.03</f>
        <v>14856.716292000003</v>
      </c>
      <c r="K252" s="55"/>
      <c r="L252" s="55"/>
      <c r="M252" s="55"/>
      <c r="N252" s="55"/>
      <c r="O252" s="102">
        <f t="shared" si="78"/>
        <v>14856.716292000003</v>
      </c>
    </row>
    <row r="253" spans="1:15" x14ac:dyDescent="0.25">
      <c r="A253" s="106">
        <v>62553</v>
      </c>
      <c r="B253" s="114" t="s">
        <v>285</v>
      </c>
      <c r="C253" s="85">
        <f t="shared" si="77"/>
        <v>0</v>
      </c>
      <c r="D253" s="49" t="s">
        <v>9</v>
      </c>
      <c r="E253" s="52" t="s">
        <v>186</v>
      </c>
      <c r="I253" s="110" t="s">
        <v>286</v>
      </c>
      <c r="J253" s="55">
        <f>((2+0.4+1.95)*J17)+7500</f>
        <v>8239.5</v>
      </c>
      <c r="K253" s="55"/>
      <c r="L253" s="55"/>
      <c r="M253" s="55"/>
      <c r="N253" s="55"/>
      <c r="O253" s="102">
        <f t="shared" si="78"/>
        <v>8239.5</v>
      </c>
    </row>
    <row r="254" spans="1:15" x14ac:dyDescent="0.25">
      <c r="A254" s="106">
        <v>65210</v>
      </c>
      <c r="B254" s="114" t="s">
        <v>287</v>
      </c>
      <c r="C254" s="85">
        <f t="shared" si="77"/>
        <v>0</v>
      </c>
      <c r="D254" s="49" t="s">
        <v>9</v>
      </c>
      <c r="E254" s="114" t="s">
        <v>242</v>
      </c>
      <c r="I254" s="110" t="s">
        <v>288</v>
      </c>
      <c r="J254" s="102">
        <f>'28-29'!J254*1.1</f>
        <v>53952.085000000014</v>
      </c>
      <c r="K254" s="55"/>
      <c r="L254" s="55"/>
      <c r="M254" s="55"/>
      <c r="N254" s="55"/>
      <c r="O254" s="102">
        <f t="shared" si="78"/>
        <v>53952.085000000014</v>
      </c>
    </row>
    <row r="255" spans="1:15" x14ac:dyDescent="0.25">
      <c r="A255" s="106">
        <v>64100</v>
      </c>
      <c r="B255" s="114" t="s">
        <v>289</v>
      </c>
      <c r="C255" s="85">
        <f t="shared" si="77"/>
        <v>0</v>
      </c>
      <c r="D255" s="52" t="s">
        <v>39</v>
      </c>
      <c r="E255" s="114" t="s">
        <v>160</v>
      </c>
      <c r="I255" s="110" t="s">
        <v>290</v>
      </c>
      <c r="J255" s="55"/>
      <c r="K255" s="55"/>
      <c r="L255" s="55">
        <f>(40*180*2.5)*1.015*1.015*1.015*1.015</f>
        <v>19104.543911249995</v>
      </c>
      <c r="M255" s="55"/>
      <c r="N255" s="55"/>
      <c r="O255" s="102">
        <f t="shared" si="78"/>
        <v>19104.543911249995</v>
      </c>
    </row>
    <row r="256" spans="1:15" x14ac:dyDescent="0.25">
      <c r="A256" s="106">
        <v>64100</v>
      </c>
      <c r="B256" s="114" t="s">
        <v>289</v>
      </c>
      <c r="C256" s="85">
        <f t="shared" si="77"/>
        <v>0</v>
      </c>
      <c r="D256" s="52" t="s">
        <v>39</v>
      </c>
      <c r="E256" s="114" t="s">
        <v>160</v>
      </c>
      <c r="I256" s="110" t="s">
        <v>291</v>
      </c>
      <c r="J256" s="55"/>
      <c r="K256" s="55"/>
      <c r="L256" s="55">
        <f>(60*3.86*180)*1.015*1.015*1.015*1.015</f>
        <v>44246.123698454976</v>
      </c>
      <c r="M256" s="55"/>
      <c r="N256" s="55"/>
      <c r="O256" s="102">
        <f t="shared" si="78"/>
        <v>44246.123698454976</v>
      </c>
    </row>
    <row r="257" spans="1:15" x14ac:dyDescent="0.25">
      <c r="A257" s="106">
        <v>63330</v>
      </c>
      <c r="B257" s="114" t="s">
        <v>292</v>
      </c>
      <c r="C257" s="85">
        <f t="shared" si="77"/>
        <v>0</v>
      </c>
      <c r="D257" s="49" t="s">
        <v>9</v>
      </c>
      <c r="E257" s="114" t="s">
        <v>293</v>
      </c>
      <c r="I257" s="110" t="s">
        <v>294</v>
      </c>
      <c r="J257" s="55">
        <v>30000</v>
      </c>
      <c r="K257" s="55"/>
      <c r="L257" s="55"/>
      <c r="M257" s="55"/>
      <c r="N257" s="55"/>
      <c r="O257" s="102">
        <f t="shared" si="78"/>
        <v>30000</v>
      </c>
    </row>
    <row r="258" spans="1:15" x14ac:dyDescent="0.25">
      <c r="A258" s="106">
        <v>61584</v>
      </c>
      <c r="B258" s="114" t="s">
        <v>295</v>
      </c>
      <c r="C258" s="85">
        <f t="shared" si="77"/>
        <v>0</v>
      </c>
      <c r="D258" s="49" t="s">
        <v>9</v>
      </c>
      <c r="E258" s="52" t="s">
        <v>114</v>
      </c>
      <c r="I258" s="110" t="s">
        <v>296</v>
      </c>
      <c r="J258" s="55">
        <v>5500</v>
      </c>
      <c r="K258" s="55"/>
      <c r="L258" s="55"/>
      <c r="M258" s="55">
        <v>2331</v>
      </c>
      <c r="N258" s="55"/>
      <c r="O258" s="102">
        <f t="shared" si="78"/>
        <v>7831</v>
      </c>
    </row>
    <row r="259" spans="1:15" x14ac:dyDescent="0.25">
      <c r="A259" s="106">
        <v>63127</v>
      </c>
      <c r="B259" s="114" t="s">
        <v>261</v>
      </c>
      <c r="C259" s="85">
        <f t="shared" si="77"/>
        <v>0</v>
      </c>
      <c r="D259" s="49" t="s">
        <v>9</v>
      </c>
      <c r="E259" s="114" t="s">
        <v>297</v>
      </c>
      <c r="I259" s="110" t="s">
        <v>298</v>
      </c>
      <c r="J259" s="55">
        <v>900</v>
      </c>
      <c r="K259" s="55"/>
      <c r="L259" s="55"/>
      <c r="M259" s="55"/>
      <c r="N259" s="55"/>
      <c r="O259" s="102">
        <f t="shared" si="78"/>
        <v>900</v>
      </c>
    </row>
    <row r="260" spans="1:15" x14ac:dyDescent="0.25">
      <c r="A260" s="108">
        <v>63610</v>
      </c>
      <c r="B260" s="110" t="s">
        <v>299</v>
      </c>
      <c r="C260" s="85">
        <f t="shared" si="77"/>
        <v>0</v>
      </c>
      <c r="D260" s="49" t="s">
        <v>9</v>
      </c>
      <c r="E260" s="110" t="s">
        <v>300</v>
      </c>
      <c r="I260" s="110" t="s">
        <v>301</v>
      </c>
      <c r="J260" s="55">
        <f>(6*J17)+1500+1000</f>
        <v>3520</v>
      </c>
      <c r="K260" s="55"/>
      <c r="L260" s="55"/>
      <c r="M260" s="55"/>
      <c r="N260" s="55"/>
      <c r="O260" s="102">
        <f t="shared" si="78"/>
        <v>3520</v>
      </c>
    </row>
    <row r="261" spans="1:15" x14ac:dyDescent="0.25">
      <c r="A261" s="108">
        <v>62670</v>
      </c>
      <c r="B261" s="110" t="s">
        <v>236</v>
      </c>
      <c r="C261" s="85">
        <f t="shared" si="77"/>
        <v>0</v>
      </c>
      <c r="D261" s="49" t="s">
        <v>9</v>
      </c>
      <c r="E261" s="110" t="s">
        <v>302</v>
      </c>
      <c r="I261" s="110" t="s">
        <v>303</v>
      </c>
      <c r="J261" s="55">
        <v>0</v>
      </c>
      <c r="K261" s="55"/>
      <c r="L261" s="55"/>
      <c r="M261" s="55"/>
      <c r="N261" s="55"/>
      <c r="O261" s="102">
        <f t="shared" si="78"/>
        <v>0</v>
      </c>
    </row>
    <row r="262" spans="1:15" x14ac:dyDescent="0.25">
      <c r="A262" s="108">
        <v>90002</v>
      </c>
      <c r="B262" s="110" t="s">
        <v>304</v>
      </c>
      <c r="C262" s="85">
        <f t="shared" si="77"/>
        <v>0</v>
      </c>
      <c r="D262" s="49" t="s">
        <v>9</v>
      </c>
      <c r="E262" s="110" t="s">
        <v>305</v>
      </c>
      <c r="I262" s="110" t="s">
        <v>306</v>
      </c>
      <c r="J262" s="55">
        <v>0</v>
      </c>
      <c r="K262" s="55"/>
      <c r="L262" s="55"/>
      <c r="M262" s="55"/>
      <c r="N262" s="55"/>
      <c r="O262" s="102">
        <f t="shared" si="78"/>
        <v>0</v>
      </c>
    </row>
    <row r="263" spans="1:15" x14ac:dyDescent="0.25">
      <c r="A263" s="108">
        <v>69990</v>
      </c>
      <c r="B263" s="110" t="s">
        <v>307</v>
      </c>
      <c r="C263" s="85">
        <f t="shared" si="77"/>
        <v>0</v>
      </c>
      <c r="D263" s="114" t="s">
        <v>33</v>
      </c>
      <c r="E263" s="110" t="s">
        <v>308</v>
      </c>
      <c r="I263" s="110" t="s">
        <v>309</v>
      </c>
      <c r="J263" s="55">
        <f>J80</f>
        <v>0</v>
      </c>
      <c r="K263" s="55"/>
      <c r="L263" s="55"/>
      <c r="M263" s="55"/>
      <c r="N263" s="55"/>
      <c r="O263" s="102">
        <f t="shared" si="78"/>
        <v>0</v>
      </c>
    </row>
    <row r="264" spans="1:15" x14ac:dyDescent="0.25">
      <c r="A264" s="108">
        <v>69900</v>
      </c>
      <c r="B264" s="110" t="s">
        <v>299</v>
      </c>
      <c r="C264" s="85">
        <f t="shared" si="77"/>
        <v>0</v>
      </c>
      <c r="D264" s="49" t="s">
        <v>9</v>
      </c>
      <c r="E264" s="110" t="s">
        <v>300</v>
      </c>
      <c r="I264" s="110" t="s">
        <v>310</v>
      </c>
      <c r="J264" s="55">
        <v>0</v>
      </c>
      <c r="K264" s="55"/>
      <c r="L264" s="55"/>
      <c r="M264" s="55"/>
      <c r="N264" s="55"/>
      <c r="O264" s="102">
        <f t="shared" si="78"/>
        <v>0</v>
      </c>
    </row>
    <row r="265" spans="1:15" x14ac:dyDescent="0.25">
      <c r="A265" s="111">
        <v>69900</v>
      </c>
      <c r="B265" s="112" t="s">
        <v>311</v>
      </c>
      <c r="C265" s="85">
        <f t="shared" si="77"/>
        <v>0</v>
      </c>
      <c r="D265" s="49" t="s">
        <v>9</v>
      </c>
      <c r="E265" s="112" t="s">
        <v>312</v>
      </c>
      <c r="I265" s="112" t="s">
        <v>313</v>
      </c>
      <c r="J265" s="58">
        <f>J68*0</f>
        <v>0</v>
      </c>
      <c r="K265" s="58"/>
      <c r="L265" s="58"/>
      <c r="M265" s="58"/>
      <c r="N265" s="58"/>
      <c r="O265" s="102">
        <f t="shared" si="78"/>
        <v>0</v>
      </c>
    </row>
    <row r="266" spans="1:15" x14ac:dyDescent="0.25">
      <c r="A266" s="98"/>
      <c r="B266" s="98"/>
      <c r="C266" s="98"/>
      <c r="D266" s="98"/>
      <c r="E266" s="98"/>
      <c r="H266" s="93" t="s">
        <v>47</v>
      </c>
      <c r="I266" s="113"/>
      <c r="J266" s="92">
        <f t="shared" ref="J266:K266" si="79">SUM(J248:J265)</f>
        <v>132457.16282538002</v>
      </c>
      <c r="K266" s="92">
        <f t="shared" si="79"/>
        <v>0</v>
      </c>
      <c r="L266" s="92">
        <f t="shared" ref="L266:O266" si="80">SUM(L248:L265)</f>
        <v>63350.667609704971</v>
      </c>
      <c r="M266" s="92">
        <f t="shared" si="80"/>
        <v>2331</v>
      </c>
      <c r="N266" s="92">
        <f t="shared" si="80"/>
        <v>0</v>
      </c>
      <c r="O266" s="92">
        <f t="shared" si="80"/>
        <v>198138.83043508499</v>
      </c>
    </row>
    <row r="267" spans="1:15" ht="16.5" thickBot="1" x14ac:dyDescent="0.3">
      <c r="J267" s="99"/>
      <c r="K267" s="99"/>
      <c r="L267" s="99"/>
      <c r="M267" s="99"/>
      <c r="N267" s="99"/>
      <c r="O267" s="99"/>
    </row>
    <row r="268" spans="1:15" ht="16.5" thickBot="1" x14ac:dyDescent="0.3">
      <c r="A268" s="68" t="s">
        <v>5</v>
      </c>
      <c r="B268" s="68" t="s">
        <v>91</v>
      </c>
      <c r="C268" s="68" t="s">
        <v>92</v>
      </c>
      <c r="D268" s="68" t="s">
        <v>4</v>
      </c>
      <c r="E268" s="68" t="s">
        <v>93</v>
      </c>
      <c r="G268" s="100" t="s">
        <v>314</v>
      </c>
      <c r="H268" s="105"/>
      <c r="I268" s="82"/>
      <c r="J268" s="101" t="str">
        <f>J20</f>
        <v>Operating</v>
      </c>
      <c r="K268" s="101" t="str">
        <f t="shared" ref="K268:O268" si="81">K20</f>
        <v>SPED</v>
      </c>
      <c r="L268" s="101" t="str">
        <f t="shared" si="81"/>
        <v>NSLP</v>
      </c>
      <c r="M268" s="101" t="str">
        <f t="shared" si="81"/>
        <v>Title(s)</v>
      </c>
      <c r="N268" s="101" t="str">
        <f t="shared" si="81"/>
        <v>Other</v>
      </c>
      <c r="O268" s="101" t="str">
        <f t="shared" si="81"/>
        <v>Total</v>
      </c>
    </row>
    <row r="269" spans="1:15" x14ac:dyDescent="0.25">
      <c r="A269" s="106">
        <v>65510</v>
      </c>
      <c r="B269" s="114" t="s">
        <v>315</v>
      </c>
      <c r="C269" s="85">
        <f t="shared" ref="C269:C279" si="82">$C$1</f>
        <v>0</v>
      </c>
      <c r="D269" s="49" t="s">
        <v>9</v>
      </c>
      <c r="E269" s="114" t="s">
        <v>242</v>
      </c>
      <c r="I269" s="114" t="s">
        <v>316</v>
      </c>
      <c r="J269" s="102">
        <f>'28-29'!J269*1.03</f>
        <v>50197.692925999996</v>
      </c>
      <c r="K269" s="102"/>
      <c r="L269" s="102"/>
      <c r="M269" s="102"/>
      <c r="N269" s="102"/>
      <c r="O269" s="102">
        <f>SUM(J269:N269)</f>
        <v>50197.692925999996</v>
      </c>
    </row>
    <row r="270" spans="1:15" x14ac:dyDescent="0.25">
      <c r="A270" s="106">
        <v>65530</v>
      </c>
      <c r="B270" s="114" t="s">
        <v>317</v>
      </c>
      <c r="C270" s="85">
        <f t="shared" si="82"/>
        <v>0</v>
      </c>
      <c r="D270" s="49" t="s">
        <v>9</v>
      </c>
      <c r="E270" s="114" t="s">
        <v>242</v>
      </c>
      <c r="I270" s="110" t="s">
        <v>318</v>
      </c>
      <c r="J270" s="102">
        <f>'28-29'!J270*1.03</f>
        <v>2025.9158580000003</v>
      </c>
      <c r="K270" s="55"/>
      <c r="L270" s="55"/>
      <c r="M270" s="55"/>
      <c r="N270" s="55"/>
      <c r="O270" s="102">
        <f t="shared" ref="O270:O279" si="83">SUM(J270:N270)</f>
        <v>2025.9158580000003</v>
      </c>
    </row>
    <row r="271" spans="1:15" x14ac:dyDescent="0.25">
      <c r="A271" s="106">
        <v>65540</v>
      </c>
      <c r="B271" s="114" t="s">
        <v>319</v>
      </c>
      <c r="C271" s="85">
        <f t="shared" si="82"/>
        <v>0</v>
      </c>
      <c r="D271" s="49" t="s">
        <v>9</v>
      </c>
      <c r="E271" s="114" t="s">
        <v>242</v>
      </c>
      <c r="I271" s="110" t="s">
        <v>320</v>
      </c>
      <c r="J271" s="102">
        <f>'28-29'!J271*1.03</f>
        <v>11930.393386000002</v>
      </c>
      <c r="K271" s="55"/>
      <c r="L271" s="55"/>
      <c r="M271" s="55"/>
      <c r="N271" s="55"/>
      <c r="O271" s="102">
        <f t="shared" si="83"/>
        <v>11930.393386000002</v>
      </c>
    </row>
    <row r="272" spans="1:15" x14ac:dyDescent="0.25">
      <c r="A272" s="106">
        <v>65550</v>
      </c>
      <c r="B272" s="114" t="s">
        <v>321</v>
      </c>
      <c r="C272" s="85">
        <f t="shared" si="82"/>
        <v>0</v>
      </c>
      <c r="D272" s="49" t="s">
        <v>9</v>
      </c>
      <c r="E272" s="114" t="s">
        <v>242</v>
      </c>
      <c r="I272" s="110" t="s">
        <v>322</v>
      </c>
      <c r="J272" s="102">
        <f>'28-29'!J272*1.03</f>
        <v>4502.0352400000002</v>
      </c>
      <c r="K272" s="55"/>
      <c r="L272" s="55"/>
      <c r="M272" s="55"/>
      <c r="N272" s="55"/>
      <c r="O272" s="102">
        <f t="shared" si="83"/>
        <v>4502.0352400000002</v>
      </c>
    </row>
    <row r="273" spans="1:15" x14ac:dyDescent="0.25">
      <c r="A273" s="106">
        <v>63632</v>
      </c>
      <c r="B273" s="114" t="s">
        <v>323</v>
      </c>
      <c r="C273" s="85">
        <f t="shared" si="82"/>
        <v>0</v>
      </c>
      <c r="D273" s="49" t="s">
        <v>9</v>
      </c>
      <c r="E273" s="114" t="s">
        <v>324</v>
      </c>
      <c r="I273" s="110" t="s">
        <v>325</v>
      </c>
      <c r="J273" s="102">
        <f>'28-29'!J273*1.03</f>
        <v>1125.50881</v>
      </c>
      <c r="K273" s="55"/>
      <c r="L273" s="55"/>
      <c r="M273" s="55"/>
      <c r="N273" s="55"/>
      <c r="O273" s="102">
        <f t="shared" si="83"/>
        <v>1125.50881</v>
      </c>
    </row>
    <row r="274" spans="1:15" x14ac:dyDescent="0.25">
      <c r="A274" s="106">
        <v>65100</v>
      </c>
      <c r="B274" s="114" t="s">
        <v>326</v>
      </c>
      <c r="C274" s="85">
        <f t="shared" si="82"/>
        <v>0</v>
      </c>
      <c r="D274" s="49" t="s">
        <v>9</v>
      </c>
      <c r="E274" s="114" t="s">
        <v>242</v>
      </c>
      <c r="I274" s="110" t="s">
        <v>327</v>
      </c>
      <c r="J274" s="102">
        <f>'28-29'!J274*1.03</f>
        <v>15138.093494500001</v>
      </c>
      <c r="K274" s="55"/>
      <c r="L274" s="55"/>
      <c r="M274" s="55"/>
      <c r="N274" s="55"/>
      <c r="O274" s="102">
        <f t="shared" si="83"/>
        <v>15138.093494500001</v>
      </c>
    </row>
    <row r="275" spans="1:15" x14ac:dyDescent="0.25">
      <c r="A275" s="106">
        <v>65310</v>
      </c>
      <c r="B275" s="114" t="s">
        <v>328</v>
      </c>
      <c r="C275" s="85">
        <f t="shared" si="82"/>
        <v>0</v>
      </c>
      <c r="D275" s="49" t="s">
        <v>9</v>
      </c>
      <c r="E275" s="114" t="s">
        <v>242</v>
      </c>
      <c r="I275" s="110" t="s">
        <v>329</v>
      </c>
      <c r="J275" s="55">
        <v>30000</v>
      </c>
      <c r="K275" s="55"/>
      <c r="L275" s="55"/>
      <c r="M275" s="55"/>
      <c r="N275" s="55"/>
      <c r="O275" s="102">
        <f t="shared" si="83"/>
        <v>30000</v>
      </c>
    </row>
    <row r="276" spans="1:15" x14ac:dyDescent="0.25">
      <c r="A276" s="106">
        <v>65310</v>
      </c>
      <c r="B276" s="114" t="s">
        <v>330</v>
      </c>
      <c r="C276" s="85">
        <f t="shared" si="82"/>
        <v>0</v>
      </c>
      <c r="D276" s="49" t="s">
        <v>9</v>
      </c>
      <c r="E276" s="114" t="s">
        <v>242</v>
      </c>
      <c r="I276" s="110" t="s">
        <v>331</v>
      </c>
      <c r="J276" s="55"/>
      <c r="K276" s="55"/>
      <c r="L276" s="55"/>
      <c r="M276" s="55"/>
      <c r="N276" s="55"/>
      <c r="O276" s="102">
        <f t="shared" si="83"/>
        <v>0</v>
      </c>
    </row>
    <row r="277" spans="1:15" x14ac:dyDescent="0.25">
      <c r="A277" s="106">
        <v>65112</v>
      </c>
      <c r="B277" s="114" t="s">
        <v>332</v>
      </c>
      <c r="C277" s="85">
        <f t="shared" si="82"/>
        <v>0</v>
      </c>
      <c r="D277" s="49" t="s">
        <v>9</v>
      </c>
      <c r="E277" s="114" t="s">
        <v>242</v>
      </c>
      <c r="I277" s="110" t="s">
        <v>333</v>
      </c>
      <c r="J277" s="55">
        <v>0</v>
      </c>
      <c r="K277" s="55"/>
      <c r="L277" s="55"/>
      <c r="M277" s="55"/>
      <c r="N277" s="55"/>
      <c r="O277" s="102">
        <f t="shared" si="83"/>
        <v>0</v>
      </c>
    </row>
    <row r="278" spans="1:15" x14ac:dyDescent="0.25">
      <c r="A278" s="106">
        <v>65111</v>
      </c>
      <c r="B278" s="114" t="s">
        <v>332</v>
      </c>
      <c r="C278" s="85">
        <f t="shared" si="82"/>
        <v>0</v>
      </c>
      <c r="D278" s="49" t="s">
        <v>9</v>
      </c>
      <c r="E278" s="114" t="s">
        <v>242</v>
      </c>
      <c r="I278" s="110" t="s">
        <v>334</v>
      </c>
      <c r="J278" s="55">
        <v>0</v>
      </c>
      <c r="K278" s="55"/>
      <c r="L278" s="55"/>
      <c r="M278" s="55"/>
      <c r="N278" s="55"/>
      <c r="O278" s="102">
        <f t="shared" si="83"/>
        <v>0</v>
      </c>
    </row>
    <row r="279" spans="1:15" x14ac:dyDescent="0.25">
      <c r="A279" s="117">
        <v>65311</v>
      </c>
      <c r="B279" s="118" t="s">
        <v>328</v>
      </c>
      <c r="C279" s="85">
        <f t="shared" si="82"/>
        <v>0</v>
      </c>
      <c r="D279" s="49" t="s">
        <v>9</v>
      </c>
      <c r="E279" s="114" t="s">
        <v>242</v>
      </c>
      <c r="I279" s="112" t="s">
        <v>335</v>
      </c>
      <c r="J279" s="58">
        <v>11000</v>
      </c>
      <c r="K279" s="58"/>
      <c r="L279" s="58"/>
      <c r="M279" s="58"/>
      <c r="N279" s="58"/>
      <c r="O279" s="102">
        <f t="shared" si="83"/>
        <v>11000</v>
      </c>
    </row>
    <row r="280" spans="1:15" x14ac:dyDescent="0.25">
      <c r="A280" s="98"/>
      <c r="B280" s="98"/>
      <c r="C280" s="98"/>
      <c r="D280" s="98"/>
      <c r="E280" s="98"/>
      <c r="H280" s="93" t="s">
        <v>47</v>
      </c>
      <c r="I280" s="113"/>
      <c r="J280" s="92">
        <f t="shared" ref="J280:O280" si="84">SUM(J269:J279)</f>
        <v>125919.63971450001</v>
      </c>
      <c r="K280" s="92">
        <f t="shared" si="84"/>
        <v>0</v>
      </c>
      <c r="L280" s="92">
        <f t="shared" si="84"/>
        <v>0</v>
      </c>
      <c r="M280" s="92">
        <f t="shared" si="84"/>
        <v>0</v>
      </c>
      <c r="N280" s="92">
        <f t="shared" si="84"/>
        <v>0</v>
      </c>
      <c r="O280" s="92">
        <f t="shared" si="84"/>
        <v>125919.63971450001</v>
      </c>
    </row>
    <row r="281" spans="1:15" ht="16.5" thickBot="1" x14ac:dyDescent="0.3">
      <c r="J281" s="99"/>
      <c r="K281" s="99"/>
      <c r="L281" s="99"/>
      <c r="M281" s="99"/>
      <c r="N281" s="99"/>
      <c r="O281" s="99"/>
    </row>
    <row r="282" spans="1:15" ht="16.149999999999999" customHeight="1" thickBot="1" x14ac:dyDescent="0.3">
      <c r="A282" s="81"/>
      <c r="B282" s="82"/>
      <c r="C282" s="82"/>
      <c r="D282" s="82"/>
      <c r="E282" s="82"/>
      <c r="G282" s="180" t="s">
        <v>336</v>
      </c>
      <c r="H282" s="181"/>
      <c r="I282" s="181"/>
      <c r="J282" s="119">
        <f t="shared" ref="J282:O282" si="85">J280+J266+J245+J233+J221+J212+J201+J180+J153+J134</f>
        <v>1725930.3290194348</v>
      </c>
      <c r="K282" s="119">
        <f t="shared" si="85"/>
        <v>201488.85250404169</v>
      </c>
      <c r="L282" s="119">
        <f t="shared" si="85"/>
        <v>141348.80863722993</v>
      </c>
      <c r="M282" s="119">
        <f t="shared" si="85"/>
        <v>127947.9525</v>
      </c>
      <c r="N282" s="119">
        <f t="shared" si="85"/>
        <v>0</v>
      </c>
      <c r="O282" s="119">
        <f t="shared" si="85"/>
        <v>2196715.9426607057</v>
      </c>
    </row>
    <row r="283" spans="1:15" ht="16.5" thickBot="1" x14ac:dyDescent="0.3">
      <c r="J283" s="99"/>
      <c r="K283" s="99"/>
      <c r="L283" s="99"/>
      <c r="M283" s="99"/>
      <c r="N283" s="99"/>
      <c r="O283" s="99"/>
    </row>
    <row r="284" spans="1:15" ht="16.5" thickBot="1" x14ac:dyDescent="0.3">
      <c r="A284" s="81"/>
      <c r="B284" s="82"/>
      <c r="C284" s="82"/>
      <c r="D284" s="82"/>
      <c r="E284" s="82"/>
      <c r="G284" s="69" t="s">
        <v>337</v>
      </c>
      <c r="H284" s="120"/>
      <c r="I284" s="121"/>
      <c r="J284" s="122"/>
      <c r="K284" s="122"/>
      <c r="L284" s="122"/>
      <c r="M284" s="122"/>
      <c r="N284" s="122"/>
      <c r="O284" s="122"/>
    </row>
    <row r="285" spans="1:15" x14ac:dyDescent="0.25">
      <c r="A285" s="123">
        <v>65400</v>
      </c>
      <c r="B285" s="124" t="s">
        <v>319</v>
      </c>
      <c r="C285" s="85">
        <f t="shared" ref="C285:C288" si="86">$C$1</f>
        <v>0</v>
      </c>
      <c r="D285" s="49" t="s">
        <v>9</v>
      </c>
      <c r="E285" s="114" t="s">
        <v>242</v>
      </c>
      <c r="I285" s="124" t="s">
        <v>338</v>
      </c>
      <c r="J285" s="125">
        <f>500*J17</f>
        <v>85000</v>
      </c>
      <c r="K285" s="125">
        <f>500*K17</f>
        <v>0</v>
      </c>
      <c r="L285" s="125">
        <f>500*L17</f>
        <v>0</v>
      </c>
      <c r="M285" s="125">
        <f>500*M17</f>
        <v>0</v>
      </c>
      <c r="N285" s="125">
        <f>500*N17</f>
        <v>0</v>
      </c>
      <c r="O285" s="102">
        <f>SUM(J285:N285)</f>
        <v>85000</v>
      </c>
    </row>
    <row r="286" spans="1:15" x14ac:dyDescent="0.25">
      <c r="A286" s="126">
        <v>90001</v>
      </c>
      <c r="B286" s="127" t="s">
        <v>304</v>
      </c>
      <c r="C286" s="85">
        <f t="shared" si="86"/>
        <v>0</v>
      </c>
      <c r="D286" s="49" t="s">
        <v>9</v>
      </c>
      <c r="E286" s="110" t="s">
        <v>305</v>
      </c>
      <c r="I286" s="127" t="s">
        <v>339</v>
      </c>
      <c r="J286" s="128">
        <v>0</v>
      </c>
      <c r="K286" s="128">
        <v>0</v>
      </c>
      <c r="L286" s="128">
        <v>0</v>
      </c>
      <c r="M286" s="128">
        <v>0</v>
      </c>
      <c r="N286" s="128">
        <v>0</v>
      </c>
      <c r="O286" s="102">
        <f t="shared" ref="O286:O288" si="87">SUM(J286:N286)</f>
        <v>0</v>
      </c>
    </row>
    <row r="287" spans="1:15" x14ac:dyDescent="0.25">
      <c r="A287" s="126">
        <v>68320</v>
      </c>
      <c r="B287" s="127" t="s">
        <v>340</v>
      </c>
      <c r="C287" s="85">
        <f t="shared" si="86"/>
        <v>0</v>
      </c>
      <c r="D287" s="49" t="s">
        <v>9</v>
      </c>
      <c r="E287" s="110" t="s">
        <v>305</v>
      </c>
      <c r="I287" s="127" t="s">
        <v>341</v>
      </c>
      <c r="J287" s="128">
        <v>0</v>
      </c>
      <c r="K287" s="128">
        <v>0</v>
      </c>
      <c r="L287" s="128">
        <v>0</v>
      </c>
      <c r="M287" s="128">
        <v>0</v>
      </c>
      <c r="N287" s="128">
        <v>0</v>
      </c>
      <c r="O287" s="102">
        <f t="shared" si="87"/>
        <v>0</v>
      </c>
    </row>
    <row r="288" spans="1:15" x14ac:dyDescent="0.25">
      <c r="A288" s="123">
        <v>65400</v>
      </c>
      <c r="B288" s="124" t="s">
        <v>319</v>
      </c>
      <c r="C288" s="85">
        <f t="shared" si="86"/>
        <v>0</v>
      </c>
      <c r="D288" s="49" t="s">
        <v>9</v>
      </c>
      <c r="E288" s="114" t="s">
        <v>242</v>
      </c>
      <c r="I288" s="129" t="s">
        <v>342</v>
      </c>
      <c r="J288" s="130">
        <v>0</v>
      </c>
      <c r="K288" s="130">
        <v>0</v>
      </c>
      <c r="L288" s="130">
        <v>0</v>
      </c>
      <c r="M288" s="130">
        <v>0</v>
      </c>
      <c r="N288" s="130">
        <v>0</v>
      </c>
      <c r="O288" s="102">
        <f t="shared" si="87"/>
        <v>0</v>
      </c>
    </row>
    <row r="289" spans="1:15" x14ac:dyDescent="0.25">
      <c r="A289" s="98"/>
      <c r="B289" s="98"/>
      <c r="C289" s="98"/>
      <c r="D289" s="98"/>
      <c r="E289" s="98"/>
      <c r="G289" s="2"/>
      <c r="H289" s="93" t="s">
        <v>343</v>
      </c>
      <c r="I289" s="94"/>
      <c r="J289" s="92">
        <f t="shared" ref="J289:O289" si="88">SUM(J285:J288)</f>
        <v>85000</v>
      </c>
      <c r="K289" s="92">
        <f t="shared" si="88"/>
        <v>0</v>
      </c>
      <c r="L289" s="92">
        <f t="shared" si="88"/>
        <v>0</v>
      </c>
      <c r="M289" s="92">
        <f t="shared" si="88"/>
        <v>0</v>
      </c>
      <c r="N289" s="92">
        <f t="shared" si="88"/>
        <v>0</v>
      </c>
      <c r="O289" s="92">
        <f t="shared" si="88"/>
        <v>85000</v>
      </c>
    </row>
    <row r="290" spans="1:15" ht="16.5" thickBot="1" x14ac:dyDescent="0.3">
      <c r="J290" s="99"/>
      <c r="K290" s="99"/>
      <c r="L290" s="99"/>
      <c r="M290" s="99"/>
      <c r="N290" s="99"/>
      <c r="O290" s="99"/>
    </row>
    <row r="291" spans="1:15" ht="16.5" thickBot="1" x14ac:dyDescent="0.3">
      <c r="A291" s="131"/>
      <c r="B291" s="132"/>
      <c r="C291" s="132"/>
      <c r="D291" s="132"/>
      <c r="E291" s="132"/>
      <c r="G291" s="133" t="s">
        <v>344</v>
      </c>
      <c r="H291" s="134"/>
      <c r="I291" s="135"/>
      <c r="J291" s="136">
        <f t="shared" ref="J291:O291" si="89">(J83+J89)-(J289+J282)</f>
        <v>94850.570980565157</v>
      </c>
      <c r="K291" s="136">
        <f t="shared" si="89"/>
        <v>8712.1609855686838</v>
      </c>
      <c r="L291" s="136">
        <f t="shared" si="89"/>
        <v>-67834.523666739959</v>
      </c>
      <c r="M291" s="136">
        <f t="shared" si="89"/>
        <v>-35728.362500000003</v>
      </c>
      <c r="N291" s="136">
        <f t="shared" si="89"/>
        <v>0</v>
      </c>
      <c r="O291" s="136">
        <f t="shared" si="89"/>
        <v>-0.15420060511678457</v>
      </c>
    </row>
    <row r="292" spans="1:15" x14ac:dyDescent="0.25">
      <c r="J292" s="99"/>
      <c r="K292" s="99"/>
      <c r="L292" s="99"/>
      <c r="M292" s="99"/>
      <c r="N292" s="99"/>
      <c r="O292" s="99"/>
    </row>
    <row r="293" spans="1:15" x14ac:dyDescent="0.25">
      <c r="I293" s="17" t="str">
        <f>I1</f>
        <v>CIVICA Nevada</v>
      </c>
      <c r="J293" s="137" t="str">
        <f t="shared" ref="J293:O293" si="90">J20</f>
        <v>Operating</v>
      </c>
      <c r="K293" s="137" t="str">
        <f t="shared" si="90"/>
        <v>SPED</v>
      </c>
      <c r="L293" s="137" t="str">
        <f t="shared" si="90"/>
        <v>NSLP</v>
      </c>
      <c r="M293" s="137" t="str">
        <f t="shared" si="90"/>
        <v>Title(s)</v>
      </c>
      <c r="N293" s="137" t="str">
        <f t="shared" si="90"/>
        <v>Other</v>
      </c>
      <c r="O293" s="137" t="str">
        <f t="shared" si="90"/>
        <v>Total</v>
      </c>
    </row>
    <row r="294" spans="1:15" x14ac:dyDescent="0.25">
      <c r="J294" s="99"/>
      <c r="K294" s="99"/>
      <c r="L294" s="99"/>
      <c r="M294" s="99"/>
      <c r="N294" s="99"/>
      <c r="O294" s="99"/>
    </row>
    <row r="295" spans="1:15" ht="16.5" thickBot="1" x14ac:dyDescent="0.3">
      <c r="I295" s="138"/>
      <c r="J295" s="137" t="s">
        <v>44</v>
      </c>
      <c r="K295" s="137" t="s">
        <v>44</v>
      </c>
      <c r="L295" s="137" t="s">
        <v>44</v>
      </c>
      <c r="M295" s="137" t="s">
        <v>44</v>
      </c>
      <c r="N295" s="137" t="s">
        <v>44</v>
      </c>
      <c r="O295" s="137" t="s">
        <v>44</v>
      </c>
    </row>
    <row r="296" spans="1:15" ht="16.5" thickBot="1" x14ac:dyDescent="0.3">
      <c r="G296" s="139" t="s">
        <v>345</v>
      </c>
      <c r="H296" s="140"/>
      <c r="I296" s="141"/>
      <c r="J296" s="142"/>
      <c r="K296" s="142"/>
      <c r="L296" s="142"/>
      <c r="M296" s="142"/>
      <c r="N296" s="142"/>
      <c r="O296" s="142"/>
    </row>
    <row r="297" spans="1:15" x14ac:dyDescent="0.25">
      <c r="I297" s="2" t="s">
        <v>98</v>
      </c>
      <c r="J297" s="143">
        <f>J73</f>
        <v>0</v>
      </c>
      <c r="K297" s="143">
        <f>K73</f>
        <v>122895</v>
      </c>
      <c r="L297" s="143">
        <f>L73</f>
        <v>0</v>
      </c>
      <c r="M297" s="143">
        <f>M73</f>
        <v>0</v>
      </c>
      <c r="N297" s="143">
        <f>N73</f>
        <v>0</v>
      </c>
      <c r="O297" s="143">
        <f>SUM(J297:N297)</f>
        <v>122895</v>
      </c>
    </row>
    <row r="298" spans="1:15" x14ac:dyDescent="0.25">
      <c r="I298" s="2" t="s">
        <v>99</v>
      </c>
      <c r="J298" s="143">
        <f>J74</f>
        <v>0</v>
      </c>
      <c r="K298" s="143">
        <f>K74</f>
        <v>69031.205489610365</v>
      </c>
      <c r="L298" s="143">
        <f t="shared" ref="L298:N299" si="91">L74</f>
        <v>0</v>
      </c>
      <c r="M298" s="143">
        <f t="shared" si="91"/>
        <v>0</v>
      </c>
      <c r="N298" s="143">
        <f t="shared" si="91"/>
        <v>0</v>
      </c>
      <c r="O298" s="143">
        <f>SUM(J298:N298)</f>
        <v>69031.205489610365</v>
      </c>
    </row>
    <row r="299" spans="1:15" ht="16.5" thickBot="1" x14ac:dyDescent="0.3">
      <c r="I299" s="2" t="s">
        <v>100</v>
      </c>
      <c r="J299" s="143">
        <f>J75</f>
        <v>0</v>
      </c>
      <c r="K299" s="143">
        <f>K75</f>
        <v>18274.808000000001</v>
      </c>
      <c r="L299" s="143">
        <f t="shared" si="91"/>
        <v>0</v>
      </c>
      <c r="M299" s="143">
        <f t="shared" si="91"/>
        <v>0</v>
      </c>
      <c r="N299" s="143">
        <f t="shared" si="91"/>
        <v>0</v>
      </c>
      <c r="O299" s="143">
        <f>SUM(J299:N299)</f>
        <v>18274.808000000001</v>
      </c>
    </row>
    <row r="300" spans="1:15" ht="16.5" thickBot="1" x14ac:dyDescent="0.3">
      <c r="G300" s="139" t="s">
        <v>346</v>
      </c>
      <c r="H300" s="140"/>
      <c r="I300" s="141"/>
      <c r="J300" s="142"/>
      <c r="K300" s="142"/>
      <c r="L300" s="142"/>
      <c r="M300" s="142"/>
      <c r="N300" s="142"/>
      <c r="O300" s="142"/>
    </row>
    <row r="301" spans="1:15" x14ac:dyDescent="0.25">
      <c r="I301" s="2" t="s">
        <v>347</v>
      </c>
      <c r="J301" s="143">
        <f>J98+J99+J111+J112+J114+J116+J169+J176</f>
        <v>0</v>
      </c>
      <c r="K301" s="143">
        <f>K134+K180</f>
        <v>79677.302441653112</v>
      </c>
      <c r="L301" s="143">
        <f>L98+L99+L111+L112+L114+L116+L169+L176</f>
        <v>0</v>
      </c>
      <c r="M301" s="143">
        <f>M98+M99+M111+M112+M114+M116+M169+M176</f>
        <v>0</v>
      </c>
      <c r="N301" s="143">
        <f>N98+N99+N111+N112+N114+N116+N169+N176</f>
        <v>0</v>
      </c>
      <c r="O301" s="143">
        <f t="shared" ref="O301:O306" si="92">SUM(J301:N301)</f>
        <v>79677.302441653112</v>
      </c>
    </row>
    <row r="302" spans="1:15" x14ac:dyDescent="0.25">
      <c r="I302" s="2" t="s">
        <v>348</v>
      </c>
      <c r="J302" s="143">
        <f>J139+J146+J187+J195</f>
        <v>0</v>
      </c>
      <c r="K302" s="143">
        <f>K153+K201</f>
        <v>44201.550062388553</v>
      </c>
      <c r="L302" s="143">
        <f>L139+L146+L187+L195</f>
        <v>0</v>
      </c>
      <c r="M302" s="143">
        <f>M139+M146+M187+M195</f>
        <v>0</v>
      </c>
      <c r="N302" s="143">
        <f>N139+N146+N187+N195</f>
        <v>0</v>
      </c>
      <c r="O302" s="143">
        <f t="shared" si="92"/>
        <v>44201.550062388553</v>
      </c>
    </row>
    <row r="303" spans="1:15" x14ac:dyDescent="0.25">
      <c r="I303" s="2" t="s">
        <v>349</v>
      </c>
      <c r="J303" s="143">
        <f>J211</f>
        <v>0</v>
      </c>
      <c r="K303" s="143">
        <f>K212+K221</f>
        <v>3325</v>
      </c>
      <c r="L303" s="143">
        <f>L211</f>
        <v>0</v>
      </c>
      <c r="M303" s="143">
        <f>M211</f>
        <v>0</v>
      </c>
      <c r="N303" s="143">
        <f>N211</f>
        <v>0</v>
      </c>
      <c r="O303" s="143">
        <f t="shared" si="92"/>
        <v>3325</v>
      </c>
    </row>
    <row r="304" spans="1:15" x14ac:dyDescent="0.25">
      <c r="I304" s="2" t="s">
        <v>350</v>
      </c>
      <c r="J304" s="143">
        <f>J226</f>
        <v>0</v>
      </c>
      <c r="K304" s="143">
        <f>K233+K245</f>
        <v>74285</v>
      </c>
      <c r="L304" s="143">
        <f>L226</f>
        <v>0</v>
      </c>
      <c r="M304" s="143">
        <f>M226</f>
        <v>0</v>
      </c>
      <c r="N304" s="143">
        <f>N226</f>
        <v>0</v>
      </c>
      <c r="O304" s="143">
        <f t="shared" si="92"/>
        <v>74285</v>
      </c>
    </row>
    <row r="305" spans="7:15" x14ac:dyDescent="0.25">
      <c r="I305" s="2" t="s">
        <v>351</v>
      </c>
      <c r="J305" s="143">
        <f>0</f>
        <v>0</v>
      </c>
      <c r="K305" s="143">
        <f>0</f>
        <v>0</v>
      </c>
      <c r="L305" s="143">
        <f>0</f>
        <v>0</v>
      </c>
      <c r="M305" s="143">
        <f>0</f>
        <v>0</v>
      </c>
      <c r="N305" s="143">
        <f>0</f>
        <v>0</v>
      </c>
      <c r="O305" s="143">
        <f t="shared" si="92"/>
        <v>0</v>
      </c>
    </row>
    <row r="306" spans="7:15" ht="16.5" thickBot="1" x14ac:dyDescent="0.3">
      <c r="I306" s="2" t="s">
        <v>352</v>
      </c>
      <c r="J306" s="143">
        <v>0</v>
      </c>
      <c r="K306" s="143">
        <v>0</v>
      </c>
      <c r="L306" s="143">
        <v>0</v>
      </c>
      <c r="M306" s="143">
        <v>0</v>
      </c>
      <c r="N306" s="143">
        <v>0</v>
      </c>
      <c r="O306" s="143">
        <f t="shared" si="92"/>
        <v>0</v>
      </c>
    </row>
    <row r="307" spans="7:15" ht="16.5" thickBot="1" x14ac:dyDescent="0.3">
      <c r="G307" s="139" t="s">
        <v>353</v>
      </c>
      <c r="H307" s="140"/>
      <c r="I307" s="141"/>
      <c r="J307" s="142">
        <f t="shared" ref="J307:O307" si="93">SUM(J297:J299)-SUM(J301:J306)</f>
        <v>0</v>
      </c>
      <c r="K307" s="142">
        <f t="shared" si="93"/>
        <v>8712.1609855687129</v>
      </c>
      <c r="L307" s="142">
        <f t="shared" si="93"/>
        <v>0</v>
      </c>
      <c r="M307" s="142">
        <f t="shared" si="93"/>
        <v>0</v>
      </c>
      <c r="N307" s="142">
        <f t="shared" si="93"/>
        <v>0</v>
      </c>
      <c r="O307" s="142">
        <f t="shared" si="93"/>
        <v>8712.1609855687129</v>
      </c>
    </row>
    <row r="308" spans="7:15" x14ac:dyDescent="0.25">
      <c r="I308" s="1"/>
    </row>
    <row r="309" spans="7:15" ht="16.5" thickBot="1" x14ac:dyDescent="0.3">
      <c r="I309" s="138"/>
      <c r="J309" s="137" t="s">
        <v>40</v>
      </c>
      <c r="K309" s="137" t="s">
        <v>40</v>
      </c>
      <c r="L309" s="137" t="s">
        <v>40</v>
      </c>
      <c r="M309" s="137" t="s">
        <v>40</v>
      </c>
      <c r="N309" s="137" t="s">
        <v>40</v>
      </c>
      <c r="O309" s="137" t="s">
        <v>40</v>
      </c>
    </row>
    <row r="310" spans="7:15" ht="16.5" thickBot="1" x14ac:dyDescent="0.3">
      <c r="G310" s="133" t="s">
        <v>354</v>
      </c>
      <c r="H310" s="134"/>
      <c r="I310" s="135"/>
      <c r="J310" s="136"/>
      <c r="K310" s="136"/>
      <c r="L310" s="136"/>
      <c r="M310" s="136"/>
      <c r="N310" s="136"/>
      <c r="O310" s="136"/>
    </row>
    <row r="311" spans="7:15" x14ac:dyDescent="0.25">
      <c r="I311" s="2" t="s">
        <v>103</v>
      </c>
      <c r="J311" s="143">
        <f t="shared" ref="J311:N312" si="94">J81</f>
        <v>0</v>
      </c>
      <c r="K311" s="143">
        <f t="shared" si="94"/>
        <v>0</v>
      </c>
      <c r="L311" s="143">
        <f t="shared" si="94"/>
        <v>21702.761883179992</v>
      </c>
      <c r="M311" s="143">
        <f t="shared" si="94"/>
        <v>0</v>
      </c>
      <c r="N311" s="143">
        <f t="shared" si="94"/>
        <v>0</v>
      </c>
      <c r="O311" s="143">
        <f>SUM(J311:N311)</f>
        <v>21702.761883179992</v>
      </c>
    </row>
    <row r="312" spans="7:15" ht="16.5" thickBot="1" x14ac:dyDescent="0.3">
      <c r="I312" s="2" t="s">
        <v>104</v>
      </c>
      <c r="J312" s="143">
        <f t="shared" si="94"/>
        <v>0</v>
      </c>
      <c r="K312" s="143">
        <f t="shared" si="94"/>
        <v>0</v>
      </c>
      <c r="L312" s="143">
        <f t="shared" si="94"/>
        <v>51811.523087309986</v>
      </c>
      <c r="M312" s="143">
        <f t="shared" si="94"/>
        <v>0</v>
      </c>
      <c r="N312" s="143">
        <f t="shared" si="94"/>
        <v>0</v>
      </c>
      <c r="O312" s="143">
        <f>SUM(J312:N312)</f>
        <v>51811.523087309986</v>
      </c>
    </row>
    <row r="313" spans="7:15" ht="16.5" thickBot="1" x14ac:dyDescent="0.3">
      <c r="G313" s="133" t="s">
        <v>355</v>
      </c>
      <c r="H313" s="134"/>
      <c r="I313" s="135"/>
      <c r="J313" s="136"/>
      <c r="K313" s="136"/>
      <c r="L313" s="136"/>
      <c r="M313" s="136"/>
      <c r="N313" s="136"/>
      <c r="O313" s="136"/>
    </row>
    <row r="314" spans="7:15" x14ac:dyDescent="0.25">
      <c r="I314" s="2" t="s">
        <v>347</v>
      </c>
      <c r="J314" s="143">
        <f>J132</f>
        <v>0</v>
      </c>
      <c r="K314" s="143">
        <f>K132</f>
        <v>0</v>
      </c>
      <c r="L314" s="143">
        <f>L134+L180</f>
        <v>50945.450429999975</v>
      </c>
      <c r="M314" s="143">
        <f>M132</f>
        <v>0</v>
      </c>
      <c r="N314" s="143">
        <f>N132</f>
        <v>0</v>
      </c>
      <c r="O314" s="143">
        <f t="shared" ref="O314:O319" si="95">SUM(J314:N314)</f>
        <v>50945.450429999975</v>
      </c>
    </row>
    <row r="315" spans="7:15" x14ac:dyDescent="0.25">
      <c r="I315" s="2" t="s">
        <v>348</v>
      </c>
      <c r="J315" s="143">
        <f>J141+J148</f>
        <v>0</v>
      </c>
      <c r="K315" s="143">
        <f>K141+K148</f>
        <v>0</v>
      </c>
      <c r="L315" s="143">
        <f>L201+L153</f>
        <v>27052.690597524987</v>
      </c>
      <c r="M315" s="143">
        <f>M141+M148</f>
        <v>0</v>
      </c>
      <c r="N315" s="143">
        <f>N141+N148</f>
        <v>0</v>
      </c>
      <c r="O315" s="143">
        <f t="shared" si="95"/>
        <v>27052.690597524987</v>
      </c>
    </row>
    <row r="316" spans="7:15" x14ac:dyDescent="0.25">
      <c r="I316" s="2" t="s">
        <v>349</v>
      </c>
      <c r="J316" s="143">
        <f>0</f>
        <v>0</v>
      </c>
      <c r="K316" s="143">
        <f>0</f>
        <v>0</v>
      </c>
      <c r="L316" s="143">
        <f>0</f>
        <v>0</v>
      </c>
      <c r="M316" s="143">
        <f>0</f>
        <v>0</v>
      </c>
      <c r="N316" s="143">
        <f>0</f>
        <v>0</v>
      </c>
      <c r="O316" s="143">
        <f t="shared" si="95"/>
        <v>0</v>
      </c>
    </row>
    <row r="317" spans="7:15" x14ac:dyDescent="0.25">
      <c r="I317" s="2" t="s">
        <v>350</v>
      </c>
      <c r="J317" s="143">
        <f>0</f>
        <v>0</v>
      </c>
      <c r="K317" s="143">
        <f>0</f>
        <v>0</v>
      </c>
      <c r="L317" s="143">
        <f>0</f>
        <v>0</v>
      </c>
      <c r="M317" s="143">
        <f>0</f>
        <v>0</v>
      </c>
      <c r="N317" s="143">
        <f>0</f>
        <v>0</v>
      </c>
      <c r="O317" s="143">
        <f t="shared" si="95"/>
        <v>0</v>
      </c>
    </row>
    <row r="318" spans="7:15" x14ac:dyDescent="0.25">
      <c r="I318" s="2" t="s">
        <v>351</v>
      </c>
      <c r="J318" s="143">
        <f>J255+J256</f>
        <v>0</v>
      </c>
      <c r="K318" s="143">
        <f>K255+K256</f>
        <v>0</v>
      </c>
      <c r="L318" s="143">
        <f>L255+L256</f>
        <v>63350.667609704971</v>
      </c>
      <c r="M318" s="143">
        <f>M255+M256</f>
        <v>0</v>
      </c>
      <c r="N318" s="143">
        <f>N255+N256</f>
        <v>0</v>
      </c>
      <c r="O318" s="143">
        <f t="shared" si="95"/>
        <v>63350.667609704971</v>
      </c>
    </row>
    <row r="319" spans="7:15" ht="16.5" thickBot="1" x14ac:dyDescent="0.3">
      <c r="I319" s="2" t="s">
        <v>352</v>
      </c>
      <c r="J319" s="143">
        <v>0</v>
      </c>
      <c r="K319" s="143">
        <v>0</v>
      </c>
      <c r="L319" s="143">
        <v>0</v>
      </c>
      <c r="M319" s="143">
        <v>0</v>
      </c>
      <c r="N319" s="143">
        <v>0</v>
      </c>
      <c r="O319" s="143">
        <f t="shared" si="95"/>
        <v>0</v>
      </c>
    </row>
    <row r="320" spans="7:15" ht="16.5" thickBot="1" x14ac:dyDescent="0.3">
      <c r="G320" s="133" t="s">
        <v>356</v>
      </c>
      <c r="H320" s="134"/>
      <c r="I320" s="135"/>
      <c r="J320" s="136">
        <f t="shared" ref="J320:O320" si="96">SUM(J311:J312)-SUM(J314:J319)</f>
        <v>0</v>
      </c>
      <c r="K320" s="136">
        <f t="shared" si="96"/>
        <v>0</v>
      </c>
      <c r="L320" s="136">
        <f t="shared" si="96"/>
        <v>-67834.523666739959</v>
      </c>
      <c r="M320" s="136">
        <f t="shared" si="96"/>
        <v>0</v>
      </c>
      <c r="N320" s="136">
        <f t="shared" si="96"/>
        <v>0</v>
      </c>
      <c r="O320" s="136">
        <f t="shared" si="96"/>
        <v>-67834.523666739959</v>
      </c>
    </row>
  </sheetData>
  <mergeCells count="1">
    <mergeCell ref="G282:I282"/>
  </mergeCells>
  <pageMargins left="0.7" right="0.7" top="0.75" bottom="0.75" header="0.3" footer="0.3"/>
  <pageSetup scale="34" fitToHeight="0" orientation="portrait" r:id="rId1"/>
  <rowBreaks count="2" manualBreakCount="2">
    <brk id="90" min="6" max="19" man="1"/>
    <brk id="201" min="6"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363F-DF41-45F1-80D3-BC2C2EE04FFF}">
  <sheetPr>
    <pageSetUpPr fitToPage="1"/>
  </sheetPr>
  <dimension ref="A1:P320"/>
  <sheetViews>
    <sheetView topLeftCell="F1" zoomScale="75" zoomScaleNormal="75" workbookViewId="0">
      <pane xSplit="4" ySplit="1" topLeftCell="J253" activePane="bottomRight" state="frozen"/>
      <selection activeCell="J80" sqref="J80"/>
      <selection pane="topRight" activeCell="J80" sqref="J80"/>
      <selection pane="bottomLeft" activeCell="J80" sqref="J80"/>
      <selection pane="bottomRight" activeCell="J79" sqref="J79"/>
    </sheetView>
  </sheetViews>
  <sheetFormatPr defaultColWidth="8.7109375" defaultRowHeight="15.75" x14ac:dyDescent="0.25"/>
  <cols>
    <col min="1" max="1" width="46.7109375" style="1" customWidth="1"/>
    <col min="2" max="2" width="24.5703125" style="1" customWidth="1"/>
    <col min="3" max="3" width="31.28515625" style="1" customWidth="1"/>
    <col min="4" max="4" width="41.7109375" style="1" customWidth="1"/>
    <col min="5" max="5" width="57.28515625" style="1" bestFit="1" customWidth="1"/>
    <col min="6" max="8" width="1.7109375" style="1" customWidth="1"/>
    <col min="9" max="9" width="53.85546875" style="11" bestFit="1" customWidth="1"/>
    <col min="10" max="15" width="18.5703125" style="1" customWidth="1"/>
    <col min="16" max="16" width="6.28515625" style="1" bestFit="1" customWidth="1"/>
    <col min="17" max="16384" width="8.7109375" style="1"/>
  </cols>
  <sheetData>
    <row r="1" spans="1:16" x14ac:dyDescent="0.25">
      <c r="B1" s="2" t="s">
        <v>0</v>
      </c>
      <c r="C1" s="2"/>
      <c r="G1" s="3"/>
      <c r="I1" s="4" t="s">
        <v>400</v>
      </c>
      <c r="J1" s="4" t="s">
        <v>10</v>
      </c>
      <c r="K1" s="144" t="s">
        <v>44</v>
      </c>
      <c r="L1" s="144" t="s">
        <v>40</v>
      </c>
      <c r="M1" s="144" t="s">
        <v>45</v>
      </c>
      <c r="N1" s="144" t="s">
        <v>46</v>
      </c>
      <c r="O1" s="144" t="s">
        <v>384</v>
      </c>
    </row>
    <row r="2" spans="1:16" x14ac:dyDescent="0.25">
      <c r="B2" s="2" t="s">
        <v>1</v>
      </c>
      <c r="C2" s="2"/>
      <c r="I2" s="5" t="s">
        <v>2</v>
      </c>
      <c r="J2" s="6">
        <f>ROUND(9486*1.015*1.015*1.015*1.015,0)</f>
        <v>10068</v>
      </c>
      <c r="K2" s="6"/>
      <c r="L2" s="6"/>
      <c r="M2" s="6"/>
      <c r="N2" s="6"/>
      <c r="O2" s="6">
        <f>SUM(J2:N2)</f>
        <v>10068</v>
      </c>
    </row>
    <row r="3" spans="1:16" x14ac:dyDescent="0.25">
      <c r="I3" s="7" t="s">
        <v>3</v>
      </c>
      <c r="J3" s="8">
        <f>J4+J5+J6+J7+J8+J9+J10+J11+J12+J13+J14+J15+J16</f>
        <v>185</v>
      </c>
      <c r="K3" s="8"/>
      <c r="L3" s="8"/>
      <c r="M3" s="8"/>
      <c r="N3" s="8"/>
      <c r="O3" s="8">
        <f t="shared" ref="O3" si="0">O4+O5+O6+O7+O8+O9+O10+O11+O12+O13+O14+O15+O16</f>
        <v>185</v>
      </c>
    </row>
    <row r="4" spans="1:16" x14ac:dyDescent="0.25">
      <c r="A4" s="4" t="s">
        <v>4</v>
      </c>
      <c r="C4" s="4" t="s">
        <v>5</v>
      </c>
      <c r="D4" s="4" t="s">
        <v>6</v>
      </c>
      <c r="E4" s="4" t="s">
        <v>7</v>
      </c>
      <c r="I4" s="9" t="s">
        <v>8</v>
      </c>
      <c r="J4" s="10">
        <v>0</v>
      </c>
      <c r="K4" s="10"/>
      <c r="L4" s="10"/>
      <c r="M4" s="10"/>
      <c r="N4" s="10"/>
      <c r="O4" s="10">
        <f>SUM(J4:N4)</f>
        <v>0</v>
      </c>
    </row>
    <row r="5" spans="1:16" x14ac:dyDescent="0.25">
      <c r="A5" s="11" t="s">
        <v>9</v>
      </c>
      <c r="B5" s="11" t="s">
        <v>10</v>
      </c>
      <c r="C5" s="12" t="e">
        <f>SUMIF('30-31'!$D$68:$D$88,A5,'30-31'!#REF!)</f>
        <v>#REF!</v>
      </c>
      <c r="D5" s="12" t="e">
        <f>SUMIF('30-31'!$D$92:$D$289,A5,'30-31'!#REF!)</f>
        <v>#REF!</v>
      </c>
      <c r="E5" s="13" t="e">
        <f t="shared" ref="E5:E12" si="1">C5-D5</f>
        <v>#REF!</v>
      </c>
      <c r="I5" s="7" t="s">
        <v>11</v>
      </c>
      <c r="J5" s="10">
        <v>0</v>
      </c>
      <c r="K5" s="10"/>
      <c r="L5" s="10"/>
      <c r="M5" s="10"/>
      <c r="N5" s="10"/>
      <c r="O5" s="10">
        <f t="shared" ref="O5:O16" si="2">SUM(J5:N5)</f>
        <v>0</v>
      </c>
    </row>
    <row r="6" spans="1:16" x14ac:dyDescent="0.25">
      <c r="A6" s="11" t="s">
        <v>12</v>
      </c>
      <c r="B6" s="11" t="s">
        <v>13</v>
      </c>
      <c r="C6" s="12" t="e">
        <f>SUMIF('30-31'!$D$68:$D$88,A6,'30-31'!#REF!)</f>
        <v>#REF!</v>
      </c>
      <c r="D6" s="12" t="e">
        <f>SUMIF('30-31'!$D$92:$D$289,A6,'30-31'!#REF!)</f>
        <v>#REF!</v>
      </c>
      <c r="E6" s="13" t="e">
        <f t="shared" si="1"/>
        <v>#REF!</v>
      </c>
      <c r="I6" s="7" t="s">
        <v>14</v>
      </c>
      <c r="J6" s="10">
        <v>0</v>
      </c>
      <c r="K6" s="10"/>
      <c r="L6" s="10"/>
      <c r="M6" s="10"/>
      <c r="N6" s="10"/>
      <c r="O6" s="10">
        <f t="shared" si="2"/>
        <v>0</v>
      </c>
    </row>
    <row r="7" spans="1:16" x14ac:dyDescent="0.25">
      <c r="A7" s="11" t="s">
        <v>15</v>
      </c>
      <c r="B7" s="11" t="s">
        <v>16</v>
      </c>
      <c r="C7" s="12" t="e">
        <f>SUMIF('30-31'!$D$68:$D$88,A7,'30-31'!#REF!)</f>
        <v>#REF!</v>
      </c>
      <c r="D7" s="12" t="e">
        <f>SUMIF('30-31'!$D$92:$D$289,A7,'30-31'!#REF!)</f>
        <v>#REF!</v>
      </c>
      <c r="E7" s="13" t="e">
        <f t="shared" si="1"/>
        <v>#REF!</v>
      </c>
      <c r="I7" s="14" t="s">
        <v>17</v>
      </c>
      <c r="J7" s="10">
        <v>0</v>
      </c>
      <c r="K7" s="10"/>
      <c r="L7" s="10"/>
      <c r="M7" s="10"/>
      <c r="N7" s="10"/>
      <c r="O7" s="10">
        <f t="shared" si="2"/>
        <v>0</v>
      </c>
    </row>
    <row r="8" spans="1:16" x14ac:dyDescent="0.25">
      <c r="A8" s="11" t="s">
        <v>18</v>
      </c>
      <c r="B8" s="11" t="s">
        <v>19</v>
      </c>
      <c r="C8" s="12" t="e">
        <f>SUMIF('30-31'!$D$68:$D$88,A8,'30-31'!#REF!)</f>
        <v>#REF!</v>
      </c>
      <c r="D8" s="12" t="e">
        <f>SUMIF('30-31'!$D$92:$D$289,A8,'30-31'!#REF!)</f>
        <v>#REF!</v>
      </c>
      <c r="E8" s="13" t="e">
        <f t="shared" si="1"/>
        <v>#REF!</v>
      </c>
      <c r="I8" s="14" t="s">
        <v>20</v>
      </c>
      <c r="J8" s="10">
        <v>0</v>
      </c>
      <c r="K8" s="10"/>
      <c r="L8" s="10"/>
      <c r="M8" s="10"/>
      <c r="N8" s="10"/>
      <c r="O8" s="10">
        <f t="shared" si="2"/>
        <v>0</v>
      </c>
    </row>
    <row r="9" spans="1:16" x14ac:dyDescent="0.25">
      <c r="A9" s="11" t="s">
        <v>21</v>
      </c>
      <c r="B9" s="11" t="s">
        <v>22</v>
      </c>
      <c r="C9" s="12" t="e">
        <f>SUMIF('30-31'!$D$68:$D$88,A9,'30-31'!#REF!)</f>
        <v>#REF!</v>
      </c>
      <c r="D9" s="12" t="e">
        <f>SUMIF('30-31'!$D$92:$D$289,A9,'30-31'!#REF!)</f>
        <v>#REF!</v>
      </c>
      <c r="E9" s="13" t="e">
        <f t="shared" si="1"/>
        <v>#REF!</v>
      </c>
      <c r="I9" s="14" t="s">
        <v>23</v>
      </c>
      <c r="J9" s="10">
        <v>0</v>
      </c>
      <c r="K9" s="10"/>
      <c r="L9" s="10"/>
      <c r="M9" s="10"/>
      <c r="N9" s="10"/>
      <c r="O9" s="10">
        <f t="shared" si="2"/>
        <v>0</v>
      </c>
    </row>
    <row r="10" spans="1:16" x14ac:dyDescent="0.25">
      <c r="A10" s="11" t="s">
        <v>24</v>
      </c>
      <c r="B10" s="11" t="s">
        <v>25</v>
      </c>
      <c r="C10" s="12" t="e">
        <f>SUMIF('30-31'!$D$68:$D$88,A10,'30-31'!#REF!)</f>
        <v>#REF!</v>
      </c>
      <c r="D10" s="12" t="e">
        <f>SUMIF('30-31'!$D$92:$D$289,A10,'30-31'!#REF!)</f>
        <v>#REF!</v>
      </c>
      <c r="E10" s="13" t="e">
        <f t="shared" si="1"/>
        <v>#REF!</v>
      </c>
      <c r="I10" s="14" t="s">
        <v>26</v>
      </c>
      <c r="J10" s="15">
        <v>30</v>
      </c>
      <c r="K10" s="15"/>
      <c r="L10" s="15"/>
      <c r="M10" s="15"/>
      <c r="N10" s="15"/>
      <c r="O10" s="10">
        <f t="shared" si="2"/>
        <v>30</v>
      </c>
      <c r="P10" s="157">
        <v>1</v>
      </c>
    </row>
    <row r="11" spans="1:16" x14ac:dyDescent="0.25">
      <c r="A11" s="11" t="s">
        <v>27</v>
      </c>
      <c r="B11" s="11" t="s">
        <v>28</v>
      </c>
      <c r="C11" s="12" t="e">
        <f>SUMIF('30-31'!$D$68:$D$88,A11,'30-31'!#REF!)</f>
        <v>#REF!</v>
      </c>
      <c r="D11" s="12" t="e">
        <f>SUMIF('30-31'!$D$92:$D$289,A11,'30-31'!#REF!)</f>
        <v>#REF!</v>
      </c>
      <c r="E11" s="13" t="e">
        <f t="shared" si="1"/>
        <v>#REF!</v>
      </c>
      <c r="I11" s="14" t="s">
        <v>29</v>
      </c>
      <c r="J11" s="15">
        <v>30</v>
      </c>
      <c r="K11" s="15"/>
      <c r="L11" s="15"/>
      <c r="M11" s="15"/>
      <c r="N11" s="15"/>
      <c r="O11" s="10">
        <f t="shared" si="2"/>
        <v>30</v>
      </c>
      <c r="P11" s="157">
        <v>1</v>
      </c>
    </row>
    <row r="12" spans="1:16" x14ac:dyDescent="0.25">
      <c r="A12" s="11" t="s">
        <v>30</v>
      </c>
      <c r="B12" s="11" t="s">
        <v>31</v>
      </c>
      <c r="C12" s="12" t="e">
        <f>SUMIF('30-31'!$D$68:$D$88,A12,'30-31'!#REF!)</f>
        <v>#REF!</v>
      </c>
      <c r="D12" s="12" t="e">
        <f>SUMIF('30-31'!$D$92:$D$289,A12,'30-31'!#REF!)</f>
        <v>#REF!</v>
      </c>
      <c r="E12" s="13" t="e">
        <f t="shared" si="1"/>
        <v>#REF!</v>
      </c>
      <c r="I12" s="14" t="s">
        <v>32</v>
      </c>
      <c r="J12" s="15">
        <v>30</v>
      </c>
      <c r="K12" s="15"/>
      <c r="L12" s="15"/>
      <c r="M12" s="15"/>
      <c r="N12" s="15"/>
      <c r="O12" s="10">
        <f t="shared" si="2"/>
        <v>30</v>
      </c>
      <c r="P12" s="157">
        <v>1</v>
      </c>
    </row>
    <row r="13" spans="1:16" x14ac:dyDescent="0.25">
      <c r="A13" s="16" t="s">
        <v>33</v>
      </c>
      <c r="B13" s="11" t="s">
        <v>34</v>
      </c>
      <c r="C13" s="12" t="e">
        <f>SUMIF('30-31'!$D$68:$D$88,A13,'30-31'!#REF!)</f>
        <v>#REF!</v>
      </c>
      <c r="D13" s="12" t="e">
        <f>SUMIF('30-31'!$D$92:$D$289,A13,'30-31'!#REF!)</f>
        <v>#REF!</v>
      </c>
      <c r="E13" s="13" t="e">
        <f>C13-D13</f>
        <v>#REF!</v>
      </c>
      <c r="I13" s="14" t="s">
        <v>35</v>
      </c>
      <c r="J13" s="15">
        <v>30</v>
      </c>
      <c r="K13" s="15"/>
      <c r="L13" s="15"/>
      <c r="M13" s="15"/>
      <c r="N13" s="15"/>
      <c r="O13" s="10">
        <f t="shared" si="2"/>
        <v>30</v>
      </c>
      <c r="P13" s="157">
        <v>1</v>
      </c>
    </row>
    <row r="14" spans="1:16" x14ac:dyDescent="0.25">
      <c r="A14" s="11" t="s">
        <v>36</v>
      </c>
      <c r="B14" s="11" t="s">
        <v>37</v>
      </c>
      <c r="C14" s="12" t="e">
        <f>SUMIF('30-31'!$D$68:$D$88,A14,'30-31'!#REF!)</f>
        <v>#REF!</v>
      </c>
      <c r="D14" s="12" t="e">
        <f>SUMIF('30-31'!$D$92:$D$289,A14,'30-31'!#REF!)</f>
        <v>#REF!</v>
      </c>
      <c r="E14" s="13" t="e">
        <f>C14-D14</f>
        <v>#REF!</v>
      </c>
      <c r="I14" s="14" t="s">
        <v>38</v>
      </c>
      <c r="J14" s="15">
        <v>30</v>
      </c>
      <c r="K14" s="15"/>
      <c r="L14" s="15"/>
      <c r="M14" s="15"/>
      <c r="N14" s="15"/>
      <c r="O14" s="10">
        <f t="shared" si="2"/>
        <v>30</v>
      </c>
      <c r="P14" s="157">
        <v>1</v>
      </c>
    </row>
    <row r="15" spans="1:16" x14ac:dyDescent="0.25">
      <c r="A15" s="11" t="s">
        <v>39</v>
      </c>
      <c r="B15" s="11" t="s">
        <v>40</v>
      </c>
      <c r="C15" s="12" t="e">
        <f>SUMIF('30-31'!$D$68:$D$88,A15,'30-31'!#REF!)</f>
        <v>#REF!</v>
      </c>
      <c r="D15" s="12" t="e">
        <f>SUMIF('30-31'!$D$92:$D$289,A15,'30-31'!#REF!)</f>
        <v>#REF!</v>
      </c>
      <c r="E15" s="13" t="e">
        <f>C15-D15</f>
        <v>#REF!</v>
      </c>
      <c r="I15" s="14" t="s">
        <v>41</v>
      </c>
      <c r="J15" s="15">
        <v>20</v>
      </c>
      <c r="K15" s="15"/>
      <c r="L15" s="15"/>
      <c r="M15" s="15"/>
      <c r="N15" s="15"/>
      <c r="O15" s="10">
        <f t="shared" si="2"/>
        <v>20</v>
      </c>
      <c r="P15" s="157">
        <v>1</v>
      </c>
    </row>
    <row r="16" spans="1:16" x14ac:dyDescent="0.25">
      <c r="A16" s="17"/>
      <c r="C16" s="4"/>
      <c r="D16" s="4"/>
      <c r="E16" s="4"/>
      <c r="I16" s="14" t="s">
        <v>42</v>
      </c>
      <c r="J16" s="10">
        <v>15</v>
      </c>
      <c r="K16" s="10"/>
      <c r="L16" s="10"/>
      <c r="M16" s="10"/>
      <c r="N16" s="10"/>
      <c r="O16" s="10">
        <f t="shared" si="2"/>
        <v>15</v>
      </c>
      <c r="P16" s="157">
        <v>1</v>
      </c>
    </row>
    <row r="17" spans="1:16" x14ac:dyDescent="0.25">
      <c r="A17" s="4"/>
      <c r="C17" s="18" t="e">
        <f>SUM(C5:C16)</f>
        <v>#REF!</v>
      </c>
      <c r="D17" s="18" t="e">
        <f>SUM(D5:D16)</f>
        <v>#REF!</v>
      </c>
      <c r="E17" s="18" t="e">
        <f>SUM(E5:E16)</f>
        <v>#REF!</v>
      </c>
      <c r="I17" s="19" t="s">
        <v>3</v>
      </c>
      <c r="J17" s="8">
        <f>SUM(J4:J16)</f>
        <v>185</v>
      </c>
      <c r="K17" s="8">
        <f t="shared" ref="K17:O17" si="3">SUM(K4:K16)</f>
        <v>0</v>
      </c>
      <c r="L17" s="8">
        <f t="shared" si="3"/>
        <v>0</v>
      </c>
      <c r="M17" s="8">
        <f t="shared" si="3"/>
        <v>0</v>
      </c>
      <c r="N17" s="8">
        <f t="shared" si="3"/>
        <v>0</v>
      </c>
      <c r="O17" s="8">
        <f t="shared" si="3"/>
        <v>185</v>
      </c>
      <c r="P17" s="157">
        <f>SUM(P4:P16)</f>
        <v>7</v>
      </c>
    </row>
    <row r="18" spans="1:16" x14ac:dyDescent="0.25">
      <c r="A18" s="11"/>
      <c r="C18" s="20" t="e">
        <f>C17=('30-31'!#REF!+'30-31'!#REF!)</f>
        <v>#REF!</v>
      </c>
      <c r="D18" s="1" t="e">
        <f>D17=('30-31'!#REF!+'30-31'!#REF!)</f>
        <v>#REF!</v>
      </c>
      <c r="E18" s="20" t="e">
        <f>ROUND(E17,2)=ROUND('30-31'!#REF!,2)</f>
        <v>#REF!</v>
      </c>
    </row>
    <row r="20" spans="1:16" x14ac:dyDescent="0.25">
      <c r="I20" s="21" t="s">
        <v>43</v>
      </c>
      <c r="J20" s="22" t="s">
        <v>10</v>
      </c>
      <c r="K20" s="22" t="s">
        <v>44</v>
      </c>
      <c r="L20" s="22" t="s">
        <v>40</v>
      </c>
      <c r="M20" s="22" t="s">
        <v>45</v>
      </c>
      <c r="N20" s="22" t="s">
        <v>46</v>
      </c>
      <c r="O20" s="22" t="s">
        <v>47</v>
      </c>
    </row>
    <row r="21" spans="1:16" x14ac:dyDescent="0.25">
      <c r="I21" s="14" t="s">
        <v>49</v>
      </c>
      <c r="J21" s="10">
        <v>0</v>
      </c>
      <c r="K21" s="10">
        <f>ROUND(('29-30'!K21/'29-30'!J17)*'30-31'!J17,0)</f>
        <v>21</v>
      </c>
      <c r="L21" s="10"/>
      <c r="M21" s="10"/>
      <c r="N21" s="10"/>
      <c r="O21" s="10">
        <f>SUM(J21:N21)</f>
        <v>21</v>
      </c>
    </row>
    <row r="22" spans="1:16" x14ac:dyDescent="0.25">
      <c r="I22" s="14" t="s">
        <v>50</v>
      </c>
      <c r="J22" s="10">
        <f>ROUND(('29-30'!J22/'29-30'!J17)*'30-31'!J17,0)</f>
        <v>25</v>
      </c>
      <c r="K22" s="10"/>
      <c r="L22" s="10"/>
      <c r="M22" s="10"/>
      <c r="N22" s="10"/>
      <c r="O22" s="10">
        <f t="shared" ref="O22:O25" si="4">SUM(J22:N22)</f>
        <v>25</v>
      </c>
    </row>
    <row r="23" spans="1:16" x14ac:dyDescent="0.25">
      <c r="I23" s="14" t="s">
        <v>51</v>
      </c>
      <c r="J23" s="15">
        <v>0</v>
      </c>
      <c r="K23" s="15"/>
      <c r="L23" s="15"/>
      <c r="M23" s="15"/>
      <c r="N23" s="15"/>
      <c r="O23" s="10">
        <f t="shared" si="4"/>
        <v>0</v>
      </c>
    </row>
    <row r="24" spans="1:16" x14ac:dyDescent="0.25">
      <c r="I24" s="14" t="s">
        <v>52</v>
      </c>
      <c r="J24" s="15">
        <v>3</v>
      </c>
      <c r="K24" s="15"/>
      <c r="L24" s="15"/>
      <c r="M24" s="15"/>
      <c r="N24" s="15"/>
      <c r="O24" s="10">
        <f t="shared" si="4"/>
        <v>3</v>
      </c>
    </row>
    <row r="25" spans="1:16" x14ac:dyDescent="0.25">
      <c r="I25" s="14" t="s">
        <v>53</v>
      </c>
      <c r="J25" s="23"/>
      <c r="K25" s="23"/>
      <c r="L25" s="23">
        <v>1</v>
      </c>
      <c r="M25" s="23"/>
      <c r="N25" s="23"/>
      <c r="O25" s="24">
        <f t="shared" si="4"/>
        <v>1</v>
      </c>
    </row>
    <row r="26" spans="1:16" x14ac:dyDescent="0.25">
      <c r="I26" s="25" t="s">
        <v>54</v>
      </c>
      <c r="J26" s="22" t="str">
        <f>J20</f>
        <v>Operating</v>
      </c>
      <c r="K26" s="22" t="str">
        <f t="shared" ref="K26:O26" si="5">K20</f>
        <v>SPED</v>
      </c>
      <c r="L26" s="22" t="str">
        <f t="shared" si="5"/>
        <v>NSLP</v>
      </c>
      <c r="M26" s="22" t="str">
        <f t="shared" si="5"/>
        <v>Title(s)</v>
      </c>
      <c r="N26" s="22" t="str">
        <f t="shared" si="5"/>
        <v>Other</v>
      </c>
      <c r="O26" s="22" t="str">
        <f t="shared" si="5"/>
        <v>Total</v>
      </c>
    </row>
    <row r="27" spans="1:16" x14ac:dyDescent="0.25">
      <c r="I27" s="26" t="s">
        <v>55</v>
      </c>
      <c r="J27" s="27">
        <v>7</v>
      </c>
      <c r="K27" s="27"/>
      <c r="L27" s="27"/>
      <c r="M27" s="27"/>
      <c r="N27" s="27"/>
      <c r="O27" s="27">
        <f>SUM(J27:N27)</f>
        <v>7</v>
      </c>
    </row>
    <row r="28" spans="1:16" x14ac:dyDescent="0.25">
      <c r="I28" s="26" t="s">
        <v>56</v>
      </c>
      <c r="J28" s="28"/>
      <c r="K28" s="28">
        <v>1</v>
      </c>
      <c r="L28" s="28"/>
      <c r="M28" s="28"/>
      <c r="N28" s="28"/>
      <c r="O28" s="27">
        <f t="shared" ref="O28:O35" si="6">SUM(J28:N28)</f>
        <v>1</v>
      </c>
    </row>
    <row r="29" spans="1:16" x14ac:dyDescent="0.25">
      <c r="I29" s="26" t="s">
        <v>57</v>
      </c>
      <c r="J29" s="27">
        <v>0</v>
      </c>
      <c r="K29" s="27"/>
      <c r="L29" s="27"/>
      <c r="M29" s="27"/>
      <c r="N29" s="27"/>
      <c r="O29" s="27">
        <f t="shared" si="6"/>
        <v>0</v>
      </c>
    </row>
    <row r="30" spans="1:16" x14ac:dyDescent="0.25">
      <c r="I30" s="26" t="s">
        <v>58</v>
      </c>
      <c r="J30" s="27">
        <v>0</v>
      </c>
      <c r="K30" s="27"/>
      <c r="L30" s="27"/>
      <c r="M30" s="27"/>
      <c r="N30" s="27"/>
      <c r="O30" s="27">
        <f t="shared" si="6"/>
        <v>0</v>
      </c>
    </row>
    <row r="31" spans="1:16" x14ac:dyDescent="0.25">
      <c r="I31" s="26" t="s">
        <v>59</v>
      </c>
      <c r="J31" s="27">
        <v>0</v>
      </c>
      <c r="K31" s="27"/>
      <c r="L31" s="27"/>
      <c r="M31" s="27"/>
      <c r="N31" s="27"/>
      <c r="O31" s="27">
        <f t="shared" si="6"/>
        <v>0</v>
      </c>
    </row>
    <row r="32" spans="1:16" x14ac:dyDescent="0.25">
      <c r="I32" s="29" t="s">
        <v>60</v>
      </c>
      <c r="J32" s="27">
        <v>0</v>
      </c>
      <c r="K32" s="27"/>
      <c r="L32" s="27"/>
      <c r="M32" s="27"/>
      <c r="N32" s="27"/>
      <c r="O32" s="27">
        <f t="shared" si="6"/>
        <v>0</v>
      </c>
    </row>
    <row r="33" spans="9:15" x14ac:dyDescent="0.25">
      <c r="I33" s="29" t="s">
        <v>61</v>
      </c>
      <c r="J33" s="27">
        <v>0</v>
      </c>
      <c r="K33" s="27"/>
      <c r="L33" s="27"/>
      <c r="M33" s="27"/>
      <c r="N33" s="27"/>
      <c r="O33" s="27">
        <f t="shared" si="6"/>
        <v>0</v>
      </c>
    </row>
    <row r="34" spans="9:15" x14ac:dyDescent="0.25">
      <c r="I34" s="29" t="s">
        <v>62</v>
      </c>
      <c r="J34" s="27">
        <v>1</v>
      </c>
      <c r="K34" s="27"/>
      <c r="L34" s="27"/>
      <c r="M34" s="27"/>
      <c r="N34" s="27"/>
      <c r="O34" s="27">
        <f t="shared" si="6"/>
        <v>1</v>
      </c>
    </row>
    <row r="35" spans="9:15" x14ac:dyDescent="0.25">
      <c r="I35" s="30" t="s">
        <v>63</v>
      </c>
      <c r="J35" s="27">
        <v>0</v>
      </c>
      <c r="K35" s="27"/>
      <c r="L35" s="27"/>
      <c r="M35" s="27"/>
      <c r="N35" s="27"/>
      <c r="O35" s="27">
        <f t="shared" si="6"/>
        <v>0</v>
      </c>
    </row>
    <row r="36" spans="9:15" x14ac:dyDescent="0.25">
      <c r="I36" s="25" t="s">
        <v>64</v>
      </c>
      <c r="J36" s="31">
        <f t="shared" ref="J36:O36" si="7">SUM(J27:J35)</f>
        <v>8</v>
      </c>
      <c r="K36" s="31">
        <f t="shared" si="7"/>
        <v>1</v>
      </c>
      <c r="L36" s="31">
        <f t="shared" si="7"/>
        <v>0</v>
      </c>
      <c r="M36" s="31">
        <f t="shared" si="7"/>
        <v>0</v>
      </c>
      <c r="N36" s="31">
        <f t="shared" si="7"/>
        <v>0</v>
      </c>
      <c r="O36" s="31">
        <f t="shared" si="7"/>
        <v>9</v>
      </c>
    </row>
    <row r="37" spans="9:15" x14ac:dyDescent="0.25">
      <c r="I37" s="32"/>
      <c r="J37" s="10"/>
      <c r="K37" s="10"/>
      <c r="L37" s="10"/>
      <c r="M37" s="10"/>
      <c r="N37" s="10"/>
      <c r="O37" s="10"/>
    </row>
    <row r="38" spans="9:15" x14ac:dyDescent="0.25">
      <c r="I38" s="25" t="s">
        <v>65</v>
      </c>
      <c r="J38" s="22" t="str">
        <f>J20</f>
        <v>Operating</v>
      </c>
      <c r="K38" s="22" t="str">
        <f t="shared" ref="K38:N38" si="8">K20</f>
        <v>SPED</v>
      </c>
      <c r="L38" s="22" t="str">
        <f t="shared" si="8"/>
        <v>NSLP</v>
      </c>
      <c r="M38" s="22" t="str">
        <f t="shared" si="8"/>
        <v>Title(s)</v>
      </c>
      <c r="N38" s="22" t="str">
        <f t="shared" si="8"/>
        <v>Other</v>
      </c>
      <c r="O38" s="22" t="str">
        <f>O20</f>
        <v>Total</v>
      </c>
    </row>
    <row r="39" spans="9:15" x14ac:dyDescent="0.25">
      <c r="I39" s="29" t="s">
        <v>402</v>
      </c>
      <c r="J39" s="28">
        <v>0</v>
      </c>
      <c r="K39" s="28"/>
      <c r="L39" s="28"/>
      <c r="M39" s="28"/>
      <c r="N39" s="28"/>
      <c r="O39" s="27">
        <f>SUM(J39:N39)</f>
        <v>0</v>
      </c>
    </row>
    <row r="40" spans="9:15" x14ac:dyDescent="0.25">
      <c r="I40" s="29" t="s">
        <v>66</v>
      </c>
      <c r="J40" s="28">
        <v>1</v>
      </c>
      <c r="K40" s="28"/>
      <c r="L40" s="28"/>
      <c r="M40" s="28"/>
      <c r="N40" s="28"/>
      <c r="O40" s="27">
        <f t="shared" ref="O40:O60" si="9">SUM(J40:N40)</f>
        <v>1</v>
      </c>
    </row>
    <row r="41" spans="9:15" x14ac:dyDescent="0.25">
      <c r="I41" s="33" t="s">
        <v>67</v>
      </c>
      <c r="J41" s="28"/>
      <c r="K41" s="28"/>
      <c r="L41" s="28"/>
      <c r="M41" s="28">
        <v>0</v>
      </c>
      <c r="N41" s="28"/>
      <c r="O41" s="27">
        <f t="shared" si="9"/>
        <v>0</v>
      </c>
    </row>
    <row r="42" spans="9:15" x14ac:dyDescent="0.25">
      <c r="I42" s="29" t="s">
        <v>68</v>
      </c>
      <c r="J42" s="28">
        <v>0</v>
      </c>
      <c r="K42" s="28"/>
      <c r="L42" s="28"/>
      <c r="M42" s="28"/>
      <c r="N42" s="28"/>
      <c r="O42" s="27">
        <f t="shared" si="9"/>
        <v>0</v>
      </c>
    </row>
    <row r="43" spans="9:15" x14ac:dyDescent="0.25">
      <c r="I43" s="29" t="s">
        <v>69</v>
      </c>
      <c r="J43" s="28">
        <v>0</v>
      </c>
      <c r="K43" s="28"/>
      <c r="L43" s="28"/>
      <c r="M43" s="28"/>
      <c r="N43" s="28"/>
      <c r="O43" s="27">
        <f t="shared" si="9"/>
        <v>0</v>
      </c>
    </row>
    <row r="44" spans="9:15" x14ac:dyDescent="0.25">
      <c r="I44" s="29" t="s">
        <v>70</v>
      </c>
      <c r="J44" s="28">
        <v>1</v>
      </c>
      <c r="K44" s="28"/>
      <c r="L44" s="28"/>
      <c r="M44" s="28"/>
      <c r="N44" s="28"/>
      <c r="O44" s="27">
        <f t="shared" si="9"/>
        <v>1</v>
      </c>
    </row>
    <row r="45" spans="9:15" x14ac:dyDescent="0.25">
      <c r="I45" s="29" t="s">
        <v>71</v>
      </c>
      <c r="J45" s="28">
        <v>0</v>
      </c>
      <c r="K45" s="28"/>
      <c r="L45" s="28"/>
      <c r="M45" s="28"/>
      <c r="N45" s="28"/>
      <c r="O45" s="27">
        <f t="shared" si="9"/>
        <v>0</v>
      </c>
    </row>
    <row r="46" spans="9:15" x14ac:dyDescent="0.25">
      <c r="I46" s="29" t="s">
        <v>72</v>
      </c>
      <c r="J46" s="28">
        <v>1</v>
      </c>
      <c r="K46" s="28"/>
      <c r="L46" s="28"/>
      <c r="M46" s="28"/>
      <c r="N46" s="28"/>
      <c r="O46" s="27">
        <f t="shared" si="9"/>
        <v>1</v>
      </c>
    </row>
    <row r="47" spans="9:15" x14ac:dyDescent="0.25">
      <c r="I47" s="29" t="s">
        <v>73</v>
      </c>
      <c r="J47" s="28">
        <v>0</v>
      </c>
      <c r="K47" s="28"/>
      <c r="L47" s="28"/>
      <c r="M47" s="28"/>
      <c r="N47" s="28"/>
      <c r="O47" s="27">
        <f t="shared" si="9"/>
        <v>0</v>
      </c>
    </row>
    <row r="48" spans="9:15" x14ac:dyDescent="0.25">
      <c r="I48" s="29" t="s">
        <v>74</v>
      </c>
      <c r="J48" s="28">
        <v>0</v>
      </c>
      <c r="K48" s="28"/>
      <c r="L48" s="28"/>
      <c r="M48" s="28"/>
      <c r="N48" s="28"/>
      <c r="O48" s="27">
        <f t="shared" si="9"/>
        <v>0</v>
      </c>
    </row>
    <row r="49" spans="9:15" x14ac:dyDescent="0.25">
      <c r="I49" s="29" t="s">
        <v>75</v>
      </c>
      <c r="J49" s="28">
        <v>0</v>
      </c>
      <c r="K49" s="28"/>
      <c r="L49" s="28"/>
      <c r="M49" s="28"/>
      <c r="N49" s="28"/>
      <c r="O49" s="27">
        <f t="shared" si="9"/>
        <v>0</v>
      </c>
    </row>
    <row r="50" spans="9:15" x14ac:dyDescent="0.25">
      <c r="I50" s="29" t="s">
        <v>76</v>
      </c>
      <c r="J50" s="28">
        <v>0</v>
      </c>
      <c r="K50" s="28"/>
      <c r="L50" s="28"/>
      <c r="M50" s="28">
        <v>1</v>
      </c>
      <c r="N50" s="28"/>
      <c r="O50" s="27">
        <f t="shared" si="9"/>
        <v>1</v>
      </c>
    </row>
    <row r="51" spans="9:15" x14ac:dyDescent="0.25">
      <c r="I51" s="29" t="s">
        <v>77</v>
      </c>
      <c r="J51" s="28">
        <v>0</v>
      </c>
      <c r="K51" s="28"/>
      <c r="L51" s="28"/>
      <c r="M51" s="28"/>
      <c r="N51" s="28"/>
      <c r="O51" s="27">
        <f t="shared" si="9"/>
        <v>0</v>
      </c>
    </row>
    <row r="52" spans="9:15" x14ac:dyDescent="0.25">
      <c r="I52" s="29" t="s">
        <v>78</v>
      </c>
      <c r="J52" s="28"/>
      <c r="K52" s="28"/>
      <c r="L52" s="28">
        <v>1</v>
      </c>
      <c r="M52" s="28"/>
      <c r="N52" s="28"/>
      <c r="O52" s="27">
        <f t="shared" si="9"/>
        <v>1</v>
      </c>
    </row>
    <row r="53" spans="9:15" x14ac:dyDescent="0.25">
      <c r="I53" s="29" t="s">
        <v>79</v>
      </c>
      <c r="J53" s="28">
        <v>0</v>
      </c>
      <c r="K53" s="28"/>
      <c r="L53" s="28"/>
      <c r="M53" s="28"/>
      <c r="N53" s="28"/>
      <c r="O53" s="27">
        <f t="shared" si="9"/>
        <v>0</v>
      </c>
    </row>
    <row r="54" spans="9:15" x14ac:dyDescent="0.25">
      <c r="I54" s="33" t="s">
        <v>80</v>
      </c>
      <c r="J54" s="28">
        <v>0</v>
      </c>
      <c r="K54" s="28"/>
      <c r="L54" s="28"/>
      <c r="M54" s="28"/>
      <c r="N54" s="28"/>
      <c r="O54" s="27">
        <f t="shared" si="9"/>
        <v>0</v>
      </c>
    </row>
    <row r="55" spans="9:15" x14ac:dyDescent="0.25">
      <c r="I55" s="33" t="s">
        <v>81</v>
      </c>
      <c r="J55" s="28">
        <v>0</v>
      </c>
      <c r="K55" s="28"/>
      <c r="L55" s="28"/>
      <c r="M55" s="28"/>
      <c r="N55" s="28"/>
      <c r="O55" s="27">
        <f t="shared" si="9"/>
        <v>0</v>
      </c>
    </row>
    <row r="56" spans="9:15" x14ac:dyDescent="0.25">
      <c r="I56" s="33" t="s">
        <v>82</v>
      </c>
      <c r="J56" s="28">
        <v>0</v>
      </c>
      <c r="K56" s="28"/>
      <c r="L56" s="28"/>
      <c r="M56" s="28"/>
      <c r="N56" s="28"/>
      <c r="O56" s="27">
        <f t="shared" si="9"/>
        <v>0</v>
      </c>
    </row>
    <row r="57" spans="9:15" x14ac:dyDescent="0.25">
      <c r="I57" s="33" t="s">
        <v>83</v>
      </c>
      <c r="J57" s="28">
        <v>0</v>
      </c>
      <c r="K57" s="28"/>
      <c r="L57" s="28"/>
      <c r="M57" s="28"/>
      <c r="N57" s="28"/>
      <c r="O57" s="27">
        <f t="shared" si="9"/>
        <v>0</v>
      </c>
    </row>
    <row r="58" spans="9:15" x14ac:dyDescent="0.25">
      <c r="I58" s="33" t="s">
        <v>84</v>
      </c>
      <c r="J58" s="28">
        <v>0</v>
      </c>
      <c r="K58" s="28"/>
      <c r="L58" s="28"/>
      <c r="M58" s="28"/>
      <c r="N58" s="28"/>
      <c r="O58" s="27">
        <f t="shared" si="9"/>
        <v>0</v>
      </c>
    </row>
    <row r="59" spans="9:15" x14ac:dyDescent="0.25">
      <c r="I59" s="33" t="s">
        <v>85</v>
      </c>
      <c r="J59" s="28">
        <v>0</v>
      </c>
      <c r="K59" s="28"/>
      <c r="L59" s="28"/>
      <c r="M59" s="28"/>
      <c r="N59" s="28"/>
      <c r="O59" s="27">
        <f t="shared" si="9"/>
        <v>0</v>
      </c>
    </row>
    <row r="60" spans="9:15" x14ac:dyDescent="0.25">
      <c r="I60" s="29" t="s">
        <v>86</v>
      </c>
      <c r="J60" s="27">
        <v>0</v>
      </c>
      <c r="K60" s="27"/>
      <c r="L60" s="27"/>
      <c r="M60" s="27"/>
      <c r="N60" s="27"/>
      <c r="O60" s="27">
        <f t="shared" si="9"/>
        <v>0</v>
      </c>
    </row>
    <row r="61" spans="9:15" x14ac:dyDescent="0.25">
      <c r="I61" s="25" t="s">
        <v>87</v>
      </c>
      <c r="J61" s="31">
        <f t="shared" ref="J61:O61" si="10">SUM(J39:J60)</f>
        <v>3</v>
      </c>
      <c r="K61" s="31">
        <f t="shared" si="10"/>
        <v>0</v>
      </c>
      <c r="L61" s="31">
        <f t="shared" si="10"/>
        <v>1</v>
      </c>
      <c r="M61" s="31">
        <f t="shared" si="10"/>
        <v>1</v>
      </c>
      <c r="N61" s="31">
        <f t="shared" si="10"/>
        <v>0</v>
      </c>
      <c r="O61" s="31">
        <f t="shared" si="10"/>
        <v>5</v>
      </c>
    </row>
    <row r="62" spans="9:15" ht="16.5" thickBot="1" x14ac:dyDescent="0.3">
      <c r="I62" s="34"/>
      <c r="J62" s="35"/>
      <c r="K62" s="35"/>
      <c r="L62" s="35"/>
      <c r="M62" s="35"/>
      <c r="N62" s="35"/>
      <c r="O62" s="35"/>
    </row>
    <row r="63" spans="9:15" x14ac:dyDescent="0.25">
      <c r="I63" s="36" t="s">
        <v>88</v>
      </c>
      <c r="J63" s="37">
        <f t="shared" ref="J63:O63" si="11">J36</f>
        <v>8</v>
      </c>
      <c r="K63" s="37">
        <f t="shared" si="11"/>
        <v>1</v>
      </c>
      <c r="L63" s="37">
        <f t="shared" si="11"/>
        <v>0</v>
      </c>
      <c r="M63" s="37">
        <f t="shared" si="11"/>
        <v>0</v>
      </c>
      <c r="N63" s="37">
        <f t="shared" si="11"/>
        <v>0</v>
      </c>
      <c r="O63" s="37">
        <f t="shared" si="11"/>
        <v>9</v>
      </c>
    </row>
    <row r="64" spans="9:15" x14ac:dyDescent="0.25">
      <c r="I64" s="38" t="s">
        <v>89</v>
      </c>
      <c r="J64" s="39">
        <f t="shared" ref="J64:O64" si="12">J61</f>
        <v>3</v>
      </c>
      <c r="K64" s="39">
        <f t="shared" si="12"/>
        <v>0</v>
      </c>
      <c r="L64" s="39">
        <f t="shared" si="12"/>
        <v>1</v>
      </c>
      <c r="M64" s="39">
        <f t="shared" si="12"/>
        <v>1</v>
      </c>
      <c r="N64" s="39">
        <f t="shared" si="12"/>
        <v>0</v>
      </c>
      <c r="O64" s="39">
        <f t="shared" si="12"/>
        <v>5</v>
      </c>
    </row>
    <row r="65" spans="1:15" ht="16.5" thickBot="1" x14ac:dyDescent="0.3">
      <c r="I65" s="40" t="s">
        <v>90</v>
      </c>
      <c r="J65" s="41">
        <f t="shared" ref="J65:O65" si="13">SUM(J63:J64)</f>
        <v>11</v>
      </c>
      <c r="K65" s="41">
        <f t="shared" si="13"/>
        <v>1</v>
      </c>
      <c r="L65" s="41">
        <f t="shared" si="13"/>
        <v>1</v>
      </c>
      <c r="M65" s="41">
        <f t="shared" si="13"/>
        <v>1</v>
      </c>
      <c r="N65" s="41">
        <f t="shared" si="13"/>
        <v>0</v>
      </c>
      <c r="O65" s="41">
        <f t="shared" si="13"/>
        <v>14</v>
      </c>
    </row>
    <row r="66" spans="1:15" ht="16.5" thickBot="1" x14ac:dyDescent="0.3"/>
    <row r="67" spans="1:15" ht="16.5" thickBot="1" x14ac:dyDescent="0.3">
      <c r="A67" s="42" t="s">
        <v>5</v>
      </c>
      <c r="B67" s="42" t="s">
        <v>91</v>
      </c>
      <c r="C67" s="42" t="s">
        <v>92</v>
      </c>
      <c r="D67" s="42" t="s">
        <v>4</v>
      </c>
      <c r="E67" s="42" t="s">
        <v>93</v>
      </c>
      <c r="G67" s="43" t="s">
        <v>94</v>
      </c>
      <c r="H67" s="43"/>
      <c r="I67" s="44"/>
      <c r="J67" s="45" t="str">
        <f>J20</f>
        <v>Operating</v>
      </c>
      <c r="K67" s="45" t="str">
        <f t="shared" ref="K67:O67" si="14">K20</f>
        <v>SPED</v>
      </c>
      <c r="L67" s="45" t="str">
        <f t="shared" si="14"/>
        <v>NSLP</v>
      </c>
      <c r="M67" s="45" t="str">
        <f t="shared" si="14"/>
        <v>Title(s)</v>
      </c>
      <c r="N67" s="45" t="str">
        <f t="shared" si="14"/>
        <v>Other</v>
      </c>
      <c r="O67" s="45" t="str">
        <f t="shared" si="14"/>
        <v>Total</v>
      </c>
    </row>
    <row r="68" spans="1:15" x14ac:dyDescent="0.25">
      <c r="A68" s="46">
        <v>40010</v>
      </c>
      <c r="B68" s="47" t="s">
        <v>95</v>
      </c>
      <c r="C68" s="48">
        <f t="shared" ref="C68:C82" si="15">$C$1</f>
        <v>0</v>
      </c>
      <c r="D68" s="49" t="s">
        <v>9</v>
      </c>
      <c r="E68" s="47" t="s">
        <v>96</v>
      </c>
      <c r="I68" s="49" t="s">
        <v>97</v>
      </c>
      <c r="J68" s="50">
        <f>J17*J2</f>
        <v>1862580</v>
      </c>
      <c r="K68" s="50"/>
      <c r="L68" s="50"/>
      <c r="M68" s="50"/>
      <c r="N68" s="50"/>
      <c r="O68" s="50">
        <f>SUM(J68:N68)</f>
        <v>1862580</v>
      </c>
    </row>
    <row r="69" spans="1:15" x14ac:dyDescent="0.25">
      <c r="A69" s="51">
        <v>40012</v>
      </c>
      <c r="B69" s="47" t="s">
        <v>95</v>
      </c>
      <c r="C69" s="48">
        <f t="shared" si="15"/>
        <v>0</v>
      </c>
      <c r="D69" s="52" t="s">
        <v>12</v>
      </c>
      <c r="E69" s="47" t="s">
        <v>96</v>
      </c>
      <c r="I69" s="52" t="s">
        <v>13</v>
      </c>
      <c r="J69" s="53">
        <f>J22*(0.45*J2)</f>
        <v>113265.00000000001</v>
      </c>
      <c r="K69" s="53"/>
      <c r="L69" s="53"/>
      <c r="M69" s="53"/>
      <c r="N69" s="53"/>
      <c r="O69" s="50">
        <f t="shared" ref="O69:O82" si="16">SUM(J69:N69)</f>
        <v>113265.00000000001</v>
      </c>
    </row>
    <row r="70" spans="1:15" x14ac:dyDescent="0.25">
      <c r="A70" s="51">
        <v>40014</v>
      </c>
      <c r="B70" s="47" t="s">
        <v>95</v>
      </c>
      <c r="C70" s="48">
        <f t="shared" si="15"/>
        <v>0</v>
      </c>
      <c r="D70" s="52" t="s">
        <v>15</v>
      </c>
      <c r="E70" s="47" t="s">
        <v>96</v>
      </c>
      <c r="I70" s="52" t="s">
        <v>16</v>
      </c>
      <c r="J70" s="53">
        <f>J23*(0.12*J2)</f>
        <v>0</v>
      </c>
      <c r="K70" s="53"/>
      <c r="L70" s="53"/>
      <c r="M70" s="53"/>
      <c r="N70" s="53"/>
      <c r="O70" s="50">
        <f t="shared" si="16"/>
        <v>0</v>
      </c>
    </row>
    <row r="71" spans="1:15" x14ac:dyDescent="0.25">
      <c r="A71" s="51">
        <v>40013</v>
      </c>
      <c r="B71" s="47" t="s">
        <v>95</v>
      </c>
      <c r="C71" s="48">
        <f t="shared" si="15"/>
        <v>0</v>
      </c>
      <c r="D71" s="52" t="s">
        <v>18</v>
      </c>
      <c r="E71" s="47" t="s">
        <v>96</v>
      </c>
      <c r="I71" s="52" t="s">
        <v>19</v>
      </c>
      <c r="J71" s="53">
        <f>J24*(0.35*J2)</f>
        <v>10571.4</v>
      </c>
      <c r="K71" s="53"/>
      <c r="L71" s="53"/>
      <c r="M71" s="53"/>
      <c r="N71" s="53"/>
      <c r="O71" s="50">
        <f t="shared" si="16"/>
        <v>10571.4</v>
      </c>
    </row>
    <row r="72" spans="1:15" x14ac:dyDescent="0.25">
      <c r="A72" s="51">
        <v>40015</v>
      </c>
      <c r="B72" s="47" t="s">
        <v>95</v>
      </c>
      <c r="C72" s="48">
        <f t="shared" si="15"/>
        <v>0</v>
      </c>
      <c r="D72" s="52" t="s">
        <v>21</v>
      </c>
      <c r="E72" s="47" t="s">
        <v>96</v>
      </c>
      <c r="I72" s="52" t="s">
        <v>22</v>
      </c>
      <c r="J72" s="53">
        <v>49722.3</v>
      </c>
      <c r="K72" s="53"/>
      <c r="L72" s="53"/>
      <c r="M72" s="53"/>
      <c r="N72" s="53"/>
      <c r="O72" s="50">
        <f t="shared" si="16"/>
        <v>49722.3</v>
      </c>
    </row>
    <row r="73" spans="1:15" x14ac:dyDescent="0.25">
      <c r="A73" s="51">
        <v>40011</v>
      </c>
      <c r="B73" s="47" t="s">
        <v>95</v>
      </c>
      <c r="C73" s="48">
        <f t="shared" si="15"/>
        <v>0</v>
      </c>
      <c r="D73" s="54" t="s">
        <v>27</v>
      </c>
      <c r="E73" s="47" t="s">
        <v>96</v>
      </c>
      <c r="I73" s="52" t="s">
        <v>98</v>
      </c>
      <c r="J73" s="53"/>
      <c r="K73" s="53">
        <v>122895</v>
      </c>
      <c r="L73" s="53"/>
      <c r="M73" s="53"/>
      <c r="N73" s="53"/>
      <c r="O73" s="50">
        <f t="shared" si="16"/>
        <v>122895</v>
      </c>
    </row>
    <row r="74" spans="1:15" x14ac:dyDescent="0.25">
      <c r="A74" s="51">
        <v>40020</v>
      </c>
      <c r="B74" s="47" t="s">
        <v>95</v>
      </c>
      <c r="C74" s="48">
        <f t="shared" si="15"/>
        <v>0</v>
      </c>
      <c r="D74" s="52" t="s">
        <v>27</v>
      </c>
      <c r="E74" s="47" t="s">
        <v>96</v>
      </c>
      <c r="I74" s="52" t="s">
        <v>99</v>
      </c>
      <c r="J74" s="55"/>
      <c r="K74" s="55">
        <f>3633.22134155844*K21</f>
        <v>76297.648172727248</v>
      </c>
      <c r="L74" s="55"/>
      <c r="M74" s="55"/>
      <c r="N74" s="55"/>
      <c r="O74" s="50">
        <f t="shared" si="16"/>
        <v>76297.648172727248</v>
      </c>
    </row>
    <row r="75" spans="1:15" x14ac:dyDescent="0.25">
      <c r="A75" s="51">
        <v>42010</v>
      </c>
      <c r="B75" s="47" t="s">
        <v>95</v>
      </c>
      <c r="C75" s="48">
        <f t="shared" si="15"/>
        <v>0</v>
      </c>
      <c r="D75" s="52" t="s">
        <v>36</v>
      </c>
      <c r="E75" s="47" t="s">
        <v>96</v>
      </c>
      <c r="I75" s="52" t="s">
        <v>100</v>
      </c>
      <c r="J75" s="55"/>
      <c r="K75" s="55">
        <f>961.832*K21</f>
        <v>20198.472000000002</v>
      </c>
      <c r="L75" s="55"/>
      <c r="M75" s="55"/>
      <c r="N75" s="55"/>
      <c r="O75" s="50">
        <f t="shared" si="16"/>
        <v>20198.472000000002</v>
      </c>
    </row>
    <row r="76" spans="1:15" x14ac:dyDescent="0.25">
      <c r="A76" s="51">
        <v>70200</v>
      </c>
      <c r="B76" s="47" t="s">
        <v>95</v>
      </c>
      <c r="C76" s="48">
        <f t="shared" si="15"/>
        <v>0</v>
      </c>
      <c r="D76" s="49" t="s">
        <v>9</v>
      </c>
      <c r="E76" s="47" t="s">
        <v>96</v>
      </c>
      <c r="I76" s="52" t="s">
        <v>101</v>
      </c>
      <c r="J76" s="55">
        <v>0</v>
      </c>
      <c r="K76" s="55"/>
      <c r="L76" s="55"/>
      <c r="M76" s="55"/>
      <c r="N76" s="55"/>
      <c r="O76" s="50">
        <f t="shared" si="16"/>
        <v>0</v>
      </c>
    </row>
    <row r="77" spans="1:15" x14ac:dyDescent="0.25">
      <c r="A77" s="51">
        <v>40020</v>
      </c>
      <c r="B77" s="47" t="s">
        <v>95</v>
      </c>
      <c r="C77" s="48">
        <f t="shared" si="15"/>
        <v>0</v>
      </c>
      <c r="D77" s="52" t="s">
        <v>24</v>
      </c>
      <c r="E77" s="47" t="s">
        <v>96</v>
      </c>
      <c r="I77" s="52" t="s">
        <v>25</v>
      </c>
      <c r="J77" s="55"/>
      <c r="K77" s="55"/>
      <c r="L77" s="55"/>
      <c r="M77" s="55"/>
      <c r="N77" s="55"/>
      <c r="O77" s="50">
        <f t="shared" si="16"/>
        <v>0</v>
      </c>
    </row>
    <row r="78" spans="1:15" x14ac:dyDescent="0.25">
      <c r="A78" s="51">
        <v>42010</v>
      </c>
      <c r="B78" s="47" t="s">
        <v>95</v>
      </c>
      <c r="C78" s="48">
        <f t="shared" si="15"/>
        <v>0</v>
      </c>
      <c r="D78" s="52" t="s">
        <v>36</v>
      </c>
      <c r="E78" s="47" t="s">
        <v>96</v>
      </c>
      <c r="I78" s="52" t="s">
        <v>37</v>
      </c>
      <c r="J78" s="55"/>
      <c r="K78" s="55"/>
      <c r="L78" s="55"/>
      <c r="M78" s="55">
        <f>37760+2596.59+1446+3353+2331+44733</f>
        <v>92219.59</v>
      </c>
      <c r="N78" s="55"/>
      <c r="O78" s="50">
        <f t="shared" si="16"/>
        <v>92219.59</v>
      </c>
    </row>
    <row r="79" spans="1:15" x14ac:dyDescent="0.25">
      <c r="A79" s="51">
        <v>44000</v>
      </c>
      <c r="B79" s="47" t="s">
        <v>95</v>
      </c>
      <c r="C79" s="48">
        <f t="shared" si="15"/>
        <v>0</v>
      </c>
      <c r="D79" s="52" t="s">
        <v>30</v>
      </c>
      <c r="E79" s="47" t="s">
        <v>96</v>
      </c>
      <c r="I79" s="52" t="s">
        <v>31</v>
      </c>
      <c r="J79" s="55">
        <v>0</v>
      </c>
      <c r="K79" s="55"/>
      <c r="L79" s="55"/>
      <c r="M79" s="55"/>
      <c r="N79" s="55"/>
      <c r="O79" s="50">
        <f t="shared" si="16"/>
        <v>0</v>
      </c>
    </row>
    <row r="80" spans="1:15" x14ac:dyDescent="0.25">
      <c r="A80" s="51">
        <v>43040</v>
      </c>
      <c r="B80" s="47" t="s">
        <v>95</v>
      </c>
      <c r="C80" s="48">
        <f t="shared" si="15"/>
        <v>0</v>
      </c>
      <c r="D80" s="52" t="s">
        <v>33</v>
      </c>
      <c r="E80" s="47" t="s">
        <v>96</v>
      </c>
      <c r="I80" s="52" t="s">
        <v>102</v>
      </c>
      <c r="J80" s="55">
        <v>0</v>
      </c>
      <c r="K80" s="55"/>
      <c r="L80" s="55"/>
      <c r="M80" s="55"/>
      <c r="N80" s="55"/>
      <c r="O80" s="50">
        <f t="shared" si="16"/>
        <v>0</v>
      </c>
    </row>
    <row r="81" spans="1:15" x14ac:dyDescent="0.25">
      <c r="A81" s="51">
        <v>43020</v>
      </c>
      <c r="B81" s="47" t="s">
        <v>95</v>
      </c>
      <c r="C81" s="48">
        <f t="shared" si="15"/>
        <v>0</v>
      </c>
      <c r="D81" s="52" t="s">
        <v>39</v>
      </c>
      <c r="E81" s="47" t="s">
        <v>96</v>
      </c>
      <c r="I81" s="52" t="s">
        <v>103</v>
      </c>
      <c r="J81" s="55"/>
      <c r="K81" s="55"/>
      <c r="L81" s="55">
        <f>(40*2.84*180)*1.015*1.015*1.015*1.015*1.015</f>
        <v>22028.303311427691</v>
      </c>
      <c r="M81" s="55"/>
      <c r="N81" s="55"/>
      <c r="O81" s="50">
        <f t="shared" si="16"/>
        <v>22028.303311427691</v>
      </c>
    </row>
    <row r="82" spans="1:15" x14ac:dyDescent="0.25">
      <c r="A82" s="56">
        <v>43020</v>
      </c>
      <c r="B82" s="47" t="s">
        <v>95</v>
      </c>
      <c r="C82" s="48">
        <f t="shared" si="15"/>
        <v>0</v>
      </c>
      <c r="D82" s="57" t="s">
        <v>39</v>
      </c>
      <c r="E82" s="47" t="s">
        <v>96</v>
      </c>
      <c r="I82" s="57" t="s">
        <v>104</v>
      </c>
      <c r="J82" s="58"/>
      <c r="K82" s="58"/>
      <c r="L82" s="58">
        <f>(60*4.52*180)*1.015*1.015*1.015*1.015*1.015</f>
        <v>52588.695933619631</v>
      </c>
      <c r="M82" s="58"/>
      <c r="N82" s="58"/>
      <c r="O82" s="50">
        <f t="shared" si="16"/>
        <v>52588.695933619631</v>
      </c>
    </row>
    <row r="83" spans="1:15" x14ac:dyDescent="0.25">
      <c r="A83" s="59"/>
      <c r="B83" s="60"/>
      <c r="C83" s="60"/>
      <c r="D83" s="60"/>
      <c r="E83" s="60"/>
      <c r="H83" s="61" t="s">
        <v>105</v>
      </c>
      <c r="I83" s="62"/>
      <c r="J83" s="63">
        <f t="shared" ref="J83:O83" si="17">SUM(J68:J82)</f>
        <v>2036138.7</v>
      </c>
      <c r="K83" s="63">
        <f t="shared" si="17"/>
        <v>219391.12017272727</v>
      </c>
      <c r="L83" s="63">
        <f t="shared" si="17"/>
        <v>74616.999245047322</v>
      </c>
      <c r="M83" s="63">
        <f t="shared" si="17"/>
        <v>92219.59</v>
      </c>
      <c r="N83" s="63">
        <f t="shared" si="17"/>
        <v>0</v>
      </c>
      <c r="O83" s="63">
        <f t="shared" si="17"/>
        <v>2422366.4094177745</v>
      </c>
    </row>
    <row r="85" spans="1:15" x14ac:dyDescent="0.25">
      <c r="A85" s="59"/>
      <c r="B85" s="60"/>
      <c r="C85" s="60"/>
      <c r="D85" s="60"/>
      <c r="E85" s="60"/>
      <c r="G85" s="61" t="s">
        <v>106</v>
      </c>
      <c r="H85" s="64"/>
      <c r="I85" s="65"/>
      <c r="J85" s="66" t="str">
        <f>J20</f>
        <v>Operating</v>
      </c>
      <c r="K85" s="66" t="str">
        <f t="shared" ref="K85:O85" si="18">K20</f>
        <v>SPED</v>
      </c>
      <c r="L85" s="66" t="str">
        <f t="shared" si="18"/>
        <v>NSLP</v>
      </c>
      <c r="M85" s="66" t="str">
        <f t="shared" si="18"/>
        <v>Title(s)</v>
      </c>
      <c r="N85" s="66" t="str">
        <f t="shared" si="18"/>
        <v>Other</v>
      </c>
      <c r="O85" s="66" t="str">
        <f t="shared" si="18"/>
        <v>Total</v>
      </c>
    </row>
    <row r="86" spans="1:15" x14ac:dyDescent="0.25">
      <c r="A86" s="67">
        <v>45000</v>
      </c>
      <c r="B86" s="47" t="s">
        <v>95</v>
      </c>
      <c r="C86" s="48">
        <f>$C$1</f>
        <v>0</v>
      </c>
      <c r="D86" s="49" t="s">
        <v>9</v>
      </c>
      <c r="E86" s="47" t="s">
        <v>96</v>
      </c>
      <c r="I86" s="49" t="s">
        <v>107</v>
      </c>
      <c r="J86" s="177"/>
      <c r="K86" s="177"/>
      <c r="L86" s="177"/>
      <c r="M86" s="177"/>
      <c r="N86" s="177"/>
      <c r="O86" s="50">
        <f t="shared" ref="O86:O88" si="19">SUM(J86:N86)</f>
        <v>0</v>
      </c>
    </row>
    <row r="87" spans="1:15" x14ac:dyDescent="0.25">
      <c r="A87" s="67">
        <v>45000</v>
      </c>
      <c r="B87" s="47" t="s">
        <v>95</v>
      </c>
      <c r="C87" s="48">
        <f>$C$1</f>
        <v>0</v>
      </c>
      <c r="D87" s="49" t="s">
        <v>9</v>
      </c>
      <c r="E87" s="47" t="s">
        <v>96</v>
      </c>
      <c r="I87" s="52" t="s">
        <v>108</v>
      </c>
      <c r="J87" s="55"/>
      <c r="K87" s="55"/>
      <c r="L87" s="55"/>
      <c r="M87" s="55"/>
      <c r="N87" s="55"/>
      <c r="O87" s="50">
        <f t="shared" si="19"/>
        <v>0</v>
      </c>
    </row>
    <row r="88" spans="1:15" x14ac:dyDescent="0.25">
      <c r="A88" s="67">
        <v>45000</v>
      </c>
      <c r="B88" s="47" t="s">
        <v>95</v>
      </c>
      <c r="C88" s="48">
        <f>$C$1</f>
        <v>0</v>
      </c>
      <c r="D88" s="49" t="s">
        <v>9</v>
      </c>
      <c r="E88" s="47" t="s">
        <v>96</v>
      </c>
      <c r="I88" s="57" t="s">
        <v>109</v>
      </c>
      <c r="J88" s="178"/>
      <c r="K88" s="178"/>
      <c r="L88" s="178"/>
      <c r="M88" s="178"/>
      <c r="N88" s="178"/>
      <c r="O88" s="50">
        <f t="shared" si="19"/>
        <v>0</v>
      </c>
    </row>
    <row r="89" spans="1:15" x14ac:dyDescent="0.25">
      <c r="A89" s="59"/>
      <c r="B89" s="60"/>
      <c r="C89" s="60"/>
      <c r="D89" s="60"/>
      <c r="E89" s="60"/>
      <c r="H89" s="61" t="s">
        <v>110</v>
      </c>
      <c r="I89" s="65"/>
      <c r="J89" s="63">
        <f t="shared" ref="J89:O89" si="20">SUM(J86:J88)</f>
        <v>0</v>
      </c>
      <c r="K89" s="63">
        <f t="shared" si="20"/>
        <v>0</v>
      </c>
      <c r="L89" s="63">
        <f t="shared" si="20"/>
        <v>0</v>
      </c>
      <c r="M89" s="63">
        <f t="shared" si="20"/>
        <v>0</v>
      </c>
      <c r="N89" s="63">
        <f t="shared" si="20"/>
        <v>0</v>
      </c>
      <c r="O89" s="63">
        <f t="shared" si="20"/>
        <v>0</v>
      </c>
    </row>
    <row r="91" spans="1:15" ht="16.5" thickBot="1" x14ac:dyDescent="0.3"/>
    <row r="92" spans="1:15" ht="16.5" thickBot="1" x14ac:dyDescent="0.3">
      <c r="A92" s="68" t="s">
        <v>5</v>
      </c>
      <c r="B92" s="68" t="s">
        <v>91</v>
      </c>
      <c r="C92" s="68" t="s">
        <v>92</v>
      </c>
      <c r="D92" s="68" t="s">
        <v>4</v>
      </c>
      <c r="E92" s="68" t="s">
        <v>93</v>
      </c>
      <c r="G92" s="69" t="s">
        <v>111</v>
      </c>
      <c r="H92" s="70"/>
      <c r="I92" s="71"/>
      <c r="J92" s="72" t="str">
        <f>J20</f>
        <v>Operating</v>
      </c>
      <c r="K92" s="72" t="str">
        <f t="shared" ref="K92:O92" si="21">K20</f>
        <v>SPED</v>
      </c>
      <c r="L92" s="72" t="str">
        <f t="shared" si="21"/>
        <v>NSLP</v>
      </c>
      <c r="M92" s="72" t="str">
        <f t="shared" si="21"/>
        <v>Title(s)</v>
      </c>
      <c r="N92" s="72" t="str">
        <f t="shared" si="21"/>
        <v>Other</v>
      </c>
      <c r="O92" s="72" t="str">
        <f t="shared" si="21"/>
        <v>Total</v>
      </c>
    </row>
    <row r="93" spans="1:15" x14ac:dyDescent="0.25">
      <c r="A93" s="73"/>
      <c r="B93" s="74"/>
      <c r="C93" s="75"/>
      <c r="D93" s="76"/>
      <c r="E93" s="74"/>
      <c r="H93" s="77" t="s">
        <v>112</v>
      </c>
      <c r="I93" s="78"/>
      <c r="J93" s="79"/>
      <c r="K93" s="79"/>
      <c r="L93" s="79"/>
      <c r="M93" s="79"/>
      <c r="N93" s="79"/>
      <c r="O93" s="79"/>
    </row>
    <row r="94" spans="1:15" x14ac:dyDescent="0.25">
      <c r="A94" s="51">
        <v>60036</v>
      </c>
      <c r="B94" s="80" t="s">
        <v>113</v>
      </c>
      <c r="C94" s="48">
        <f>$C$1</f>
        <v>0</v>
      </c>
      <c r="D94" s="49" t="s">
        <v>9</v>
      </c>
      <c r="E94" s="52" t="s">
        <v>114</v>
      </c>
      <c r="I94" s="49" t="s">
        <v>402</v>
      </c>
      <c r="J94" s="50">
        <v>0</v>
      </c>
      <c r="K94" s="50"/>
      <c r="L94" s="50"/>
      <c r="M94" s="50"/>
      <c r="N94" s="50"/>
      <c r="O94" s="50">
        <f t="shared" ref="O94:O152" si="22">SUM(J94:N94)</f>
        <v>0</v>
      </c>
    </row>
    <row r="95" spans="1:15" x14ac:dyDescent="0.25">
      <c r="A95" s="51">
        <v>60036</v>
      </c>
      <c r="B95" s="80" t="s">
        <v>113</v>
      </c>
      <c r="C95" s="48">
        <f>$C$1</f>
        <v>0</v>
      </c>
      <c r="D95" s="49" t="s">
        <v>9</v>
      </c>
      <c r="E95" s="52" t="s">
        <v>114</v>
      </c>
      <c r="I95" s="52" t="s">
        <v>66</v>
      </c>
      <c r="J95" s="55">
        <f>'29-30'!J95*1.015</f>
        <v>137353.71049525775</v>
      </c>
      <c r="K95" s="55"/>
      <c r="L95" s="55"/>
      <c r="M95" s="55"/>
      <c r="N95" s="55"/>
      <c r="O95" s="50">
        <f t="shared" si="22"/>
        <v>137353.71049525775</v>
      </c>
    </row>
    <row r="96" spans="1:15" x14ac:dyDescent="0.25">
      <c r="A96" s="51">
        <v>60036</v>
      </c>
      <c r="B96" s="80" t="s">
        <v>113</v>
      </c>
      <c r="C96" s="48">
        <f>$C$1</f>
        <v>0</v>
      </c>
      <c r="D96" s="52" t="s">
        <v>36</v>
      </c>
      <c r="E96" s="52" t="s">
        <v>114</v>
      </c>
      <c r="I96" s="52" t="s">
        <v>115</v>
      </c>
      <c r="J96" s="55"/>
      <c r="K96" s="55"/>
      <c r="L96" s="55"/>
      <c r="M96" s="55"/>
      <c r="N96" s="55"/>
      <c r="O96" s="50">
        <f t="shared" si="22"/>
        <v>0</v>
      </c>
    </row>
    <row r="97" spans="1:15" x14ac:dyDescent="0.25">
      <c r="A97" s="81"/>
      <c r="B97" s="82"/>
      <c r="C97" s="82"/>
      <c r="D97" s="82"/>
      <c r="E97" s="82"/>
      <c r="H97" s="83" t="s">
        <v>116</v>
      </c>
      <c r="I97" s="84"/>
      <c r="J97" s="79"/>
      <c r="K97" s="79"/>
      <c r="L97" s="79"/>
      <c r="M97" s="79"/>
      <c r="N97" s="79"/>
      <c r="O97" s="79"/>
    </row>
    <row r="98" spans="1:15" x14ac:dyDescent="0.25">
      <c r="A98" s="51">
        <v>60036</v>
      </c>
      <c r="B98" s="80" t="s">
        <v>113</v>
      </c>
      <c r="C98" s="85">
        <f>$C$1</f>
        <v>0</v>
      </c>
      <c r="D98" s="52" t="s">
        <v>27</v>
      </c>
      <c r="E98" s="52" t="s">
        <v>114</v>
      </c>
      <c r="I98" s="52" t="s">
        <v>117</v>
      </c>
      <c r="J98" s="50">
        <v>0</v>
      </c>
      <c r="K98" s="50">
        <v>0</v>
      </c>
      <c r="L98" s="50"/>
      <c r="M98" s="50"/>
      <c r="N98" s="50"/>
      <c r="O98" s="50">
        <f t="shared" si="22"/>
        <v>0</v>
      </c>
    </row>
    <row r="99" spans="1:15" x14ac:dyDescent="0.25">
      <c r="A99" s="51">
        <v>60036</v>
      </c>
      <c r="B99" s="80" t="s">
        <v>113</v>
      </c>
      <c r="C99" s="85">
        <f>$C$1</f>
        <v>0</v>
      </c>
      <c r="D99" s="52" t="s">
        <v>27</v>
      </c>
      <c r="E99" s="52" t="s">
        <v>114</v>
      </c>
      <c r="I99" s="52" t="s">
        <v>118</v>
      </c>
      <c r="J99" s="50">
        <v>0</v>
      </c>
      <c r="K99" s="50"/>
      <c r="L99" s="50"/>
      <c r="M99" s="50"/>
      <c r="N99" s="50"/>
      <c r="O99" s="50">
        <f t="shared" si="22"/>
        <v>0</v>
      </c>
    </row>
    <row r="100" spans="1:15" x14ac:dyDescent="0.25">
      <c r="A100" s="81"/>
      <c r="B100" s="82"/>
      <c r="C100" s="82"/>
      <c r="D100" s="82"/>
      <c r="E100" s="82"/>
      <c r="H100" s="83" t="s">
        <v>119</v>
      </c>
      <c r="I100" s="84"/>
      <c r="J100" s="79"/>
      <c r="K100" s="79"/>
      <c r="L100" s="79"/>
      <c r="M100" s="79"/>
      <c r="N100" s="79"/>
      <c r="O100" s="79"/>
    </row>
    <row r="101" spans="1:15" x14ac:dyDescent="0.25">
      <c r="A101" s="51">
        <v>60036</v>
      </c>
      <c r="B101" s="80" t="s">
        <v>113</v>
      </c>
      <c r="C101" s="48">
        <f t="shared" ref="C101:C119" si="23">$C$1</f>
        <v>0</v>
      </c>
      <c r="D101" s="49" t="s">
        <v>9</v>
      </c>
      <c r="E101" s="52" t="s">
        <v>120</v>
      </c>
      <c r="I101" s="52" t="s">
        <v>70</v>
      </c>
      <c r="J101" s="55">
        <f>(70000*1.015*1.015*1.015*1.015*1.015)-J103</f>
        <v>73435.880271906222</v>
      </c>
      <c r="K101" s="55"/>
      <c r="L101" s="55"/>
      <c r="M101" s="55"/>
      <c r="N101" s="55"/>
      <c r="O101" s="50">
        <f t="shared" si="22"/>
        <v>73435.880271906222</v>
      </c>
    </row>
    <row r="102" spans="1:15" x14ac:dyDescent="0.25">
      <c r="A102" s="86">
        <v>60036</v>
      </c>
      <c r="B102" s="87" t="s">
        <v>113</v>
      </c>
      <c r="C102" s="88">
        <f t="shared" si="23"/>
        <v>0</v>
      </c>
      <c r="D102" s="89" t="s">
        <v>18</v>
      </c>
      <c r="E102" s="89" t="s">
        <v>120</v>
      </c>
      <c r="I102" s="52" t="s">
        <v>121</v>
      </c>
      <c r="J102" s="55">
        <v>0</v>
      </c>
      <c r="K102" s="55"/>
      <c r="L102" s="55"/>
      <c r="M102" s="55"/>
      <c r="N102" s="55"/>
      <c r="O102" s="50">
        <f t="shared" si="22"/>
        <v>0</v>
      </c>
    </row>
    <row r="103" spans="1:15" x14ac:dyDescent="0.25">
      <c r="A103" s="86">
        <v>60036</v>
      </c>
      <c r="B103" s="87" t="s">
        <v>113</v>
      </c>
      <c r="C103" s="88">
        <f t="shared" si="23"/>
        <v>0</v>
      </c>
      <c r="D103" s="89" t="s">
        <v>21</v>
      </c>
      <c r="E103" s="89" t="s">
        <v>120</v>
      </c>
      <c r="I103" s="52" t="s">
        <v>122</v>
      </c>
      <c r="J103" s="55">
        <v>1974</v>
      </c>
      <c r="K103" s="55"/>
      <c r="L103" s="55"/>
      <c r="M103" s="55"/>
      <c r="N103" s="55"/>
      <c r="O103" s="50">
        <f t="shared" si="22"/>
        <v>1974</v>
      </c>
    </row>
    <row r="104" spans="1:15" x14ac:dyDescent="0.25">
      <c r="A104" s="51">
        <v>60036</v>
      </c>
      <c r="B104" s="80" t="s">
        <v>113</v>
      </c>
      <c r="C104" s="48">
        <f t="shared" si="23"/>
        <v>0</v>
      </c>
      <c r="D104" s="52" t="s">
        <v>36</v>
      </c>
      <c r="E104" s="52" t="s">
        <v>120</v>
      </c>
      <c r="I104" s="52" t="s">
        <v>123</v>
      </c>
      <c r="J104" s="55">
        <v>0</v>
      </c>
      <c r="K104" s="55"/>
      <c r="L104" s="55"/>
      <c r="M104" s="55"/>
      <c r="N104" s="55"/>
      <c r="O104" s="50">
        <f t="shared" si="22"/>
        <v>0</v>
      </c>
    </row>
    <row r="105" spans="1:15" ht="17.649999999999999" customHeight="1" x14ac:dyDescent="0.25">
      <c r="A105" s="51">
        <v>60036</v>
      </c>
      <c r="B105" s="80" t="s">
        <v>113</v>
      </c>
      <c r="C105" s="48">
        <f t="shared" si="23"/>
        <v>0</v>
      </c>
      <c r="D105" s="49" t="s">
        <v>9</v>
      </c>
      <c r="E105" s="52" t="s">
        <v>124</v>
      </c>
      <c r="I105" s="52" t="s">
        <v>125</v>
      </c>
      <c r="J105" s="55">
        <v>0</v>
      </c>
      <c r="K105" s="55"/>
      <c r="L105" s="55"/>
      <c r="M105" s="55"/>
      <c r="N105" s="55"/>
      <c r="O105" s="50">
        <f t="shared" si="22"/>
        <v>0</v>
      </c>
    </row>
    <row r="106" spans="1:15" ht="17.649999999999999" customHeight="1" x14ac:dyDescent="0.25">
      <c r="A106" s="86">
        <v>60036</v>
      </c>
      <c r="B106" s="87" t="s">
        <v>113</v>
      </c>
      <c r="C106" s="88">
        <f t="shared" si="23"/>
        <v>0</v>
      </c>
      <c r="D106" s="89" t="s">
        <v>21</v>
      </c>
      <c r="E106" s="89" t="s">
        <v>124</v>
      </c>
      <c r="I106" s="52" t="s">
        <v>126</v>
      </c>
      <c r="J106" s="55">
        <v>0</v>
      </c>
      <c r="K106" s="55"/>
      <c r="L106" s="55"/>
      <c r="M106" s="55"/>
      <c r="N106" s="55"/>
      <c r="O106" s="50">
        <f t="shared" si="22"/>
        <v>0</v>
      </c>
    </row>
    <row r="107" spans="1:15" ht="17.649999999999999" customHeight="1" x14ac:dyDescent="0.25">
      <c r="A107" s="51">
        <v>60036</v>
      </c>
      <c r="B107" s="80" t="s">
        <v>113</v>
      </c>
      <c r="C107" s="48">
        <f t="shared" si="23"/>
        <v>0</v>
      </c>
      <c r="D107" s="52" t="s">
        <v>36</v>
      </c>
      <c r="E107" s="52" t="s">
        <v>124</v>
      </c>
      <c r="I107" s="52" t="s">
        <v>127</v>
      </c>
      <c r="J107" s="55">
        <v>0</v>
      </c>
      <c r="K107" s="55"/>
      <c r="L107" s="55"/>
      <c r="M107" s="55"/>
      <c r="N107" s="55"/>
      <c r="O107" s="50">
        <f t="shared" si="22"/>
        <v>0</v>
      </c>
    </row>
    <row r="108" spans="1:15" x14ac:dyDescent="0.25">
      <c r="A108" s="51">
        <v>60036</v>
      </c>
      <c r="B108" s="80" t="s">
        <v>113</v>
      </c>
      <c r="C108" s="48">
        <f t="shared" si="23"/>
        <v>0</v>
      </c>
      <c r="D108" s="49" t="s">
        <v>9</v>
      </c>
      <c r="E108" s="52" t="s">
        <v>114</v>
      </c>
      <c r="I108" s="52" t="s">
        <v>128</v>
      </c>
      <c r="J108" s="55">
        <v>0</v>
      </c>
      <c r="K108" s="55"/>
      <c r="L108" s="55"/>
      <c r="M108" s="55"/>
      <c r="N108" s="55"/>
      <c r="O108" s="50">
        <f t="shared" si="22"/>
        <v>0</v>
      </c>
    </row>
    <row r="109" spans="1:15" x14ac:dyDescent="0.25">
      <c r="A109" s="86">
        <v>60036</v>
      </c>
      <c r="B109" s="87" t="s">
        <v>113</v>
      </c>
      <c r="C109" s="88">
        <f t="shared" si="23"/>
        <v>0</v>
      </c>
      <c r="D109" s="89" t="s">
        <v>21</v>
      </c>
      <c r="E109" s="89" t="s">
        <v>114</v>
      </c>
      <c r="I109" s="52" t="s">
        <v>129</v>
      </c>
      <c r="J109" s="55">
        <v>0</v>
      </c>
      <c r="K109" s="55"/>
      <c r="L109" s="55"/>
      <c r="M109" s="55"/>
      <c r="N109" s="55"/>
      <c r="O109" s="50">
        <f t="shared" si="22"/>
        <v>0</v>
      </c>
    </row>
    <row r="110" spans="1:15" x14ac:dyDescent="0.25">
      <c r="A110" s="51">
        <v>60036</v>
      </c>
      <c r="B110" s="80" t="s">
        <v>113</v>
      </c>
      <c r="C110" s="48">
        <f t="shared" si="23"/>
        <v>0</v>
      </c>
      <c r="D110" s="52" t="s">
        <v>36</v>
      </c>
      <c r="E110" s="52" t="s">
        <v>114</v>
      </c>
      <c r="I110" s="52" t="s">
        <v>130</v>
      </c>
      <c r="J110" s="55">
        <v>0</v>
      </c>
      <c r="K110" s="55"/>
      <c r="L110" s="55"/>
      <c r="M110" s="55"/>
      <c r="N110" s="55"/>
      <c r="O110" s="50">
        <f t="shared" si="22"/>
        <v>0</v>
      </c>
    </row>
    <row r="111" spans="1:15" x14ac:dyDescent="0.25">
      <c r="A111" s="51">
        <v>60070</v>
      </c>
      <c r="B111" s="52" t="s">
        <v>131</v>
      </c>
      <c r="C111" s="48">
        <f t="shared" si="23"/>
        <v>0</v>
      </c>
      <c r="D111" s="52" t="s">
        <v>27</v>
      </c>
      <c r="E111" s="52" t="s">
        <v>132</v>
      </c>
      <c r="I111" s="52" t="s">
        <v>133</v>
      </c>
      <c r="J111" s="55"/>
      <c r="K111" s="55"/>
      <c r="L111" s="55"/>
      <c r="M111" s="55"/>
      <c r="N111" s="55"/>
      <c r="O111" s="50">
        <f t="shared" si="22"/>
        <v>0</v>
      </c>
    </row>
    <row r="112" spans="1:15" x14ac:dyDescent="0.25">
      <c r="A112" s="51">
        <v>60041</v>
      </c>
      <c r="B112" s="52" t="s">
        <v>134</v>
      </c>
      <c r="C112" s="48">
        <f t="shared" si="23"/>
        <v>0</v>
      </c>
      <c r="D112" s="52" t="s">
        <v>27</v>
      </c>
      <c r="E112" s="52" t="s">
        <v>135</v>
      </c>
      <c r="I112" s="52" t="s">
        <v>80</v>
      </c>
      <c r="J112" s="55">
        <v>0</v>
      </c>
      <c r="K112" s="55"/>
      <c r="L112" s="55"/>
      <c r="M112" s="55"/>
      <c r="N112" s="55"/>
      <c r="O112" s="50">
        <f t="shared" si="22"/>
        <v>0</v>
      </c>
    </row>
    <row r="113" spans="1:15" x14ac:dyDescent="0.25">
      <c r="A113" s="86">
        <v>60041</v>
      </c>
      <c r="B113" s="89" t="s">
        <v>134</v>
      </c>
      <c r="C113" s="88">
        <f t="shared" si="23"/>
        <v>0</v>
      </c>
      <c r="D113" s="89" t="s">
        <v>21</v>
      </c>
      <c r="E113" s="89" t="s">
        <v>135</v>
      </c>
      <c r="I113" s="52" t="s">
        <v>136</v>
      </c>
      <c r="J113" s="55">
        <v>0</v>
      </c>
      <c r="K113" s="55"/>
      <c r="L113" s="55"/>
      <c r="M113" s="55"/>
      <c r="N113" s="55"/>
      <c r="O113" s="50">
        <f t="shared" si="22"/>
        <v>0</v>
      </c>
    </row>
    <row r="114" spans="1:15" x14ac:dyDescent="0.25">
      <c r="A114" s="51">
        <v>60070</v>
      </c>
      <c r="B114" s="52" t="s">
        <v>131</v>
      </c>
      <c r="C114" s="48">
        <f t="shared" si="23"/>
        <v>0</v>
      </c>
      <c r="D114" s="52" t="s">
        <v>27</v>
      </c>
      <c r="E114" s="52" t="s">
        <v>137</v>
      </c>
      <c r="I114" s="52" t="s">
        <v>138</v>
      </c>
      <c r="J114" s="55"/>
      <c r="K114" s="55"/>
      <c r="L114" s="55"/>
      <c r="M114" s="55"/>
      <c r="N114" s="55"/>
      <c r="O114" s="50">
        <f t="shared" si="22"/>
        <v>0</v>
      </c>
    </row>
    <row r="115" spans="1:15" x14ac:dyDescent="0.25">
      <c r="A115" s="86">
        <v>60070</v>
      </c>
      <c r="B115" s="89" t="s">
        <v>131</v>
      </c>
      <c r="C115" s="88">
        <f t="shared" si="23"/>
        <v>0</v>
      </c>
      <c r="D115" s="89" t="s">
        <v>21</v>
      </c>
      <c r="E115" s="89" t="s">
        <v>137</v>
      </c>
      <c r="I115" s="52" t="s">
        <v>139</v>
      </c>
      <c r="J115" s="55">
        <v>0</v>
      </c>
      <c r="K115" s="55"/>
      <c r="L115" s="55"/>
      <c r="M115" s="55"/>
      <c r="N115" s="55"/>
      <c r="O115" s="50">
        <f t="shared" si="22"/>
        <v>0</v>
      </c>
    </row>
    <row r="116" spans="1:15" x14ac:dyDescent="0.25">
      <c r="A116" s="51">
        <v>60070</v>
      </c>
      <c r="B116" s="52" t="s">
        <v>131</v>
      </c>
      <c r="C116" s="48">
        <f t="shared" si="23"/>
        <v>0</v>
      </c>
      <c r="D116" s="52" t="s">
        <v>27</v>
      </c>
      <c r="E116" s="52" t="s">
        <v>140</v>
      </c>
      <c r="I116" s="52" t="s">
        <v>141</v>
      </c>
      <c r="J116" s="55"/>
      <c r="K116" s="55"/>
      <c r="L116" s="55"/>
      <c r="M116" s="55"/>
      <c r="N116" s="55"/>
      <c r="O116" s="50">
        <f t="shared" si="22"/>
        <v>0</v>
      </c>
    </row>
    <row r="117" spans="1:15" x14ac:dyDescent="0.25">
      <c r="A117" s="86">
        <v>60070</v>
      </c>
      <c r="B117" s="89" t="s">
        <v>131</v>
      </c>
      <c r="C117" s="88">
        <f t="shared" si="23"/>
        <v>0</v>
      </c>
      <c r="D117" s="89" t="s">
        <v>21</v>
      </c>
      <c r="E117" s="89" t="s">
        <v>140</v>
      </c>
      <c r="I117" s="52" t="s">
        <v>142</v>
      </c>
      <c r="J117" s="55">
        <v>0</v>
      </c>
      <c r="K117" s="55"/>
      <c r="L117" s="55"/>
      <c r="M117" s="55"/>
      <c r="N117" s="55"/>
      <c r="O117" s="50">
        <f t="shared" si="22"/>
        <v>0</v>
      </c>
    </row>
    <row r="118" spans="1:15" x14ac:dyDescent="0.25">
      <c r="A118" s="51">
        <v>60070</v>
      </c>
      <c r="B118" s="52" t="s">
        <v>131</v>
      </c>
      <c r="C118" s="48">
        <f t="shared" si="23"/>
        <v>0</v>
      </c>
      <c r="D118" s="49" t="s">
        <v>9</v>
      </c>
      <c r="E118" s="52" t="s">
        <v>143</v>
      </c>
      <c r="I118" s="52" t="s">
        <v>84</v>
      </c>
      <c r="J118" s="55">
        <v>0</v>
      </c>
      <c r="K118" s="55"/>
      <c r="L118" s="55"/>
      <c r="M118" s="55"/>
      <c r="N118" s="55"/>
      <c r="O118" s="50">
        <f t="shared" si="22"/>
        <v>0</v>
      </c>
    </row>
    <row r="119" spans="1:15" x14ac:dyDescent="0.25">
      <c r="A119" s="86">
        <v>60070</v>
      </c>
      <c r="B119" s="89" t="s">
        <v>131</v>
      </c>
      <c r="C119" s="88">
        <f t="shared" si="23"/>
        <v>0</v>
      </c>
      <c r="D119" s="89" t="s">
        <v>21</v>
      </c>
      <c r="E119" s="89" t="s">
        <v>143</v>
      </c>
      <c r="I119" s="52" t="s">
        <v>144</v>
      </c>
      <c r="J119" s="55">
        <v>0</v>
      </c>
      <c r="K119" s="55"/>
      <c r="L119" s="55"/>
      <c r="M119" s="55"/>
      <c r="N119" s="55"/>
      <c r="O119" s="50">
        <f t="shared" si="22"/>
        <v>0</v>
      </c>
    </row>
    <row r="120" spans="1:15" x14ac:dyDescent="0.25">
      <c r="A120" s="81"/>
      <c r="B120" s="82"/>
      <c r="C120" s="82"/>
      <c r="D120" s="82"/>
      <c r="E120" s="82"/>
      <c r="H120" s="83" t="s">
        <v>145</v>
      </c>
      <c r="I120" s="84"/>
      <c r="J120" s="79"/>
      <c r="K120" s="79"/>
      <c r="L120" s="79"/>
      <c r="M120" s="79"/>
      <c r="N120" s="79"/>
      <c r="O120" s="79"/>
    </row>
    <row r="121" spans="1:15" x14ac:dyDescent="0.25">
      <c r="A121" s="51">
        <v>60043</v>
      </c>
      <c r="B121" s="90" t="s">
        <v>146</v>
      </c>
      <c r="C121" s="85">
        <f t="shared" ref="C121:C126" si="24">$C$1</f>
        <v>0</v>
      </c>
      <c r="D121" s="49" t="s">
        <v>9</v>
      </c>
      <c r="E121" s="52" t="s">
        <v>147</v>
      </c>
      <c r="I121" s="52" t="s">
        <v>148</v>
      </c>
      <c r="J121" s="55">
        <f>(65000*1.015*1.015*1.015*1.015*1.015)-J123</f>
        <v>64048.460252484365</v>
      </c>
      <c r="K121" s="55"/>
      <c r="L121" s="55"/>
      <c r="M121" s="55"/>
      <c r="N121" s="55"/>
      <c r="O121" s="50">
        <f t="shared" si="22"/>
        <v>64048.460252484365</v>
      </c>
    </row>
    <row r="122" spans="1:15" x14ac:dyDescent="0.25">
      <c r="A122" s="51">
        <v>60043</v>
      </c>
      <c r="B122" s="52" t="s">
        <v>146</v>
      </c>
      <c r="C122" s="85">
        <f t="shared" si="24"/>
        <v>0</v>
      </c>
      <c r="D122" s="49" t="s">
        <v>9</v>
      </c>
      <c r="E122" s="52" t="s">
        <v>147</v>
      </c>
      <c r="I122" s="52" t="s">
        <v>149</v>
      </c>
      <c r="J122" s="55">
        <f>(22.25*8*190)*(J48+J49)</f>
        <v>0</v>
      </c>
      <c r="K122" s="55"/>
      <c r="L122" s="55"/>
      <c r="M122" s="55"/>
      <c r="N122" s="55"/>
      <c r="O122" s="50">
        <f t="shared" si="22"/>
        <v>0</v>
      </c>
    </row>
    <row r="123" spans="1:15" x14ac:dyDescent="0.25">
      <c r="A123" s="86">
        <v>60043</v>
      </c>
      <c r="B123" s="91" t="s">
        <v>146</v>
      </c>
      <c r="C123" s="89">
        <f t="shared" si="24"/>
        <v>0</v>
      </c>
      <c r="D123" s="89" t="s">
        <v>21</v>
      </c>
      <c r="E123" s="89" t="s">
        <v>147</v>
      </c>
      <c r="I123" s="52" t="s">
        <v>150</v>
      </c>
      <c r="J123" s="55">
        <v>5975</v>
      </c>
      <c r="K123" s="55"/>
      <c r="L123" s="55"/>
      <c r="M123" s="55"/>
      <c r="N123" s="55"/>
      <c r="O123" s="50">
        <f t="shared" si="22"/>
        <v>5975</v>
      </c>
    </row>
    <row r="124" spans="1:15" x14ac:dyDescent="0.25">
      <c r="A124" s="51">
        <v>60043</v>
      </c>
      <c r="B124" s="52" t="s">
        <v>146</v>
      </c>
      <c r="C124" s="85">
        <f t="shared" si="24"/>
        <v>0</v>
      </c>
      <c r="D124" s="52" t="s">
        <v>24</v>
      </c>
      <c r="E124" s="52" t="s">
        <v>147</v>
      </c>
      <c r="I124" s="52" t="s">
        <v>151</v>
      </c>
      <c r="J124" s="55"/>
      <c r="K124" s="55"/>
      <c r="L124" s="55"/>
      <c r="M124" s="55"/>
      <c r="N124" s="55"/>
      <c r="O124" s="50">
        <f t="shared" si="22"/>
        <v>0</v>
      </c>
    </row>
    <row r="125" spans="1:15" x14ac:dyDescent="0.25">
      <c r="A125" s="51">
        <v>60043</v>
      </c>
      <c r="B125" s="52" t="s">
        <v>146</v>
      </c>
      <c r="C125" s="85">
        <f t="shared" si="24"/>
        <v>0</v>
      </c>
      <c r="D125" s="49" t="s">
        <v>9</v>
      </c>
      <c r="E125" s="52" t="s">
        <v>147</v>
      </c>
      <c r="I125" s="52" t="s">
        <v>152</v>
      </c>
      <c r="J125" s="55"/>
      <c r="K125" s="55"/>
      <c r="L125" s="55"/>
      <c r="M125" s="55"/>
      <c r="N125" s="55"/>
      <c r="O125" s="50">
        <f t="shared" si="22"/>
        <v>0</v>
      </c>
    </row>
    <row r="126" spans="1:15" x14ac:dyDescent="0.25">
      <c r="A126" s="51">
        <v>60043</v>
      </c>
      <c r="B126" s="52" t="s">
        <v>146</v>
      </c>
      <c r="C126" s="85">
        <f t="shared" si="24"/>
        <v>0</v>
      </c>
      <c r="D126" s="52" t="s">
        <v>36</v>
      </c>
      <c r="E126" s="52" t="s">
        <v>147</v>
      </c>
      <c r="I126" s="52" t="s">
        <v>153</v>
      </c>
      <c r="J126" s="55">
        <v>0</v>
      </c>
      <c r="K126" s="55"/>
      <c r="L126" s="55"/>
      <c r="M126" s="55"/>
      <c r="N126" s="55"/>
      <c r="O126" s="50">
        <f t="shared" si="22"/>
        <v>0</v>
      </c>
    </row>
    <row r="127" spans="1:15" x14ac:dyDescent="0.25">
      <c r="A127" s="81"/>
      <c r="B127" s="82"/>
      <c r="C127" s="82"/>
      <c r="D127" s="82"/>
      <c r="E127" s="82"/>
      <c r="H127" s="83" t="s">
        <v>154</v>
      </c>
      <c r="I127" s="84"/>
      <c r="J127" s="79"/>
      <c r="K127" s="79"/>
      <c r="L127" s="79"/>
      <c r="M127" s="79"/>
      <c r="N127" s="79"/>
      <c r="O127" s="79"/>
    </row>
    <row r="128" spans="1:15" x14ac:dyDescent="0.25">
      <c r="A128" s="51">
        <v>60043</v>
      </c>
      <c r="B128" s="52" t="s">
        <v>146</v>
      </c>
      <c r="C128" s="85">
        <f>$C$1</f>
        <v>0</v>
      </c>
      <c r="D128" s="49" t="s">
        <v>9</v>
      </c>
      <c r="E128" s="52" t="s">
        <v>147</v>
      </c>
      <c r="I128" s="52" t="s">
        <v>155</v>
      </c>
      <c r="J128" s="55">
        <f>(20*8*240)*J51</f>
        <v>0</v>
      </c>
      <c r="K128" s="55"/>
      <c r="L128" s="55"/>
      <c r="M128" s="55"/>
      <c r="N128" s="55"/>
      <c r="O128" s="50">
        <f t="shared" si="22"/>
        <v>0</v>
      </c>
    </row>
    <row r="129" spans="1:15" x14ac:dyDescent="0.25">
      <c r="A129" s="51">
        <v>60070</v>
      </c>
      <c r="B129" s="52" t="s">
        <v>131</v>
      </c>
      <c r="C129" s="85">
        <f>$C$1</f>
        <v>0</v>
      </c>
      <c r="D129" s="49" t="s">
        <v>9</v>
      </c>
      <c r="E129" s="52" t="s">
        <v>156</v>
      </c>
      <c r="I129" s="57" t="s">
        <v>157</v>
      </c>
      <c r="J129" s="58"/>
      <c r="K129" s="58"/>
      <c r="L129" s="58"/>
      <c r="M129" s="58"/>
      <c r="N129" s="58"/>
      <c r="O129" s="50">
        <f t="shared" si="22"/>
        <v>0</v>
      </c>
    </row>
    <row r="130" spans="1:15" x14ac:dyDescent="0.25">
      <c r="A130" s="86">
        <v>60070</v>
      </c>
      <c r="B130" s="89" t="s">
        <v>131</v>
      </c>
      <c r="C130" s="89">
        <f>$C$1</f>
        <v>0</v>
      </c>
      <c r="D130" s="89" t="s">
        <v>21</v>
      </c>
      <c r="E130" s="89" t="s">
        <v>156</v>
      </c>
      <c r="I130" s="57" t="s">
        <v>158</v>
      </c>
      <c r="J130" s="55">
        <v>0</v>
      </c>
      <c r="K130" s="55"/>
      <c r="L130" s="55"/>
      <c r="M130" s="55"/>
      <c r="N130" s="55"/>
      <c r="O130" s="50">
        <f t="shared" si="22"/>
        <v>0</v>
      </c>
    </row>
    <row r="131" spans="1:15" x14ac:dyDescent="0.25">
      <c r="A131" s="81"/>
      <c r="B131" s="82"/>
      <c r="C131" s="82"/>
      <c r="D131" s="82"/>
      <c r="E131" s="82"/>
      <c r="H131" s="83" t="s">
        <v>159</v>
      </c>
      <c r="I131" s="84"/>
      <c r="J131" s="79"/>
      <c r="K131" s="79"/>
      <c r="L131" s="79"/>
      <c r="M131" s="79"/>
      <c r="N131" s="79"/>
      <c r="O131" s="79"/>
    </row>
    <row r="132" spans="1:15" x14ac:dyDescent="0.25">
      <c r="A132" s="51">
        <v>60070</v>
      </c>
      <c r="B132" s="52" t="s">
        <v>131</v>
      </c>
      <c r="C132" s="85">
        <f>$C$1</f>
        <v>0</v>
      </c>
      <c r="D132" s="52" t="s">
        <v>39</v>
      </c>
      <c r="E132" s="52" t="s">
        <v>160</v>
      </c>
      <c r="I132" s="52" t="s">
        <v>161</v>
      </c>
      <c r="J132" s="55">
        <f>(24*8*200)*J52</f>
        <v>0</v>
      </c>
      <c r="K132" s="55"/>
      <c r="L132" s="55">
        <f>(48000*1.015*1.015*1.015*1.015*1.015)-L133</f>
        <v>48538.63218644997</v>
      </c>
      <c r="M132" s="55"/>
      <c r="N132" s="55"/>
      <c r="O132" s="50">
        <f t="shared" si="22"/>
        <v>48538.63218644997</v>
      </c>
    </row>
    <row r="133" spans="1:15" x14ac:dyDescent="0.25">
      <c r="A133" s="86">
        <v>60070</v>
      </c>
      <c r="B133" s="89" t="s">
        <v>131</v>
      </c>
      <c r="C133" s="89">
        <f>$C$1</f>
        <v>0</v>
      </c>
      <c r="D133" s="89" t="s">
        <v>21</v>
      </c>
      <c r="E133" s="89" t="s">
        <v>160</v>
      </c>
      <c r="I133" s="52" t="s">
        <v>162</v>
      </c>
      <c r="J133" s="55">
        <v>0</v>
      </c>
      <c r="K133" s="55"/>
      <c r="L133" s="55">
        <v>3171</v>
      </c>
      <c r="M133" s="55"/>
      <c r="N133" s="55"/>
      <c r="O133" s="50">
        <f t="shared" si="22"/>
        <v>3171</v>
      </c>
    </row>
    <row r="134" spans="1:15" x14ac:dyDescent="0.25">
      <c r="A134" s="92" t="s">
        <v>5</v>
      </c>
      <c r="B134" s="92" t="s">
        <v>91</v>
      </c>
      <c r="C134" s="92" t="s">
        <v>92</v>
      </c>
      <c r="D134" s="92" t="s">
        <v>4</v>
      </c>
      <c r="E134" s="92" t="s">
        <v>93</v>
      </c>
      <c r="H134" s="115" t="s">
        <v>163</v>
      </c>
      <c r="I134" s="94"/>
      <c r="J134" s="92">
        <f>SUM(J94:J133)</f>
        <v>282787.05101964832</v>
      </c>
      <c r="K134" s="92">
        <f t="shared" ref="K134:O134" si="25">SUM(K94:K133)</f>
        <v>0</v>
      </c>
      <c r="L134" s="92">
        <f t="shared" si="25"/>
        <v>51709.63218644997</v>
      </c>
      <c r="M134" s="92">
        <f t="shared" si="25"/>
        <v>0</v>
      </c>
      <c r="N134" s="92">
        <f t="shared" si="25"/>
        <v>0</v>
      </c>
      <c r="O134" s="92">
        <f t="shared" si="25"/>
        <v>334496.68320609827</v>
      </c>
    </row>
    <row r="135" spans="1:15" x14ac:dyDescent="0.25">
      <c r="A135" s="46">
        <v>60503</v>
      </c>
      <c r="B135" s="49" t="s">
        <v>164</v>
      </c>
      <c r="C135" s="85">
        <f t="shared" ref="C135:C152" si="26">$C$1</f>
        <v>0</v>
      </c>
      <c r="D135" s="49" t="s">
        <v>9</v>
      </c>
      <c r="E135" s="49" t="s">
        <v>165</v>
      </c>
      <c r="I135" s="49" t="s">
        <v>166</v>
      </c>
      <c r="J135" s="55">
        <f>SUMIF($D$94:$D$133,D135,$J$94:$J$133)*0.3925</f>
        <v>107873.93502521198</v>
      </c>
      <c r="K135" s="55">
        <f>SUMIF($D$94:$D$133,D135,$K$94:$K$133)*0.3675</f>
        <v>0</v>
      </c>
      <c r="L135" s="55">
        <f>SUMIF($D$94:$D$133,D135,$L$94:$L$133)*0.3675</f>
        <v>0</v>
      </c>
      <c r="M135" s="55">
        <f>SUMIF($D$94:$D$133,D135,$M$94:$M$133)*0.3675</f>
        <v>0</v>
      </c>
      <c r="N135" s="55">
        <f>SUMIF($D$94:$D$133,D135,$N$94:$N$133)*0.3675</f>
        <v>0</v>
      </c>
      <c r="O135" s="50">
        <f>SUM(J135:N135)</f>
        <v>107873.93502521198</v>
      </c>
    </row>
    <row r="136" spans="1:15" x14ac:dyDescent="0.25">
      <c r="A136" s="97">
        <v>60503</v>
      </c>
      <c r="B136" s="88" t="s">
        <v>164</v>
      </c>
      <c r="C136" s="89">
        <f t="shared" si="26"/>
        <v>0</v>
      </c>
      <c r="D136" s="89" t="s">
        <v>18</v>
      </c>
      <c r="E136" s="88" t="s">
        <v>165</v>
      </c>
      <c r="I136" s="52" t="s">
        <v>167</v>
      </c>
      <c r="J136" s="55">
        <f t="shared" ref="J136:J141" si="27">SUMIF($D$94:$D$133,D136,$J$94:$J$133)*0.3675</f>
        <v>0</v>
      </c>
      <c r="K136" s="55">
        <f t="shared" ref="K136:K141" si="28">SUMIF($D$94:$D$133,D136,$K$94:$K$133)*0.3675</f>
        <v>0</v>
      </c>
      <c r="L136" s="55">
        <f t="shared" ref="L136:L140" si="29">SUMIF($D$94:$D$133,D136,$L$94:$L$133)*0.3675</f>
        <v>0</v>
      </c>
      <c r="M136" s="55">
        <f t="shared" ref="M136:M141" si="30">SUMIF($D$94:$D$133,D136,$M$94:$M$133)*0.3675</f>
        <v>0</v>
      </c>
      <c r="N136" s="55">
        <f t="shared" ref="N136:N141" si="31">SUMIF($D$94:$D$133,D136,$N$94:$N$133)*0.3675</f>
        <v>0</v>
      </c>
      <c r="O136" s="50">
        <f t="shared" si="22"/>
        <v>0</v>
      </c>
    </row>
    <row r="137" spans="1:15" x14ac:dyDescent="0.25">
      <c r="A137" s="97">
        <v>60503</v>
      </c>
      <c r="B137" s="88" t="s">
        <v>164</v>
      </c>
      <c r="C137" s="89">
        <f t="shared" si="26"/>
        <v>0</v>
      </c>
      <c r="D137" s="89" t="s">
        <v>21</v>
      </c>
      <c r="E137" s="88" t="s">
        <v>165</v>
      </c>
      <c r="I137" s="52" t="s">
        <v>168</v>
      </c>
      <c r="J137" s="55">
        <f>SUMIF($D$94:$D$133,D137,$J$94:$J$133)*0.3925</f>
        <v>3119.9825000000001</v>
      </c>
      <c r="K137" s="55">
        <f t="shared" si="28"/>
        <v>0</v>
      </c>
      <c r="L137" s="55">
        <f>SUMIF($D$94:$D$133,D137,$L$94:$L$133)*0.3925</f>
        <v>1244.6175000000001</v>
      </c>
      <c r="M137" s="55">
        <f t="shared" si="30"/>
        <v>0</v>
      </c>
      <c r="N137" s="55">
        <f t="shared" si="31"/>
        <v>0</v>
      </c>
      <c r="O137" s="50">
        <f t="shared" si="22"/>
        <v>4364.6000000000004</v>
      </c>
    </row>
    <row r="138" spans="1:15" x14ac:dyDescent="0.25">
      <c r="A138" s="46">
        <v>60503</v>
      </c>
      <c r="B138" s="49" t="s">
        <v>164</v>
      </c>
      <c r="C138" s="85">
        <f t="shared" si="26"/>
        <v>0</v>
      </c>
      <c r="D138" s="52" t="s">
        <v>24</v>
      </c>
      <c r="E138" s="49" t="s">
        <v>165</v>
      </c>
      <c r="I138" s="49" t="s">
        <v>169</v>
      </c>
      <c r="J138" s="55">
        <f t="shared" si="27"/>
        <v>0</v>
      </c>
      <c r="K138" s="55">
        <f t="shared" si="28"/>
        <v>0</v>
      </c>
      <c r="L138" s="55">
        <f t="shared" si="29"/>
        <v>0</v>
      </c>
      <c r="M138" s="55">
        <f t="shared" si="30"/>
        <v>0</v>
      </c>
      <c r="N138" s="55">
        <f t="shared" si="31"/>
        <v>0</v>
      </c>
      <c r="O138" s="50">
        <f t="shared" si="22"/>
        <v>0</v>
      </c>
    </row>
    <row r="139" spans="1:15" x14ac:dyDescent="0.25">
      <c r="A139" s="46">
        <v>60503</v>
      </c>
      <c r="B139" s="49" t="s">
        <v>164</v>
      </c>
      <c r="C139" s="85">
        <f t="shared" si="26"/>
        <v>0</v>
      </c>
      <c r="D139" s="52" t="s">
        <v>27</v>
      </c>
      <c r="E139" s="49" t="s">
        <v>165</v>
      </c>
      <c r="I139" s="49" t="s">
        <v>170</v>
      </c>
      <c r="J139" s="55">
        <f t="shared" si="27"/>
        <v>0</v>
      </c>
      <c r="K139" s="55">
        <f t="shared" si="28"/>
        <v>0</v>
      </c>
      <c r="L139" s="55">
        <f t="shared" si="29"/>
        <v>0</v>
      </c>
      <c r="M139" s="55">
        <f t="shared" si="30"/>
        <v>0</v>
      </c>
      <c r="N139" s="55">
        <f t="shared" si="31"/>
        <v>0</v>
      </c>
      <c r="O139" s="50">
        <f t="shared" si="22"/>
        <v>0</v>
      </c>
    </row>
    <row r="140" spans="1:15" x14ac:dyDescent="0.25">
      <c r="A140" s="46">
        <v>60503</v>
      </c>
      <c r="B140" s="49" t="s">
        <v>164</v>
      </c>
      <c r="C140" s="85">
        <f t="shared" si="26"/>
        <v>0</v>
      </c>
      <c r="D140" s="52" t="s">
        <v>36</v>
      </c>
      <c r="E140" s="49" t="s">
        <v>165</v>
      </c>
      <c r="I140" s="49" t="s">
        <v>171</v>
      </c>
      <c r="J140" s="55">
        <f t="shared" si="27"/>
        <v>0</v>
      </c>
      <c r="K140" s="55">
        <f t="shared" si="28"/>
        <v>0</v>
      </c>
      <c r="L140" s="55">
        <f t="shared" si="29"/>
        <v>0</v>
      </c>
      <c r="M140" s="55">
        <f t="shared" si="30"/>
        <v>0</v>
      </c>
      <c r="N140" s="55">
        <f t="shared" si="31"/>
        <v>0</v>
      </c>
      <c r="O140" s="50">
        <f t="shared" si="22"/>
        <v>0</v>
      </c>
    </row>
    <row r="141" spans="1:15" x14ac:dyDescent="0.25">
      <c r="A141" s="46">
        <v>60503</v>
      </c>
      <c r="B141" s="49" t="s">
        <v>164</v>
      </c>
      <c r="C141" s="85">
        <f t="shared" si="26"/>
        <v>0</v>
      </c>
      <c r="D141" s="52" t="s">
        <v>39</v>
      </c>
      <c r="E141" s="49" t="s">
        <v>165</v>
      </c>
      <c r="I141" s="49" t="s">
        <v>172</v>
      </c>
      <c r="J141" s="55">
        <f t="shared" si="27"/>
        <v>0</v>
      </c>
      <c r="K141" s="55">
        <f t="shared" si="28"/>
        <v>0</v>
      </c>
      <c r="L141" s="55">
        <f>SUMIF($D$94:$D$133,D141,$L$94:$L$133)*0.3925</f>
        <v>19051.413133181613</v>
      </c>
      <c r="M141" s="55">
        <f t="shared" si="30"/>
        <v>0</v>
      </c>
      <c r="N141" s="55">
        <f t="shared" si="31"/>
        <v>0</v>
      </c>
      <c r="O141" s="50">
        <f t="shared" si="22"/>
        <v>19051.413133181613</v>
      </c>
    </row>
    <row r="142" spans="1:15" x14ac:dyDescent="0.25">
      <c r="A142" s="51">
        <v>61012</v>
      </c>
      <c r="B142" s="49" t="s">
        <v>173</v>
      </c>
      <c r="C142" s="85">
        <f t="shared" si="26"/>
        <v>0</v>
      </c>
      <c r="D142" s="49" t="s">
        <v>9</v>
      </c>
      <c r="E142" s="49" t="s">
        <v>165</v>
      </c>
      <c r="I142" s="52" t="s">
        <v>174</v>
      </c>
      <c r="J142" s="55">
        <f>SUMIF($D$94:$D$132,D142,$J$94:$J$133)*0.155+SUMIF($D$94:$D$132,D144,$J$94:$J$133)*0.155</f>
        <v>43831.992908045489</v>
      </c>
      <c r="K142" s="55">
        <f>SUMIF($D$94:$D$132,D142,$K$94:$K$133)*0.13</f>
        <v>0</v>
      </c>
      <c r="L142" s="55">
        <f>SUMIF($D$94:$D$133,D142,$L$94:$L$133)*0.13</f>
        <v>0</v>
      </c>
      <c r="M142" s="55">
        <f>SUMIF($D$94:$D$132,D142,$M$94:$M$133)*0.13</f>
        <v>0</v>
      </c>
      <c r="N142" s="55">
        <f>SUMIF($D$94:$D$132,D142,$N$94:$N$133)*0.13</f>
        <v>0</v>
      </c>
      <c r="O142" s="50">
        <f t="shared" si="22"/>
        <v>43831.992908045489</v>
      </c>
    </row>
    <row r="143" spans="1:15" x14ac:dyDescent="0.25">
      <c r="A143" s="86">
        <v>61012</v>
      </c>
      <c r="B143" s="89" t="s">
        <v>173</v>
      </c>
      <c r="C143" s="89">
        <f>$C$1</f>
        <v>0</v>
      </c>
      <c r="D143" s="89" t="s">
        <v>18</v>
      </c>
      <c r="E143" s="89" t="s">
        <v>165</v>
      </c>
      <c r="I143" s="52" t="s">
        <v>175</v>
      </c>
      <c r="J143" s="55">
        <f t="shared" ref="J143:J148" si="32">SUMIF($D$94:$D$132,D143,$J$94:$J$133)*0.13</f>
        <v>0</v>
      </c>
      <c r="K143" s="55">
        <f t="shared" ref="K143:K148" si="33">SUMIF($D$94:$D$132,D143,$K$94:$K$133)*0.13</f>
        <v>0</v>
      </c>
      <c r="L143" s="55">
        <f t="shared" ref="L143:L147" si="34">SUMIF($D$94:$D$132,D143,$L$94:$L$133)*0.13</f>
        <v>0</v>
      </c>
      <c r="M143" s="55">
        <f t="shared" ref="M143:M148" si="35">SUMIF($D$94:$D$132,D143,$M$94:$M$133)*0.13</f>
        <v>0</v>
      </c>
      <c r="N143" s="55">
        <f t="shared" ref="N143:N148" si="36">SUMIF($D$94:$D$132,D143,$N$94:$N$133)*0.13</f>
        <v>0</v>
      </c>
      <c r="O143" s="50">
        <f t="shared" si="22"/>
        <v>0</v>
      </c>
    </row>
    <row r="144" spans="1:15" x14ac:dyDescent="0.25">
      <c r="A144" s="86">
        <v>61012</v>
      </c>
      <c r="B144" s="89" t="s">
        <v>173</v>
      </c>
      <c r="C144" s="89">
        <f>$C$1</f>
        <v>0</v>
      </c>
      <c r="D144" s="89" t="s">
        <v>21</v>
      </c>
      <c r="E144" s="89" t="s">
        <v>165</v>
      </c>
      <c r="I144" s="52" t="s">
        <v>176</v>
      </c>
      <c r="J144" s="55">
        <f>SUMIF($D$94:$D$133,D144,$J$94:$J$133)*0.13*0</f>
        <v>0</v>
      </c>
      <c r="K144" s="55">
        <f>SUMIF($D$94:$D$133,D144,$K$94:$K$133)*0.13</f>
        <v>0</v>
      </c>
      <c r="L144" s="55">
        <f>SUMIF($D$94:$D$133,D144,$L$94:$L$133)*0.13*0</f>
        <v>0</v>
      </c>
      <c r="M144" s="55">
        <f>SUMIF($D$94:$D$133,D144,$M$94:$M$133)*0.13</f>
        <v>0</v>
      </c>
      <c r="N144" s="55">
        <f>SUMIF($D$94:$D$133,D144,$N$94:$N$133)*0.13</f>
        <v>0</v>
      </c>
      <c r="O144" s="50">
        <f t="shared" si="22"/>
        <v>0</v>
      </c>
    </row>
    <row r="145" spans="1:16" x14ac:dyDescent="0.25">
      <c r="A145" s="51">
        <v>61012</v>
      </c>
      <c r="B145" s="49" t="s">
        <v>173</v>
      </c>
      <c r="C145" s="85">
        <f t="shared" si="26"/>
        <v>0</v>
      </c>
      <c r="D145" s="52" t="s">
        <v>24</v>
      </c>
      <c r="E145" s="49" t="s">
        <v>165</v>
      </c>
      <c r="I145" s="52" t="s">
        <v>177</v>
      </c>
      <c r="J145" s="55">
        <f t="shared" si="32"/>
        <v>0</v>
      </c>
      <c r="K145" s="55">
        <f t="shared" si="33"/>
        <v>0</v>
      </c>
      <c r="L145" s="55">
        <f t="shared" si="34"/>
        <v>0</v>
      </c>
      <c r="M145" s="55">
        <f t="shared" si="35"/>
        <v>0</v>
      </c>
      <c r="N145" s="55">
        <f t="shared" si="36"/>
        <v>0</v>
      </c>
      <c r="O145" s="50">
        <f t="shared" si="22"/>
        <v>0</v>
      </c>
    </row>
    <row r="146" spans="1:16" x14ac:dyDescent="0.25">
      <c r="A146" s="51">
        <v>61012</v>
      </c>
      <c r="B146" s="49" t="s">
        <v>173</v>
      </c>
      <c r="C146" s="85">
        <f t="shared" si="26"/>
        <v>0</v>
      </c>
      <c r="D146" s="52" t="s">
        <v>27</v>
      </c>
      <c r="E146" s="49" t="s">
        <v>165</v>
      </c>
      <c r="I146" s="52" t="s">
        <v>178</v>
      </c>
      <c r="J146" s="55">
        <f t="shared" si="32"/>
        <v>0</v>
      </c>
      <c r="K146" s="55">
        <f t="shared" si="33"/>
        <v>0</v>
      </c>
      <c r="L146" s="55">
        <f t="shared" si="34"/>
        <v>0</v>
      </c>
      <c r="M146" s="55">
        <f t="shared" si="35"/>
        <v>0</v>
      </c>
      <c r="N146" s="55">
        <f t="shared" si="36"/>
        <v>0</v>
      </c>
      <c r="O146" s="50">
        <f t="shared" si="22"/>
        <v>0</v>
      </c>
    </row>
    <row r="147" spans="1:16" x14ac:dyDescent="0.25">
      <c r="A147" s="51">
        <v>61012</v>
      </c>
      <c r="B147" s="49" t="s">
        <v>173</v>
      </c>
      <c r="C147" s="85">
        <f t="shared" si="26"/>
        <v>0</v>
      </c>
      <c r="D147" s="52" t="s">
        <v>36</v>
      </c>
      <c r="E147" s="49" t="s">
        <v>165</v>
      </c>
      <c r="I147" s="52" t="s">
        <v>179</v>
      </c>
      <c r="J147" s="55">
        <f t="shared" si="32"/>
        <v>0</v>
      </c>
      <c r="K147" s="55">
        <f t="shared" si="33"/>
        <v>0</v>
      </c>
      <c r="L147" s="55">
        <f t="shared" si="34"/>
        <v>0</v>
      </c>
      <c r="M147" s="55">
        <f t="shared" si="35"/>
        <v>0</v>
      </c>
      <c r="N147" s="55">
        <f t="shared" si="36"/>
        <v>0</v>
      </c>
      <c r="O147" s="50">
        <f t="shared" si="22"/>
        <v>0</v>
      </c>
    </row>
    <row r="148" spans="1:16" x14ac:dyDescent="0.25">
      <c r="A148" s="51">
        <v>61012</v>
      </c>
      <c r="B148" s="49" t="s">
        <v>173</v>
      </c>
      <c r="C148" s="85">
        <f t="shared" si="26"/>
        <v>0</v>
      </c>
      <c r="D148" s="52" t="s">
        <v>39</v>
      </c>
      <c r="E148" s="49" t="s">
        <v>165</v>
      </c>
      <c r="I148" s="52" t="s">
        <v>180</v>
      </c>
      <c r="J148" s="55">
        <f t="shared" si="32"/>
        <v>0</v>
      </c>
      <c r="K148" s="55">
        <f t="shared" si="33"/>
        <v>0</v>
      </c>
      <c r="L148" s="55">
        <f>SUMIF($D$94:$D$132,D148,$L$94:$L$133)*0.155+SUMIF($D$94:$D$133,D144,$L$94:$L$133)*0.155</f>
        <v>8014.9929888997458</v>
      </c>
      <c r="M148" s="55">
        <f t="shared" si="35"/>
        <v>0</v>
      </c>
      <c r="N148" s="55">
        <f t="shared" si="36"/>
        <v>0</v>
      </c>
      <c r="O148" s="50">
        <f t="shared" si="22"/>
        <v>8014.9929888997458</v>
      </c>
    </row>
    <row r="149" spans="1:16" x14ac:dyDescent="0.25">
      <c r="A149" s="51">
        <v>60037</v>
      </c>
      <c r="B149" s="52" t="s">
        <v>181</v>
      </c>
      <c r="C149" s="85">
        <f t="shared" si="26"/>
        <v>0</v>
      </c>
      <c r="D149" s="49" t="s">
        <v>9</v>
      </c>
      <c r="E149" s="49" t="s">
        <v>165</v>
      </c>
      <c r="I149" s="52" t="s">
        <v>182</v>
      </c>
      <c r="J149" s="55">
        <f>(J39*2500)*0+(J40*2000)*0+(J42*1750)+(SUM(J44:J47)*1750)+(SUM(J48:J49)*500)+(SUM(J51:J53)*500)+(SUM(J57:J60)*500)</f>
        <v>3500</v>
      </c>
      <c r="K149" s="55">
        <f t="shared" ref="K149:N149" si="37">(K39*2500)*0+(K40*2000)*0+(K42*1750)+(SUM(K44:K47)*1750)+(SUM(K48:K49)*500)+(SUM(K51:K53)*500)+(SUM(K57:K60)*500)</f>
        <v>0</v>
      </c>
      <c r="L149" s="55">
        <f t="shared" si="37"/>
        <v>500</v>
      </c>
      <c r="M149" s="55">
        <f t="shared" si="37"/>
        <v>0</v>
      </c>
      <c r="N149" s="55">
        <f t="shared" si="37"/>
        <v>0</v>
      </c>
      <c r="O149" s="50">
        <f t="shared" si="22"/>
        <v>4000</v>
      </c>
    </row>
    <row r="150" spans="1:16" x14ac:dyDescent="0.25">
      <c r="A150" s="51">
        <v>60037</v>
      </c>
      <c r="B150" s="52" t="s">
        <v>181</v>
      </c>
      <c r="C150" s="85">
        <f t="shared" si="26"/>
        <v>0</v>
      </c>
      <c r="D150" s="49" t="s">
        <v>9</v>
      </c>
      <c r="E150" s="49" t="s">
        <v>165</v>
      </c>
      <c r="I150" s="52" t="s">
        <v>183</v>
      </c>
      <c r="J150" s="55">
        <f>(J39+J40+J42+J44+J45+J46+J47+J48+J49+J51+J52+J53+J57+J58+J59+J60)*125+125*3</f>
        <v>750</v>
      </c>
      <c r="K150" s="55">
        <f>(K39+K40+K42+K44+K45+K46+K47+K48+K49+K51+K52+K53+K57+K58+K59+K60)*125</f>
        <v>0</v>
      </c>
      <c r="L150" s="55">
        <f t="shared" ref="L150:N150" si="38">(L39+L40+L42+L44+L45+L46+L47+L48+L49+L51+L52+L53+L57+L58+L59+L60)*125</f>
        <v>125</v>
      </c>
      <c r="M150" s="55">
        <f t="shared" si="38"/>
        <v>0</v>
      </c>
      <c r="N150" s="55">
        <f t="shared" si="38"/>
        <v>0</v>
      </c>
      <c r="O150" s="50">
        <f t="shared" si="22"/>
        <v>875</v>
      </c>
    </row>
    <row r="151" spans="1:16" x14ac:dyDescent="0.25">
      <c r="A151" s="51">
        <v>60037</v>
      </c>
      <c r="B151" s="52" t="s">
        <v>181</v>
      </c>
      <c r="C151" s="85">
        <f t="shared" si="26"/>
        <v>0</v>
      </c>
      <c r="D151" s="49" t="s">
        <v>9</v>
      </c>
      <c r="E151" s="49" t="s">
        <v>165</v>
      </c>
      <c r="I151" s="52" t="s">
        <v>184</v>
      </c>
      <c r="J151" s="55"/>
      <c r="K151" s="55"/>
      <c r="L151" s="55"/>
      <c r="M151" s="55"/>
      <c r="N151" s="55"/>
      <c r="O151" s="50">
        <f t="shared" si="22"/>
        <v>0</v>
      </c>
    </row>
    <row r="152" spans="1:16" x14ac:dyDescent="0.25">
      <c r="A152" s="56">
        <v>61251</v>
      </c>
      <c r="B152" s="57" t="s">
        <v>185</v>
      </c>
      <c r="C152" s="85">
        <f t="shared" si="26"/>
        <v>0</v>
      </c>
      <c r="D152" s="49" t="s">
        <v>9</v>
      </c>
      <c r="E152" s="52" t="s">
        <v>186</v>
      </c>
      <c r="I152" s="57" t="s">
        <v>187</v>
      </c>
      <c r="J152" s="58"/>
      <c r="K152" s="58"/>
      <c r="L152" s="58"/>
      <c r="M152" s="58"/>
      <c r="N152" s="58"/>
      <c r="O152" s="50">
        <f t="shared" si="22"/>
        <v>0</v>
      </c>
    </row>
    <row r="153" spans="1:16" x14ac:dyDescent="0.25">
      <c r="A153" s="98"/>
      <c r="B153" s="98"/>
      <c r="C153" s="98"/>
      <c r="D153" s="98"/>
      <c r="E153" s="98"/>
      <c r="F153" s="96"/>
      <c r="H153" s="93" t="s">
        <v>188</v>
      </c>
      <c r="I153" s="94"/>
      <c r="J153" s="92">
        <f t="shared" ref="J153:O153" si="39">SUM(J135:J152)</f>
        <v>159075.91043325746</v>
      </c>
      <c r="K153" s="92">
        <f t="shared" si="39"/>
        <v>0</v>
      </c>
      <c r="L153" s="92">
        <f t="shared" si="39"/>
        <v>28936.02362208136</v>
      </c>
      <c r="M153" s="92">
        <f t="shared" si="39"/>
        <v>0</v>
      </c>
      <c r="N153" s="92">
        <f t="shared" si="39"/>
        <v>0</v>
      </c>
      <c r="O153" s="92">
        <f t="shared" si="39"/>
        <v>188011.93405533885</v>
      </c>
      <c r="P153" s="96"/>
    </row>
    <row r="154" spans="1:16" ht="16.5" thickBot="1" x14ac:dyDescent="0.3">
      <c r="J154" s="99"/>
      <c r="K154" s="99"/>
      <c r="L154" s="99"/>
      <c r="M154" s="99"/>
      <c r="N154" s="99"/>
      <c r="O154" s="99"/>
    </row>
    <row r="155" spans="1:16" ht="16.5" thickBot="1" x14ac:dyDescent="0.3">
      <c r="A155" s="68" t="s">
        <v>5</v>
      </c>
      <c r="B155" s="68" t="s">
        <v>91</v>
      </c>
      <c r="C155" s="68" t="s">
        <v>92</v>
      </c>
      <c r="D155" s="68" t="s">
        <v>4</v>
      </c>
      <c r="E155" s="68" t="s">
        <v>93</v>
      </c>
      <c r="H155" s="100" t="s">
        <v>189</v>
      </c>
      <c r="I155" s="82"/>
      <c r="J155" s="101" t="str">
        <f>J20</f>
        <v>Operating</v>
      </c>
      <c r="K155" s="101" t="str">
        <f t="shared" ref="K155:O155" si="40">K20</f>
        <v>SPED</v>
      </c>
      <c r="L155" s="101" t="str">
        <f t="shared" si="40"/>
        <v>NSLP</v>
      </c>
      <c r="M155" s="101" t="str">
        <f t="shared" si="40"/>
        <v>Title(s)</v>
      </c>
      <c r="N155" s="101" t="str">
        <f t="shared" si="40"/>
        <v>Other</v>
      </c>
      <c r="O155" s="101" t="str">
        <f t="shared" si="40"/>
        <v>Total</v>
      </c>
    </row>
    <row r="156" spans="1:16" x14ac:dyDescent="0.25">
      <c r="A156" s="73"/>
      <c r="B156" s="74"/>
      <c r="C156" s="74"/>
      <c r="D156" s="74"/>
      <c r="E156" s="74"/>
      <c r="H156" s="77" t="s">
        <v>190</v>
      </c>
      <c r="I156" s="78"/>
      <c r="J156" s="79"/>
      <c r="K156" s="79"/>
      <c r="L156" s="79"/>
      <c r="M156" s="79"/>
      <c r="N156" s="79"/>
      <c r="O156" s="79"/>
    </row>
    <row r="157" spans="1:16" x14ac:dyDescent="0.25">
      <c r="A157" s="51">
        <v>60010</v>
      </c>
      <c r="B157" s="49" t="s">
        <v>191</v>
      </c>
      <c r="C157" s="85">
        <f t="shared" ref="C157:C167" si="41">$C$1</f>
        <v>0</v>
      </c>
      <c r="D157" s="49" t="s">
        <v>9</v>
      </c>
      <c r="E157" s="52" t="s">
        <v>186</v>
      </c>
      <c r="I157" s="49" t="s">
        <v>192</v>
      </c>
      <c r="J157" s="102">
        <v>0</v>
      </c>
      <c r="K157" s="102"/>
      <c r="L157" s="102"/>
      <c r="M157" s="102"/>
      <c r="N157" s="102"/>
      <c r="O157" s="50">
        <f t="shared" ref="O157:O200" si="42">SUM(J157:N157)</f>
        <v>0</v>
      </c>
    </row>
    <row r="158" spans="1:16" x14ac:dyDescent="0.25">
      <c r="A158" s="51">
        <v>60010</v>
      </c>
      <c r="B158" s="49" t="s">
        <v>191</v>
      </c>
      <c r="C158" s="85">
        <f t="shared" si="41"/>
        <v>0</v>
      </c>
      <c r="D158" s="52" t="s">
        <v>18</v>
      </c>
      <c r="E158" s="52" t="s">
        <v>186</v>
      </c>
      <c r="I158" s="49" t="s">
        <v>193</v>
      </c>
      <c r="J158" s="102"/>
      <c r="K158" s="102"/>
      <c r="L158" s="102"/>
      <c r="M158" s="102"/>
      <c r="N158" s="102"/>
      <c r="O158" s="50">
        <f t="shared" si="42"/>
        <v>0</v>
      </c>
    </row>
    <row r="159" spans="1:16" x14ac:dyDescent="0.25">
      <c r="A159" s="51">
        <v>60010</v>
      </c>
      <c r="B159" s="49" t="s">
        <v>191</v>
      </c>
      <c r="C159" s="85">
        <f t="shared" si="41"/>
        <v>0</v>
      </c>
      <c r="D159" s="52" t="s">
        <v>36</v>
      </c>
      <c r="E159" s="52" t="s">
        <v>186</v>
      </c>
      <c r="I159" s="49" t="s">
        <v>194</v>
      </c>
      <c r="J159" s="102">
        <v>0</v>
      </c>
      <c r="K159" s="102"/>
      <c r="L159" s="102"/>
      <c r="M159" s="102">
        <f>(84*24*40)*M41</f>
        <v>0</v>
      </c>
      <c r="N159" s="102"/>
      <c r="O159" s="50">
        <f t="shared" si="42"/>
        <v>0</v>
      </c>
    </row>
    <row r="160" spans="1:16" x14ac:dyDescent="0.25">
      <c r="A160" s="51">
        <v>60010</v>
      </c>
      <c r="B160" s="52" t="s">
        <v>191</v>
      </c>
      <c r="C160" s="85">
        <f t="shared" si="41"/>
        <v>0</v>
      </c>
      <c r="D160" s="52" t="s">
        <v>12</v>
      </c>
      <c r="E160" s="52" t="s">
        <v>186</v>
      </c>
      <c r="I160" s="52" t="s">
        <v>67</v>
      </c>
      <c r="J160" s="55">
        <v>0</v>
      </c>
      <c r="K160" s="55"/>
      <c r="L160" s="55"/>
      <c r="M160" s="55"/>
      <c r="N160" s="55"/>
      <c r="O160" s="50">
        <f t="shared" si="42"/>
        <v>0</v>
      </c>
    </row>
    <row r="161" spans="1:15" x14ac:dyDescent="0.25">
      <c r="A161" s="51">
        <v>60010</v>
      </c>
      <c r="B161" s="52" t="s">
        <v>191</v>
      </c>
      <c r="C161" s="85">
        <f t="shared" si="41"/>
        <v>0</v>
      </c>
      <c r="D161" s="52" t="s">
        <v>36</v>
      </c>
      <c r="E161" s="52" t="s">
        <v>186</v>
      </c>
      <c r="I161" s="52" t="s">
        <v>195</v>
      </c>
      <c r="J161" s="55"/>
      <c r="K161" s="55"/>
      <c r="L161" s="55"/>
      <c r="M161" s="55"/>
      <c r="N161" s="55"/>
      <c r="O161" s="50">
        <f t="shared" si="42"/>
        <v>0</v>
      </c>
    </row>
    <row r="162" spans="1:15" x14ac:dyDescent="0.25">
      <c r="A162" s="51">
        <v>60010</v>
      </c>
      <c r="B162" s="52" t="s">
        <v>191</v>
      </c>
      <c r="C162" s="85">
        <f t="shared" si="41"/>
        <v>0</v>
      </c>
      <c r="D162" s="49" t="s">
        <v>9</v>
      </c>
      <c r="E162" s="52" t="s">
        <v>186</v>
      </c>
      <c r="I162" s="52" t="s">
        <v>196</v>
      </c>
      <c r="J162" s="55">
        <f>(55200*1.015*1.015*1.015*1.015*1.015)*(J36-J35-J28)+0-J165-J163-K162</f>
        <v>369027.31881804246</v>
      </c>
      <c r="K162" s="55">
        <f>25500</f>
        <v>25500</v>
      </c>
      <c r="L162" s="55"/>
      <c r="M162" s="55"/>
      <c r="N162" s="55"/>
      <c r="O162" s="50">
        <f t="shared" si="42"/>
        <v>394527.31881804246</v>
      </c>
    </row>
    <row r="163" spans="1:15" x14ac:dyDescent="0.25">
      <c r="A163" s="51">
        <v>60010</v>
      </c>
      <c r="B163" s="52" t="s">
        <v>191</v>
      </c>
      <c r="C163" s="85">
        <f t="shared" si="41"/>
        <v>0</v>
      </c>
      <c r="D163" s="52" t="s">
        <v>12</v>
      </c>
      <c r="E163" s="52" t="s">
        <v>186</v>
      </c>
      <c r="I163" s="52" t="s">
        <v>197</v>
      </c>
      <c r="J163" s="55">
        <f>416711*(J22/J17)</f>
        <v>56312.2972972973</v>
      </c>
      <c r="K163" s="55"/>
      <c r="L163" s="55"/>
      <c r="M163" s="55"/>
      <c r="N163" s="55"/>
      <c r="O163" s="50">
        <f t="shared" si="42"/>
        <v>56312.2972972973</v>
      </c>
    </row>
    <row r="164" spans="1:15" x14ac:dyDescent="0.25">
      <c r="A164" s="51">
        <v>60010</v>
      </c>
      <c r="B164" s="52" t="s">
        <v>191</v>
      </c>
      <c r="C164" s="85">
        <f t="shared" si="41"/>
        <v>0</v>
      </c>
      <c r="D164" s="52" t="s">
        <v>18</v>
      </c>
      <c r="E164" s="52" t="s">
        <v>186</v>
      </c>
      <c r="I164" s="52" t="s">
        <v>198</v>
      </c>
      <c r="J164" s="55"/>
      <c r="K164" s="55"/>
      <c r="L164" s="55"/>
      <c r="M164" s="55"/>
      <c r="N164" s="55"/>
      <c r="O164" s="50">
        <f t="shared" si="42"/>
        <v>0</v>
      </c>
    </row>
    <row r="165" spans="1:15" x14ac:dyDescent="0.25">
      <c r="A165" s="51">
        <v>60010</v>
      </c>
      <c r="B165" s="52" t="s">
        <v>191</v>
      </c>
      <c r="C165" s="85">
        <f t="shared" si="41"/>
        <v>0</v>
      </c>
      <c r="D165" s="52" t="s">
        <v>21</v>
      </c>
      <c r="E165" s="52" t="s">
        <v>186</v>
      </c>
      <c r="I165" s="52" t="s">
        <v>199</v>
      </c>
      <c r="J165" s="55">
        <v>24889</v>
      </c>
      <c r="K165" s="55"/>
      <c r="L165" s="55"/>
      <c r="M165" s="55"/>
      <c r="N165" s="55"/>
      <c r="O165" s="50">
        <f t="shared" si="42"/>
        <v>24889</v>
      </c>
    </row>
    <row r="166" spans="1:15" x14ac:dyDescent="0.25">
      <c r="A166" s="51">
        <v>60010</v>
      </c>
      <c r="B166" s="52" t="s">
        <v>191</v>
      </c>
      <c r="C166" s="85">
        <f t="shared" si="41"/>
        <v>0</v>
      </c>
      <c r="D166" s="52" t="s">
        <v>24</v>
      </c>
      <c r="E166" s="52" t="s">
        <v>186</v>
      </c>
      <c r="I166" s="52" t="s">
        <v>200</v>
      </c>
      <c r="J166" s="55"/>
      <c r="K166" s="55"/>
      <c r="L166" s="55"/>
      <c r="M166" s="55"/>
      <c r="N166" s="55"/>
      <c r="O166" s="50">
        <f t="shared" si="42"/>
        <v>0</v>
      </c>
    </row>
    <row r="167" spans="1:15" ht="16.5" thickBot="1" x14ac:dyDescent="0.3">
      <c r="A167" s="51">
        <v>60010</v>
      </c>
      <c r="B167" s="52" t="s">
        <v>191</v>
      </c>
      <c r="C167" s="85">
        <f t="shared" si="41"/>
        <v>0</v>
      </c>
      <c r="D167" s="52" t="s">
        <v>15</v>
      </c>
      <c r="E167" s="52" t="s">
        <v>186</v>
      </c>
      <c r="I167" s="52" t="s">
        <v>201</v>
      </c>
      <c r="J167" s="55"/>
      <c r="K167" s="55"/>
      <c r="L167" s="55"/>
      <c r="M167" s="55"/>
      <c r="N167" s="55"/>
      <c r="O167" s="50">
        <f t="shared" si="42"/>
        <v>0</v>
      </c>
    </row>
    <row r="168" spans="1:15" x14ac:dyDescent="0.25">
      <c r="A168" s="73"/>
      <c r="B168" s="74"/>
      <c r="C168" s="74"/>
      <c r="D168" s="74"/>
      <c r="E168" s="74"/>
      <c r="H168" s="77" t="s">
        <v>202</v>
      </c>
      <c r="I168" s="78"/>
      <c r="J168" s="79"/>
      <c r="K168" s="79"/>
      <c r="L168" s="79"/>
      <c r="M168" s="79"/>
      <c r="N168" s="79"/>
      <c r="O168" s="79"/>
    </row>
    <row r="169" spans="1:15" ht="16.5" thickBot="1" x14ac:dyDescent="0.3">
      <c r="A169" s="51">
        <v>60013</v>
      </c>
      <c r="B169" s="52" t="s">
        <v>191</v>
      </c>
      <c r="C169" s="85">
        <f>$C$1</f>
        <v>0</v>
      </c>
      <c r="D169" s="52" t="s">
        <v>27</v>
      </c>
      <c r="E169" s="52" t="s">
        <v>186</v>
      </c>
      <c r="I169" s="52" t="s">
        <v>203</v>
      </c>
      <c r="J169" s="55">
        <f>50000*(J28)</f>
        <v>0</v>
      </c>
      <c r="K169" s="55">
        <f>(51045*1.015*1.015*1.015*1.015*1.015)*(K28)</f>
        <v>54989.961978277905</v>
      </c>
      <c r="L169" s="55"/>
      <c r="M169" s="55"/>
      <c r="N169" s="55"/>
      <c r="O169" s="50">
        <f t="shared" si="42"/>
        <v>54989.961978277905</v>
      </c>
    </row>
    <row r="170" spans="1:15" x14ac:dyDescent="0.25">
      <c r="A170" s="73"/>
      <c r="B170" s="74"/>
      <c r="C170" s="74"/>
      <c r="D170" s="74"/>
      <c r="E170" s="74"/>
      <c r="H170" s="77" t="s">
        <v>202</v>
      </c>
      <c r="I170" s="78"/>
      <c r="J170" s="79"/>
      <c r="K170" s="79"/>
      <c r="L170" s="79"/>
      <c r="M170" s="79"/>
      <c r="N170" s="79"/>
      <c r="O170" s="79"/>
    </row>
    <row r="171" spans="1:15" x14ac:dyDescent="0.25">
      <c r="A171" s="51">
        <v>60020</v>
      </c>
      <c r="B171" s="52" t="s">
        <v>204</v>
      </c>
      <c r="C171" s="85">
        <f t="shared" ref="C171:C177" si="43">$C$1</f>
        <v>0</v>
      </c>
      <c r="D171" s="49" t="s">
        <v>9</v>
      </c>
      <c r="E171" s="52" t="s">
        <v>186</v>
      </c>
      <c r="I171" s="52" t="s">
        <v>205</v>
      </c>
      <c r="J171" s="55">
        <v>0</v>
      </c>
      <c r="K171" s="55"/>
      <c r="L171" s="55"/>
      <c r="M171" s="55"/>
      <c r="N171" s="55"/>
      <c r="O171" s="50">
        <f t="shared" si="42"/>
        <v>0</v>
      </c>
    </row>
    <row r="172" spans="1:15" x14ac:dyDescent="0.25">
      <c r="A172" s="51">
        <v>60020</v>
      </c>
      <c r="B172" s="52" t="s">
        <v>204</v>
      </c>
      <c r="C172" s="85">
        <f t="shared" si="43"/>
        <v>0</v>
      </c>
      <c r="D172" s="52" t="s">
        <v>18</v>
      </c>
      <c r="E172" s="52" t="s">
        <v>186</v>
      </c>
      <c r="I172" s="52" t="s">
        <v>206</v>
      </c>
      <c r="J172" s="55"/>
      <c r="K172" s="55"/>
      <c r="L172" s="55"/>
      <c r="M172" s="55">
        <v>5000</v>
      </c>
      <c r="N172" s="55"/>
      <c r="O172" s="50">
        <f t="shared" si="42"/>
        <v>5000</v>
      </c>
    </row>
    <row r="173" spans="1:15" x14ac:dyDescent="0.25">
      <c r="A173" s="51">
        <v>60020</v>
      </c>
      <c r="B173" s="52" t="s">
        <v>204</v>
      </c>
      <c r="C173" s="85">
        <f t="shared" si="43"/>
        <v>0</v>
      </c>
      <c r="D173" s="52" t="s">
        <v>12</v>
      </c>
      <c r="E173" s="52" t="s">
        <v>186</v>
      </c>
      <c r="I173" s="52" t="s">
        <v>207</v>
      </c>
      <c r="J173" s="55">
        <v>0</v>
      </c>
      <c r="K173" s="55"/>
      <c r="L173" s="55"/>
      <c r="M173" s="55"/>
      <c r="N173" s="55"/>
      <c r="O173" s="50">
        <f t="shared" si="42"/>
        <v>0</v>
      </c>
    </row>
    <row r="174" spans="1:15" x14ac:dyDescent="0.25">
      <c r="A174" s="86">
        <v>60020</v>
      </c>
      <c r="B174" s="89" t="s">
        <v>204</v>
      </c>
      <c r="C174" s="89">
        <f t="shared" si="43"/>
        <v>0</v>
      </c>
      <c r="D174" s="89" t="s">
        <v>21</v>
      </c>
      <c r="E174" s="89" t="s">
        <v>186</v>
      </c>
      <c r="I174" s="52" t="s">
        <v>208</v>
      </c>
      <c r="J174" s="55">
        <v>0</v>
      </c>
      <c r="K174" s="55"/>
      <c r="L174" s="55"/>
      <c r="M174" s="55">
        <v>351</v>
      </c>
      <c r="N174" s="55"/>
      <c r="O174" s="50">
        <f t="shared" ref="O174" si="44">SUM(J174:N174)</f>
        <v>351</v>
      </c>
    </row>
    <row r="175" spans="1:15" x14ac:dyDescent="0.25">
      <c r="A175" s="51">
        <v>60020</v>
      </c>
      <c r="B175" s="52" t="s">
        <v>209</v>
      </c>
      <c r="C175" s="85">
        <f t="shared" si="43"/>
        <v>0</v>
      </c>
      <c r="D175" s="52" t="s">
        <v>24</v>
      </c>
      <c r="E175" s="52" t="s">
        <v>186</v>
      </c>
      <c r="I175" s="52" t="s">
        <v>210</v>
      </c>
      <c r="J175" s="55">
        <v>0</v>
      </c>
      <c r="K175" s="55"/>
      <c r="L175" s="55"/>
      <c r="M175" s="55"/>
      <c r="N175" s="55"/>
      <c r="O175" s="50">
        <f t="shared" si="42"/>
        <v>0</v>
      </c>
    </row>
    <row r="176" spans="1:15" x14ac:dyDescent="0.25">
      <c r="A176" s="51">
        <v>60020</v>
      </c>
      <c r="B176" s="52" t="s">
        <v>209</v>
      </c>
      <c r="C176" s="85">
        <f t="shared" si="43"/>
        <v>0</v>
      </c>
      <c r="D176" s="52" t="s">
        <v>27</v>
      </c>
      <c r="E176" s="52" t="s">
        <v>186</v>
      </c>
      <c r="I176" s="52" t="s">
        <v>211</v>
      </c>
      <c r="J176" s="55"/>
      <c r="K176" s="55"/>
      <c r="L176" s="55"/>
      <c r="M176" s="55"/>
      <c r="N176" s="55"/>
      <c r="O176" s="50">
        <f t="shared" si="42"/>
        <v>0</v>
      </c>
    </row>
    <row r="177" spans="1:16" ht="16.5" thickBot="1" x14ac:dyDescent="0.3">
      <c r="A177" s="51">
        <v>60020</v>
      </c>
      <c r="B177" s="52" t="s">
        <v>209</v>
      </c>
      <c r="C177" s="85">
        <f t="shared" si="43"/>
        <v>0</v>
      </c>
      <c r="D177" s="52" t="s">
        <v>36</v>
      </c>
      <c r="E177" s="52" t="s">
        <v>186</v>
      </c>
      <c r="I177" s="52" t="s">
        <v>212</v>
      </c>
      <c r="J177" s="55"/>
      <c r="K177" s="55"/>
      <c r="L177" s="55"/>
      <c r="M177" s="55">
        <f>(17.5*8*180)*M50-M172-M174</f>
        <v>19849</v>
      </c>
      <c r="N177" s="55"/>
      <c r="O177" s="50">
        <f t="shared" si="42"/>
        <v>19849</v>
      </c>
    </row>
    <row r="178" spans="1:16" x14ac:dyDescent="0.25">
      <c r="A178" s="73"/>
      <c r="B178" s="74"/>
      <c r="C178" s="74"/>
      <c r="D178" s="74"/>
      <c r="E178" s="74"/>
      <c r="H178" s="77" t="s">
        <v>213</v>
      </c>
      <c r="I178" s="78"/>
      <c r="J178" s="79"/>
      <c r="K178" s="79"/>
      <c r="L178" s="79"/>
      <c r="M178" s="79"/>
      <c r="N178" s="79"/>
      <c r="O178" s="79"/>
    </row>
    <row r="179" spans="1:16" x14ac:dyDescent="0.25">
      <c r="A179" s="56">
        <v>60030</v>
      </c>
      <c r="B179" s="57" t="s">
        <v>214</v>
      </c>
      <c r="C179" s="85">
        <f>$C$1</f>
        <v>0</v>
      </c>
      <c r="D179" s="49" t="s">
        <v>9</v>
      </c>
      <c r="E179" s="52" t="s">
        <v>186</v>
      </c>
      <c r="I179" s="57" t="s">
        <v>85</v>
      </c>
      <c r="J179" s="58">
        <f>170*180*J59</f>
        <v>0</v>
      </c>
      <c r="K179" s="58"/>
      <c r="L179" s="58"/>
      <c r="M179" s="58"/>
      <c r="N179" s="58"/>
      <c r="O179" s="50">
        <f t="shared" si="42"/>
        <v>0</v>
      </c>
    </row>
    <row r="180" spans="1:16" x14ac:dyDescent="0.25">
      <c r="A180" s="98"/>
      <c r="B180" s="98"/>
      <c r="C180" s="98"/>
      <c r="D180" s="98"/>
      <c r="E180" s="98"/>
      <c r="F180" s="95"/>
      <c r="H180" s="93" t="s">
        <v>215</v>
      </c>
      <c r="I180" s="103"/>
      <c r="J180" s="92">
        <f t="shared" ref="J180:O180" si="45">SUM(J157:J179)</f>
        <v>450228.61611533974</v>
      </c>
      <c r="K180" s="92">
        <f t="shared" si="45"/>
        <v>80489.961978277905</v>
      </c>
      <c r="L180" s="92">
        <f t="shared" si="45"/>
        <v>0</v>
      </c>
      <c r="M180" s="92">
        <f t="shared" si="45"/>
        <v>25200</v>
      </c>
      <c r="N180" s="92">
        <f t="shared" si="45"/>
        <v>0</v>
      </c>
      <c r="O180" s="92">
        <f t="shared" si="45"/>
        <v>555918.57809361769</v>
      </c>
      <c r="P180" s="95"/>
    </row>
    <row r="181" spans="1:16" x14ac:dyDescent="0.25">
      <c r="A181" s="46">
        <v>60505</v>
      </c>
      <c r="B181" s="49" t="s">
        <v>216</v>
      </c>
      <c r="C181" s="85">
        <f t="shared" ref="C181:C200" si="46">$C$1</f>
        <v>0</v>
      </c>
      <c r="D181" s="49" t="s">
        <v>9</v>
      </c>
      <c r="E181" s="52" t="s">
        <v>186</v>
      </c>
      <c r="F181" s="95"/>
      <c r="I181" s="49" t="s">
        <v>166</v>
      </c>
      <c r="J181" s="55">
        <f>SUMIF($D$157:$D$179,D181,$J$157:$J$179)*0.3925</f>
        <v>144843.22263608169</v>
      </c>
      <c r="K181" s="55">
        <f>SUMIF($D$157:$D$179,D181,$K$157:$K$179)*0.3925</f>
        <v>10008.75</v>
      </c>
      <c r="L181" s="55">
        <f t="shared" ref="L181:L188" si="47">SUMIF($D$157:$D$179,D181,$L$157:$L$179)*0.3675</f>
        <v>0</v>
      </c>
      <c r="M181" s="55">
        <f t="shared" ref="M181:M187" si="48">SUMIF($D$157:$D$179,D181,$M$157:$M$179)*0.3675</f>
        <v>0</v>
      </c>
      <c r="N181" s="55">
        <f t="shared" ref="N181:N188" si="49">SUMIF($D$157:$D$179,D181,$N$157:$N$179)*0.3675</f>
        <v>0</v>
      </c>
      <c r="O181" s="50">
        <f t="shared" si="42"/>
        <v>154851.97263608169</v>
      </c>
      <c r="P181" s="95"/>
    </row>
    <row r="182" spans="1:16" x14ac:dyDescent="0.25">
      <c r="A182" s="46">
        <v>60505</v>
      </c>
      <c r="B182" s="49" t="s">
        <v>216</v>
      </c>
      <c r="C182" s="85">
        <f t="shared" si="46"/>
        <v>0</v>
      </c>
      <c r="D182" s="52" t="s">
        <v>12</v>
      </c>
      <c r="E182" s="52" t="s">
        <v>186</v>
      </c>
      <c r="F182" s="95"/>
      <c r="I182" s="49" t="s">
        <v>217</v>
      </c>
      <c r="J182" s="55">
        <f>SUMIF($D$157:$D$179,D182,$J$157:$J$179)*0.3925</f>
        <v>22102.576689189191</v>
      </c>
      <c r="K182" s="55">
        <f t="shared" ref="K182:K188" si="50">SUMIF($D$157:$D$179,D182,$K$157:$K$179)*0.3675</f>
        <v>0</v>
      </c>
      <c r="L182" s="55">
        <f t="shared" si="47"/>
        <v>0</v>
      </c>
      <c r="M182" s="55">
        <f t="shared" si="48"/>
        <v>0</v>
      </c>
      <c r="N182" s="55">
        <f t="shared" si="49"/>
        <v>0</v>
      </c>
      <c r="O182" s="50">
        <f t="shared" si="42"/>
        <v>22102.576689189191</v>
      </c>
      <c r="P182" s="95"/>
    </row>
    <row r="183" spans="1:16" x14ac:dyDescent="0.25">
      <c r="A183" s="46">
        <v>60505</v>
      </c>
      <c r="B183" s="49" t="s">
        <v>216</v>
      </c>
      <c r="C183" s="85">
        <f t="shared" si="46"/>
        <v>0</v>
      </c>
      <c r="D183" s="52" t="s">
        <v>15</v>
      </c>
      <c r="E183" s="52" t="s">
        <v>186</v>
      </c>
      <c r="F183" s="95"/>
      <c r="I183" s="49" t="s">
        <v>218</v>
      </c>
      <c r="J183" s="55">
        <f t="shared" ref="J183:J188" si="51">SUMIF($D$157:$D$179,D183,$J$157:$J$179)*0.3675</f>
        <v>0</v>
      </c>
      <c r="K183" s="55">
        <f t="shared" si="50"/>
        <v>0</v>
      </c>
      <c r="L183" s="55">
        <f t="shared" si="47"/>
        <v>0</v>
      </c>
      <c r="M183" s="55">
        <f t="shared" si="48"/>
        <v>0</v>
      </c>
      <c r="N183" s="55">
        <f t="shared" si="49"/>
        <v>0</v>
      </c>
      <c r="O183" s="50">
        <f t="shared" si="42"/>
        <v>0</v>
      </c>
      <c r="P183" s="95"/>
    </row>
    <row r="184" spans="1:16" x14ac:dyDescent="0.25">
      <c r="A184" s="46">
        <v>60505</v>
      </c>
      <c r="B184" s="49" t="s">
        <v>216</v>
      </c>
      <c r="C184" s="85">
        <f t="shared" si="46"/>
        <v>0</v>
      </c>
      <c r="D184" s="52" t="s">
        <v>18</v>
      </c>
      <c r="E184" s="52" t="s">
        <v>186</v>
      </c>
      <c r="F184" s="95"/>
      <c r="I184" s="49" t="s">
        <v>167</v>
      </c>
      <c r="J184" s="55">
        <f t="shared" si="51"/>
        <v>0</v>
      </c>
      <c r="K184" s="55">
        <f t="shared" si="50"/>
        <v>0</v>
      </c>
      <c r="L184" s="55">
        <f t="shared" si="47"/>
        <v>0</v>
      </c>
      <c r="M184" s="55">
        <f>SUMIF($D$157:$D$179,D184,$M$157:$M$179)*0.3925</f>
        <v>1962.5</v>
      </c>
      <c r="N184" s="55">
        <f t="shared" si="49"/>
        <v>0</v>
      </c>
      <c r="O184" s="50">
        <f t="shared" si="42"/>
        <v>1962.5</v>
      </c>
      <c r="P184" s="95"/>
    </row>
    <row r="185" spans="1:16" x14ac:dyDescent="0.25">
      <c r="A185" s="46">
        <v>60505</v>
      </c>
      <c r="B185" s="49" t="s">
        <v>216</v>
      </c>
      <c r="C185" s="85">
        <f t="shared" si="46"/>
        <v>0</v>
      </c>
      <c r="D185" s="52" t="s">
        <v>21</v>
      </c>
      <c r="E185" s="52" t="s">
        <v>186</v>
      </c>
      <c r="F185" s="95"/>
      <c r="I185" s="49" t="s">
        <v>168</v>
      </c>
      <c r="J185" s="55">
        <f>SUMIF($D$157:$D$179,D185,$J$157:$J$179)*0.3925</f>
        <v>9768.9325000000008</v>
      </c>
      <c r="K185" s="55">
        <f t="shared" si="50"/>
        <v>0</v>
      </c>
      <c r="L185" s="55">
        <f t="shared" si="47"/>
        <v>0</v>
      </c>
      <c r="M185" s="55">
        <f>SUMIF($D$157:$D$179,D185,$M$157:$M$179)*0.3925</f>
        <v>137.76750000000001</v>
      </c>
      <c r="N185" s="55">
        <f t="shared" si="49"/>
        <v>0</v>
      </c>
      <c r="O185" s="50">
        <f t="shared" si="42"/>
        <v>9906.7000000000007</v>
      </c>
      <c r="P185" s="95"/>
    </row>
    <row r="186" spans="1:16" x14ac:dyDescent="0.25">
      <c r="A186" s="46">
        <v>60505</v>
      </c>
      <c r="B186" s="49" t="s">
        <v>216</v>
      </c>
      <c r="C186" s="85">
        <f t="shared" si="46"/>
        <v>0</v>
      </c>
      <c r="D186" s="52" t="s">
        <v>24</v>
      </c>
      <c r="E186" s="52" t="s">
        <v>186</v>
      </c>
      <c r="F186" s="95"/>
      <c r="I186" s="49" t="s">
        <v>169</v>
      </c>
      <c r="J186" s="55">
        <f t="shared" si="51"/>
        <v>0</v>
      </c>
      <c r="K186" s="55">
        <f t="shared" si="50"/>
        <v>0</v>
      </c>
      <c r="L186" s="55">
        <f t="shared" si="47"/>
        <v>0</v>
      </c>
      <c r="M186" s="55">
        <f t="shared" si="48"/>
        <v>0</v>
      </c>
      <c r="N186" s="55">
        <f t="shared" si="49"/>
        <v>0</v>
      </c>
      <c r="O186" s="50">
        <f t="shared" si="42"/>
        <v>0</v>
      </c>
      <c r="P186" s="95"/>
    </row>
    <row r="187" spans="1:16" x14ac:dyDescent="0.25">
      <c r="A187" s="46">
        <v>60505</v>
      </c>
      <c r="B187" s="49" t="s">
        <v>216</v>
      </c>
      <c r="C187" s="85">
        <f t="shared" si="46"/>
        <v>0</v>
      </c>
      <c r="D187" s="52" t="s">
        <v>27</v>
      </c>
      <c r="E187" s="52" t="s">
        <v>186</v>
      </c>
      <c r="F187" s="95"/>
      <c r="I187" s="49" t="s">
        <v>170</v>
      </c>
      <c r="J187" s="55">
        <f t="shared" si="51"/>
        <v>0</v>
      </c>
      <c r="K187" s="55">
        <f>SUMIF($D$157:$D$179,D187,$K$157:$K$179)*0.3925</f>
        <v>21583.560076474078</v>
      </c>
      <c r="L187" s="55">
        <f t="shared" si="47"/>
        <v>0</v>
      </c>
      <c r="M187" s="55">
        <f t="shared" si="48"/>
        <v>0</v>
      </c>
      <c r="N187" s="55">
        <f t="shared" si="49"/>
        <v>0</v>
      </c>
      <c r="O187" s="50">
        <f t="shared" si="42"/>
        <v>21583.560076474078</v>
      </c>
      <c r="P187" s="95"/>
    </row>
    <row r="188" spans="1:16" x14ac:dyDescent="0.25">
      <c r="A188" s="46">
        <v>60505</v>
      </c>
      <c r="B188" s="49" t="s">
        <v>216</v>
      </c>
      <c r="C188" s="85">
        <f t="shared" si="46"/>
        <v>0</v>
      </c>
      <c r="D188" s="52" t="s">
        <v>36</v>
      </c>
      <c r="E188" s="52" t="s">
        <v>186</v>
      </c>
      <c r="F188" s="95"/>
      <c r="I188" s="49" t="s">
        <v>171</v>
      </c>
      <c r="J188" s="55">
        <f t="shared" si="51"/>
        <v>0</v>
      </c>
      <c r="K188" s="55">
        <f t="shared" si="50"/>
        <v>0</v>
      </c>
      <c r="L188" s="55">
        <f t="shared" si="47"/>
        <v>0</v>
      </c>
      <c r="M188" s="55">
        <f>(SUMIF($D$157:$D$179,D188,$M$157:$M$179)-M159)*0.3925+SUMIF($D$157:$D$179,D193,$M$157:$M$179)*0.3925</f>
        <v>7928.5</v>
      </c>
      <c r="N188" s="55">
        <f t="shared" si="49"/>
        <v>0</v>
      </c>
      <c r="O188" s="50">
        <f t="shared" si="42"/>
        <v>7928.5</v>
      </c>
      <c r="P188" s="95"/>
    </row>
    <row r="189" spans="1:16" x14ac:dyDescent="0.25">
      <c r="A189" s="51">
        <v>60905</v>
      </c>
      <c r="B189" s="52" t="s">
        <v>219</v>
      </c>
      <c r="C189" s="85">
        <f t="shared" si="46"/>
        <v>0</v>
      </c>
      <c r="D189" s="49" t="s">
        <v>9</v>
      </c>
      <c r="E189" s="52" t="s">
        <v>186</v>
      </c>
      <c r="F189" s="95"/>
      <c r="I189" s="52" t="s">
        <v>174</v>
      </c>
      <c r="J189" s="55">
        <f>SUMIF($D$157:$D$179,D189,$J$157:$J$179)*0.155+SUMIF($D$157:$D$179,D193,$J$157:$J$179)*0.155</f>
        <v>61057.029416796577</v>
      </c>
      <c r="K189" s="55">
        <f>SUMIF($D$157:$D$179,D189,$K$157:$K$179)*0.155</f>
        <v>3952.5</v>
      </c>
      <c r="L189" s="55">
        <f t="shared" ref="L189:L196" si="52">SUMIF($D$157:$D$179,D189,$L$157:$L$179)*0.13</f>
        <v>0</v>
      </c>
      <c r="M189" s="55">
        <f>SUMIF($D$157:$D$179,D189,$M$157:$M$179)*0.13</f>
        <v>0</v>
      </c>
      <c r="N189" s="55">
        <f t="shared" ref="N189:N196" si="53">SUMIF($D$157:$D$179,D189,$N$157:$N$179)*0.13</f>
        <v>0</v>
      </c>
      <c r="O189" s="50">
        <f t="shared" si="42"/>
        <v>65009.529416796577</v>
      </c>
      <c r="P189" s="95"/>
    </row>
    <row r="190" spans="1:16" x14ac:dyDescent="0.25">
      <c r="A190" s="51">
        <v>60905</v>
      </c>
      <c r="B190" s="52" t="s">
        <v>219</v>
      </c>
      <c r="C190" s="85">
        <f t="shared" si="46"/>
        <v>0</v>
      </c>
      <c r="D190" s="52" t="s">
        <v>12</v>
      </c>
      <c r="E190" s="52" t="s">
        <v>186</v>
      </c>
      <c r="F190" s="95"/>
      <c r="I190" s="52" t="s">
        <v>220</v>
      </c>
      <c r="J190" s="55">
        <f>SUMIF($D$157:$D$179,D190,$J$157:$J$179)*0.155</f>
        <v>8728.4060810810806</v>
      </c>
      <c r="K190" s="55">
        <f t="shared" ref="K190:K196" si="54">SUMIF($D$157:$D$179,D190,$K$157:$K$179)*0.13</f>
        <v>0</v>
      </c>
      <c r="L190" s="55">
        <f t="shared" si="52"/>
        <v>0</v>
      </c>
      <c r="M190" s="55">
        <f>SUMIF($D$157:$D$179,D190,$M$157:$M$179)*0.13</f>
        <v>0</v>
      </c>
      <c r="N190" s="55">
        <f t="shared" si="53"/>
        <v>0</v>
      </c>
      <c r="O190" s="50">
        <f t="shared" si="42"/>
        <v>8728.4060810810806</v>
      </c>
      <c r="P190" s="95"/>
    </row>
    <row r="191" spans="1:16" x14ac:dyDescent="0.25">
      <c r="A191" s="51">
        <v>60905</v>
      </c>
      <c r="B191" s="52" t="s">
        <v>219</v>
      </c>
      <c r="C191" s="85">
        <f t="shared" si="46"/>
        <v>0</v>
      </c>
      <c r="D191" s="52" t="s">
        <v>15</v>
      </c>
      <c r="E191" s="52" t="s">
        <v>186</v>
      </c>
      <c r="F191" s="95"/>
      <c r="I191" s="52" t="s">
        <v>221</v>
      </c>
      <c r="J191" s="55">
        <f>SUMIF($D$157:$D$179,D191,$J$157:$J$179)*0.13</f>
        <v>0</v>
      </c>
      <c r="K191" s="55">
        <f t="shared" si="54"/>
        <v>0</v>
      </c>
      <c r="L191" s="55">
        <f t="shared" si="52"/>
        <v>0</v>
      </c>
      <c r="M191" s="55">
        <f>SUMIF($D$157:$D$179,D191,$M$157:$M$179)*0.13</f>
        <v>0</v>
      </c>
      <c r="N191" s="55">
        <f t="shared" si="53"/>
        <v>0</v>
      </c>
      <c r="O191" s="50">
        <f t="shared" si="42"/>
        <v>0</v>
      </c>
      <c r="P191" s="95"/>
    </row>
    <row r="192" spans="1:16" x14ac:dyDescent="0.25">
      <c r="A192" s="51">
        <v>60905</v>
      </c>
      <c r="B192" s="52" t="s">
        <v>219</v>
      </c>
      <c r="C192" s="85">
        <f t="shared" si="46"/>
        <v>0</v>
      </c>
      <c r="D192" s="52" t="s">
        <v>18</v>
      </c>
      <c r="E192" s="52" t="s">
        <v>186</v>
      </c>
      <c r="F192" s="95"/>
      <c r="I192" s="52" t="s">
        <v>175</v>
      </c>
      <c r="J192" s="55">
        <f>SUMIF($D$157:$D$179,D192,$J$157:$J$179)*0.13</f>
        <v>0</v>
      </c>
      <c r="K192" s="55">
        <f t="shared" si="54"/>
        <v>0</v>
      </c>
      <c r="L192" s="55">
        <f t="shared" si="52"/>
        <v>0</v>
      </c>
      <c r="M192" s="55">
        <f>SUMIF($D$157:$D$179,D192,$M$157:$M$179)*0.155</f>
        <v>775</v>
      </c>
      <c r="N192" s="55">
        <f t="shared" si="53"/>
        <v>0</v>
      </c>
      <c r="O192" s="50">
        <f t="shared" si="42"/>
        <v>775</v>
      </c>
      <c r="P192" s="95"/>
    </row>
    <row r="193" spans="1:16" x14ac:dyDescent="0.25">
      <c r="A193" s="51">
        <v>60905</v>
      </c>
      <c r="B193" s="52" t="s">
        <v>219</v>
      </c>
      <c r="C193" s="85">
        <f t="shared" si="46"/>
        <v>0</v>
      </c>
      <c r="D193" s="52" t="s">
        <v>21</v>
      </c>
      <c r="E193" s="52" t="s">
        <v>186</v>
      </c>
      <c r="F193" s="95"/>
      <c r="I193" s="52" t="s">
        <v>176</v>
      </c>
      <c r="J193" s="55">
        <f>SUMIF($D$157:$D$179,D193,$J$157:$J$179)*0.13*0</f>
        <v>0</v>
      </c>
      <c r="K193" s="55">
        <f t="shared" si="54"/>
        <v>0</v>
      </c>
      <c r="L193" s="55">
        <f t="shared" si="52"/>
        <v>0</v>
      </c>
      <c r="M193" s="55">
        <f>SUMIF($D$157:$D$179,D193,$M$157:$M$179)*0.13*0</f>
        <v>0</v>
      </c>
      <c r="N193" s="55">
        <f t="shared" si="53"/>
        <v>0</v>
      </c>
      <c r="O193" s="50">
        <f t="shared" si="42"/>
        <v>0</v>
      </c>
      <c r="P193" s="95"/>
    </row>
    <row r="194" spans="1:16" x14ac:dyDescent="0.25">
      <c r="A194" s="51">
        <v>60905</v>
      </c>
      <c r="B194" s="52" t="s">
        <v>219</v>
      </c>
      <c r="C194" s="85">
        <f t="shared" si="46"/>
        <v>0</v>
      </c>
      <c r="D194" s="52" t="s">
        <v>24</v>
      </c>
      <c r="E194" s="52" t="s">
        <v>186</v>
      </c>
      <c r="F194" s="95"/>
      <c r="I194" s="52" t="s">
        <v>177</v>
      </c>
      <c r="J194" s="55">
        <f>SUMIF($D$157:$D$179,D194,$J$157:$J$179)*0.13</f>
        <v>0</v>
      </c>
      <c r="K194" s="55">
        <f t="shared" si="54"/>
        <v>0</v>
      </c>
      <c r="L194" s="55">
        <f t="shared" si="52"/>
        <v>0</v>
      </c>
      <c r="M194" s="55">
        <f>SUMIF($D$157:$D$179,D194,$M$157:$M$179)*0.13</f>
        <v>0</v>
      </c>
      <c r="N194" s="55">
        <f t="shared" si="53"/>
        <v>0</v>
      </c>
      <c r="O194" s="50">
        <f t="shared" si="42"/>
        <v>0</v>
      </c>
      <c r="P194" s="95"/>
    </row>
    <row r="195" spans="1:16" x14ac:dyDescent="0.25">
      <c r="A195" s="51">
        <v>60905</v>
      </c>
      <c r="B195" s="52" t="s">
        <v>219</v>
      </c>
      <c r="C195" s="85">
        <f t="shared" si="46"/>
        <v>0</v>
      </c>
      <c r="D195" s="52" t="s">
        <v>27</v>
      </c>
      <c r="E195" s="52" t="s">
        <v>186</v>
      </c>
      <c r="F195" s="95"/>
      <c r="I195" s="52" t="s">
        <v>178</v>
      </c>
      <c r="J195" s="55">
        <f>SUMIF($D$157:$D$179,D195,$J$157:$J$179)*0.13</f>
        <v>0</v>
      </c>
      <c r="K195" s="55">
        <f>SUMIF($D$157:$D$179,D195,$K$157:$K$179)*0.155</f>
        <v>8523.4441066330746</v>
      </c>
      <c r="L195" s="55">
        <f t="shared" si="52"/>
        <v>0</v>
      </c>
      <c r="M195" s="55">
        <f>SUMIF($D$157:$D$179,D195,$M$157:$M$179)*0.13</f>
        <v>0</v>
      </c>
      <c r="N195" s="55">
        <f t="shared" si="53"/>
        <v>0</v>
      </c>
      <c r="O195" s="50">
        <f t="shared" si="42"/>
        <v>8523.4441066330746</v>
      </c>
      <c r="P195" s="95"/>
    </row>
    <row r="196" spans="1:16" x14ac:dyDescent="0.25">
      <c r="A196" s="51">
        <v>60905</v>
      </c>
      <c r="B196" s="52" t="s">
        <v>219</v>
      </c>
      <c r="C196" s="85">
        <f t="shared" si="46"/>
        <v>0</v>
      </c>
      <c r="D196" s="52" t="s">
        <v>36</v>
      </c>
      <c r="E196" s="52" t="s">
        <v>186</v>
      </c>
      <c r="F196" s="95"/>
      <c r="I196" s="52" t="s">
        <v>179</v>
      </c>
      <c r="J196" s="55">
        <f>SUMIF($D$157:$D$179,D196,$J$157:$J$179)*0.13</f>
        <v>0</v>
      </c>
      <c r="K196" s="55">
        <f t="shared" si="54"/>
        <v>0</v>
      </c>
      <c r="L196" s="55">
        <f t="shared" si="52"/>
        <v>0</v>
      </c>
      <c r="M196" s="55">
        <f>SUMIF($D$157:$D$179,D196,$M$157:$M$179)*0.155</f>
        <v>3076.5949999999998</v>
      </c>
      <c r="N196" s="55">
        <f t="shared" si="53"/>
        <v>0</v>
      </c>
      <c r="O196" s="50">
        <f t="shared" si="42"/>
        <v>3076.5949999999998</v>
      </c>
      <c r="P196" s="95"/>
    </row>
    <row r="197" spans="1:16" x14ac:dyDescent="0.25">
      <c r="A197" s="51">
        <v>60011</v>
      </c>
      <c r="B197" s="52" t="s">
        <v>222</v>
      </c>
      <c r="C197" s="85">
        <f t="shared" si="46"/>
        <v>0</v>
      </c>
      <c r="D197" s="49" t="s">
        <v>9</v>
      </c>
      <c r="E197" s="52" t="s">
        <v>186</v>
      </c>
      <c r="I197" s="52" t="s">
        <v>182</v>
      </c>
      <c r="J197" s="55">
        <f>(J36*1250)+(J41*1750)+(J43*1750)+(J50*500)+(SUM(J54:J56)*500)-2250</f>
        <v>7750</v>
      </c>
      <c r="K197" s="55">
        <f>(K36*1250)+(K41*1750)+(K43*1750)+(K50*500)+(SUM(K54:K56)*500)</f>
        <v>1250</v>
      </c>
      <c r="L197" s="55">
        <f t="shared" ref="L197:N197" si="55">(L36*1250)+(L41*1750)+(L43*1750)+(L50*500)+(SUM(L54:L56)*500)</f>
        <v>0</v>
      </c>
      <c r="M197" s="55">
        <f t="shared" si="55"/>
        <v>500</v>
      </c>
      <c r="N197" s="55">
        <f t="shared" si="55"/>
        <v>0</v>
      </c>
      <c r="O197" s="50">
        <f t="shared" si="42"/>
        <v>9500</v>
      </c>
    </row>
    <row r="198" spans="1:16" x14ac:dyDescent="0.25">
      <c r="A198" s="51">
        <v>60011</v>
      </c>
      <c r="B198" s="52" t="s">
        <v>222</v>
      </c>
      <c r="C198" s="85">
        <f t="shared" si="46"/>
        <v>0</v>
      </c>
      <c r="D198" s="49" t="s">
        <v>9</v>
      </c>
      <c r="E198" s="52" t="s">
        <v>186</v>
      </c>
      <c r="I198" s="52" t="s">
        <v>183</v>
      </c>
      <c r="J198" s="55">
        <f>(J36+J41+J43+J50+J54+J55+J56)*125+125*3</f>
        <v>1375</v>
      </c>
      <c r="K198" s="55">
        <f>(K36+K41+K43+K50+K54+K55+K56)*125</f>
        <v>125</v>
      </c>
      <c r="L198" s="55">
        <f t="shared" ref="L198:N198" si="56">(L36+L41+L43+L50+L54+L55+L56)*125</f>
        <v>0</v>
      </c>
      <c r="M198" s="55">
        <f>(M36+M41+M43+M50+M54+M55+M56)*125*0</f>
        <v>0</v>
      </c>
      <c r="N198" s="55">
        <f t="shared" si="56"/>
        <v>0</v>
      </c>
      <c r="O198" s="50">
        <f t="shared" si="42"/>
        <v>1500</v>
      </c>
    </row>
    <row r="199" spans="1:16" x14ac:dyDescent="0.25">
      <c r="A199" s="51">
        <v>60011</v>
      </c>
      <c r="B199" s="52" t="s">
        <v>222</v>
      </c>
      <c r="C199" s="85">
        <f t="shared" si="46"/>
        <v>0</v>
      </c>
      <c r="D199" s="49" t="s">
        <v>9</v>
      </c>
      <c r="E199" s="52" t="s">
        <v>186</v>
      </c>
      <c r="I199" s="52" t="s">
        <v>184</v>
      </c>
      <c r="J199" s="55">
        <f>(30*3*3)*30</f>
        <v>8100</v>
      </c>
      <c r="K199" s="55"/>
      <c r="L199" s="55"/>
      <c r="M199" s="55"/>
      <c r="N199" s="55"/>
      <c r="O199" s="50">
        <f t="shared" si="42"/>
        <v>8100</v>
      </c>
    </row>
    <row r="200" spans="1:16" x14ac:dyDescent="0.25">
      <c r="A200" s="56">
        <v>61251</v>
      </c>
      <c r="B200" s="57" t="s">
        <v>185</v>
      </c>
      <c r="C200" s="85">
        <f t="shared" si="46"/>
        <v>0</v>
      </c>
      <c r="D200" s="49" t="s">
        <v>9</v>
      </c>
      <c r="E200" s="52" t="s">
        <v>186</v>
      </c>
      <c r="I200" s="57" t="s">
        <v>187</v>
      </c>
      <c r="J200" s="58">
        <v>5000</v>
      </c>
      <c r="K200" s="58"/>
      <c r="L200" s="58"/>
      <c r="M200" s="58"/>
      <c r="N200" s="58"/>
      <c r="O200" s="50">
        <f t="shared" si="42"/>
        <v>5000</v>
      </c>
    </row>
    <row r="201" spans="1:16" x14ac:dyDescent="0.25">
      <c r="A201" s="98"/>
      <c r="B201" s="98"/>
      <c r="C201" s="98"/>
      <c r="D201" s="98"/>
      <c r="E201" s="98"/>
      <c r="H201" s="93" t="s">
        <v>223</v>
      </c>
      <c r="I201" s="94"/>
      <c r="J201" s="92">
        <f t="shared" ref="J201:K201" si="57">SUM(J181:J200)</f>
        <v>268725.16732314852</v>
      </c>
      <c r="K201" s="92">
        <f t="shared" si="57"/>
        <v>45443.254183107158</v>
      </c>
      <c r="L201" s="92">
        <f t="shared" ref="L201:O201" si="58">SUM(L181:L200)</f>
        <v>0</v>
      </c>
      <c r="M201" s="92">
        <f t="shared" si="58"/>
        <v>14380.362499999999</v>
      </c>
      <c r="N201" s="92">
        <f t="shared" si="58"/>
        <v>0</v>
      </c>
      <c r="O201" s="92">
        <f t="shared" si="58"/>
        <v>328548.78400625562</v>
      </c>
    </row>
    <row r="202" spans="1:16" ht="16.5" thickBot="1" x14ac:dyDescent="0.3">
      <c r="H202" s="2"/>
      <c r="J202" s="104"/>
      <c r="K202" s="104"/>
      <c r="L202" s="104"/>
      <c r="M202" s="104"/>
      <c r="N202" s="104"/>
      <c r="O202" s="104"/>
    </row>
    <row r="203" spans="1:16" ht="16.5" thickBot="1" x14ac:dyDescent="0.3">
      <c r="A203" s="68" t="s">
        <v>5</v>
      </c>
      <c r="B203" s="68" t="s">
        <v>91</v>
      </c>
      <c r="C203" s="68" t="s">
        <v>92</v>
      </c>
      <c r="D203" s="68" t="s">
        <v>4</v>
      </c>
      <c r="E203" s="68" t="s">
        <v>93</v>
      </c>
      <c r="G203" s="100" t="s">
        <v>224</v>
      </c>
      <c r="H203" s="105"/>
      <c r="I203" s="82"/>
      <c r="J203" s="101" t="str">
        <f>J20</f>
        <v>Operating</v>
      </c>
      <c r="K203" s="101" t="str">
        <f t="shared" ref="K203:O203" si="59">K20</f>
        <v>SPED</v>
      </c>
      <c r="L203" s="101" t="str">
        <f t="shared" si="59"/>
        <v>NSLP</v>
      </c>
      <c r="M203" s="101" t="str">
        <f t="shared" si="59"/>
        <v>Title(s)</v>
      </c>
      <c r="N203" s="101" t="str">
        <f t="shared" si="59"/>
        <v>Other</v>
      </c>
      <c r="O203" s="101" t="str">
        <f t="shared" si="59"/>
        <v>Total</v>
      </c>
    </row>
    <row r="204" spans="1:16" x14ac:dyDescent="0.25">
      <c r="A204" s="106">
        <v>62643</v>
      </c>
      <c r="B204" s="107" t="s">
        <v>225</v>
      </c>
      <c r="C204" s="85">
        <f t="shared" ref="C204:C211" si="60">$C$1</f>
        <v>0</v>
      </c>
      <c r="D204" s="49" t="s">
        <v>9</v>
      </c>
      <c r="E204" s="52" t="s">
        <v>186</v>
      </c>
      <c r="I204" s="107" t="s">
        <v>226</v>
      </c>
      <c r="J204" s="102">
        <f>J17*255</f>
        <v>47175</v>
      </c>
      <c r="K204" s="102"/>
      <c r="L204" s="102"/>
      <c r="M204" s="102"/>
      <c r="N204" s="102"/>
      <c r="O204" s="50">
        <f t="shared" ref="O204:O211" si="61">SUM(J204:N204)</f>
        <v>47175</v>
      </c>
    </row>
    <row r="205" spans="1:16" x14ac:dyDescent="0.25">
      <c r="A205" s="106">
        <v>62643</v>
      </c>
      <c r="B205" s="107" t="s">
        <v>225</v>
      </c>
      <c r="C205" s="85">
        <f t="shared" si="60"/>
        <v>0</v>
      </c>
      <c r="D205" s="52" t="s">
        <v>36</v>
      </c>
      <c r="E205" s="52" t="s">
        <v>186</v>
      </c>
      <c r="I205" s="107" t="s">
        <v>227</v>
      </c>
      <c r="J205" s="102"/>
      <c r="K205" s="102"/>
      <c r="L205" s="102"/>
      <c r="M205" s="102"/>
      <c r="N205" s="102"/>
      <c r="O205" s="50">
        <f t="shared" si="61"/>
        <v>0</v>
      </c>
    </row>
    <row r="206" spans="1:16" x14ac:dyDescent="0.25">
      <c r="A206" s="108">
        <v>62644</v>
      </c>
      <c r="B206" s="109" t="s">
        <v>228</v>
      </c>
      <c r="C206" s="85">
        <f t="shared" si="60"/>
        <v>0</v>
      </c>
      <c r="D206" s="49" t="s">
        <v>9</v>
      </c>
      <c r="E206" s="52" t="s">
        <v>186</v>
      </c>
      <c r="I206" s="109" t="s">
        <v>229</v>
      </c>
      <c r="J206" s="55"/>
      <c r="K206" s="55"/>
      <c r="L206" s="55"/>
      <c r="M206" s="55"/>
      <c r="N206" s="55"/>
      <c r="O206" s="50">
        <f t="shared" si="61"/>
        <v>0</v>
      </c>
    </row>
    <row r="207" spans="1:16" x14ac:dyDescent="0.25">
      <c r="A207" s="108">
        <v>62481</v>
      </c>
      <c r="B207" s="107" t="s">
        <v>225</v>
      </c>
      <c r="C207" s="85">
        <f t="shared" si="60"/>
        <v>0</v>
      </c>
      <c r="D207" s="49" t="s">
        <v>9</v>
      </c>
      <c r="E207" s="52" t="s">
        <v>186</v>
      </c>
      <c r="I207" s="110" t="s">
        <v>230</v>
      </c>
      <c r="J207" s="55">
        <v>0</v>
      </c>
      <c r="K207" s="55"/>
      <c r="L207" s="55"/>
      <c r="M207" s="55"/>
      <c r="N207" s="55"/>
      <c r="O207" s="50">
        <f t="shared" si="61"/>
        <v>0</v>
      </c>
    </row>
    <row r="208" spans="1:16" x14ac:dyDescent="0.25">
      <c r="A208" s="108">
        <v>62619</v>
      </c>
      <c r="B208" s="107" t="s">
        <v>225</v>
      </c>
      <c r="C208" s="85">
        <f t="shared" si="60"/>
        <v>0</v>
      </c>
      <c r="D208" s="49" t="s">
        <v>9</v>
      </c>
      <c r="E208" s="52" t="s">
        <v>186</v>
      </c>
      <c r="I208" s="110" t="s">
        <v>231</v>
      </c>
      <c r="J208" s="55">
        <f>65*J17</f>
        <v>12025</v>
      </c>
      <c r="K208" s="55"/>
      <c r="L208" s="55"/>
      <c r="M208" s="55"/>
      <c r="N208" s="55"/>
      <c r="O208" s="50">
        <f t="shared" si="61"/>
        <v>12025</v>
      </c>
    </row>
    <row r="209" spans="1:15" x14ac:dyDescent="0.25">
      <c r="A209" s="108">
        <v>62619</v>
      </c>
      <c r="B209" s="107" t="s">
        <v>225</v>
      </c>
      <c r="C209" s="85">
        <f t="shared" si="60"/>
        <v>0</v>
      </c>
      <c r="D209" s="52" t="s">
        <v>36</v>
      </c>
      <c r="E209" s="52" t="s">
        <v>186</v>
      </c>
      <c r="I209" s="110" t="s">
        <v>232</v>
      </c>
      <c r="J209" s="55">
        <f>40*J18</f>
        <v>0</v>
      </c>
      <c r="K209" s="55"/>
      <c r="L209" s="55"/>
      <c r="M209" s="55"/>
      <c r="N209" s="55"/>
      <c r="O209" s="50">
        <f t="shared" si="61"/>
        <v>0</v>
      </c>
    </row>
    <row r="210" spans="1:15" x14ac:dyDescent="0.25">
      <c r="A210" s="108">
        <v>62611</v>
      </c>
      <c r="B210" s="107" t="s">
        <v>225</v>
      </c>
      <c r="C210" s="85">
        <f t="shared" si="60"/>
        <v>0</v>
      </c>
      <c r="D210" s="49" t="s">
        <v>9</v>
      </c>
      <c r="E210" s="52" t="s">
        <v>186</v>
      </c>
      <c r="I210" s="110" t="s">
        <v>233</v>
      </c>
      <c r="J210" s="55">
        <f>7*J17</f>
        <v>1295</v>
      </c>
      <c r="K210" s="55"/>
      <c r="L210" s="55"/>
      <c r="M210" s="55"/>
      <c r="N210" s="55"/>
      <c r="O210" s="50">
        <f t="shared" si="61"/>
        <v>1295</v>
      </c>
    </row>
    <row r="211" spans="1:15" x14ac:dyDescent="0.25">
      <c r="A211" s="111">
        <v>62616</v>
      </c>
      <c r="B211" s="107" t="s">
        <v>225</v>
      </c>
      <c r="C211" s="85">
        <f t="shared" si="60"/>
        <v>0</v>
      </c>
      <c r="D211" s="52" t="s">
        <v>27</v>
      </c>
      <c r="E211" s="52" t="s">
        <v>186</v>
      </c>
      <c r="I211" s="112" t="s">
        <v>234</v>
      </c>
      <c r="J211" s="58">
        <f>175*J21</f>
        <v>0</v>
      </c>
      <c r="K211" s="58">
        <f>175*K21</f>
        <v>3675</v>
      </c>
      <c r="L211" s="58"/>
      <c r="M211" s="58"/>
      <c r="N211" s="58"/>
      <c r="O211" s="50">
        <f t="shared" si="61"/>
        <v>3675</v>
      </c>
    </row>
    <row r="212" spans="1:15" x14ac:dyDescent="0.25">
      <c r="A212" s="98"/>
      <c r="B212" s="98"/>
      <c r="C212" s="98"/>
      <c r="D212" s="98"/>
      <c r="E212" s="98"/>
      <c r="H212" s="93" t="s">
        <v>47</v>
      </c>
      <c r="I212" s="113"/>
      <c r="J212" s="92">
        <f t="shared" ref="J212:O212" si="62">SUM(J204:J211)</f>
        <v>60495</v>
      </c>
      <c r="K212" s="92">
        <f t="shared" si="62"/>
        <v>3675</v>
      </c>
      <c r="L212" s="92">
        <f t="shared" si="62"/>
        <v>0</v>
      </c>
      <c r="M212" s="92">
        <f t="shared" si="62"/>
        <v>0</v>
      </c>
      <c r="N212" s="92">
        <f t="shared" si="62"/>
        <v>0</v>
      </c>
      <c r="O212" s="92">
        <f t="shared" si="62"/>
        <v>64170</v>
      </c>
    </row>
    <row r="213" spans="1:15" x14ac:dyDescent="0.25">
      <c r="J213" s="99"/>
      <c r="K213" s="99"/>
      <c r="L213" s="99"/>
      <c r="M213" s="99"/>
      <c r="N213" s="99"/>
      <c r="O213" s="99"/>
    </row>
    <row r="214" spans="1:15" x14ac:dyDescent="0.25">
      <c r="A214" s="81"/>
      <c r="B214" s="82"/>
      <c r="C214" s="82"/>
      <c r="D214" s="82"/>
      <c r="E214" s="82"/>
      <c r="G214" s="100" t="s">
        <v>235</v>
      </c>
      <c r="H214" s="105"/>
      <c r="I214" s="82"/>
      <c r="J214" s="101" t="str">
        <f>J20</f>
        <v>Operating</v>
      </c>
      <c r="K214" s="101" t="str">
        <f t="shared" ref="K214:O214" si="63">K20</f>
        <v>SPED</v>
      </c>
      <c r="L214" s="101" t="str">
        <f t="shared" si="63"/>
        <v>NSLP</v>
      </c>
      <c r="M214" s="101" t="str">
        <f t="shared" si="63"/>
        <v>Title(s)</v>
      </c>
      <c r="N214" s="101" t="str">
        <f t="shared" si="63"/>
        <v>Other</v>
      </c>
      <c r="O214" s="101" t="str">
        <f t="shared" si="63"/>
        <v>Total</v>
      </c>
    </row>
    <row r="215" spans="1:15" x14ac:dyDescent="0.25">
      <c r="A215" s="106">
        <v>62617</v>
      </c>
      <c r="B215" s="114" t="s">
        <v>236</v>
      </c>
      <c r="C215" s="85">
        <f t="shared" ref="C215:C220" si="64">$C$1</f>
        <v>0</v>
      </c>
      <c r="D215" s="49" t="s">
        <v>9</v>
      </c>
      <c r="E215" s="52" t="s">
        <v>114</v>
      </c>
      <c r="I215" s="114" t="s">
        <v>237</v>
      </c>
      <c r="J215" s="102">
        <f>30*J17</f>
        <v>5550</v>
      </c>
      <c r="K215" s="102"/>
      <c r="L215" s="102"/>
      <c r="M215" s="102"/>
      <c r="N215" s="102"/>
      <c r="O215" s="50">
        <f t="shared" ref="O215:O220" si="65">SUM(J215:N215)</f>
        <v>5550</v>
      </c>
    </row>
    <row r="216" spans="1:15" x14ac:dyDescent="0.25">
      <c r="A216" s="106">
        <v>62617</v>
      </c>
      <c r="B216" s="114" t="s">
        <v>236</v>
      </c>
      <c r="C216" s="85">
        <f t="shared" si="64"/>
        <v>0</v>
      </c>
      <c r="D216" s="52" t="s">
        <v>36</v>
      </c>
      <c r="E216" s="52" t="s">
        <v>114</v>
      </c>
      <c r="I216" s="114" t="s">
        <v>238</v>
      </c>
      <c r="J216" s="102">
        <f>30*J18</f>
        <v>0</v>
      </c>
      <c r="K216" s="102"/>
      <c r="L216" s="102"/>
      <c r="M216" s="102"/>
      <c r="N216" s="102"/>
      <c r="O216" s="50">
        <f t="shared" si="65"/>
        <v>0</v>
      </c>
    </row>
    <row r="217" spans="1:15" x14ac:dyDescent="0.25">
      <c r="A217" s="108">
        <v>62611</v>
      </c>
      <c r="B217" s="114" t="s">
        <v>236</v>
      </c>
      <c r="C217" s="85">
        <f t="shared" si="64"/>
        <v>0</v>
      </c>
      <c r="D217" s="49" t="s">
        <v>9</v>
      </c>
      <c r="E217" s="52" t="s">
        <v>114</v>
      </c>
      <c r="I217" s="110" t="s">
        <v>233</v>
      </c>
      <c r="J217" s="55">
        <f>(3*J17)</f>
        <v>555</v>
      </c>
      <c r="K217" s="55"/>
      <c r="L217" s="55"/>
      <c r="M217" s="55"/>
      <c r="N217" s="55"/>
      <c r="O217" s="50">
        <f t="shared" si="65"/>
        <v>555</v>
      </c>
    </row>
    <row r="218" spans="1:15" x14ac:dyDescent="0.25">
      <c r="A218" s="108">
        <v>62618</v>
      </c>
      <c r="B218" s="114" t="s">
        <v>236</v>
      </c>
      <c r="C218" s="85">
        <f t="shared" si="64"/>
        <v>0</v>
      </c>
      <c r="D218" s="49" t="s">
        <v>9</v>
      </c>
      <c r="E218" s="52" t="s">
        <v>114</v>
      </c>
      <c r="I218" s="110" t="s">
        <v>239</v>
      </c>
      <c r="J218" s="55">
        <f>8*J17</f>
        <v>1480</v>
      </c>
      <c r="K218" s="55"/>
      <c r="L218" s="55"/>
      <c r="M218" s="55"/>
      <c r="N218" s="55"/>
      <c r="O218" s="50">
        <f t="shared" si="65"/>
        <v>1480</v>
      </c>
    </row>
    <row r="219" spans="1:15" x14ac:dyDescent="0.25">
      <c r="A219" s="108">
        <v>63113</v>
      </c>
      <c r="B219" s="114" t="s">
        <v>240</v>
      </c>
      <c r="C219" s="85">
        <f t="shared" si="64"/>
        <v>0</v>
      </c>
      <c r="D219" s="49" t="s">
        <v>9</v>
      </c>
      <c r="E219" s="114" t="s">
        <v>135</v>
      </c>
      <c r="I219" s="110" t="s">
        <v>241</v>
      </c>
      <c r="J219" s="55">
        <v>0</v>
      </c>
      <c r="K219" s="55"/>
      <c r="L219" s="55"/>
      <c r="M219" s="55"/>
      <c r="N219" s="55"/>
      <c r="O219" s="50">
        <f t="shared" si="65"/>
        <v>0</v>
      </c>
    </row>
    <row r="220" spans="1:15" x14ac:dyDescent="0.25">
      <c r="A220" s="111">
        <v>62612</v>
      </c>
      <c r="B220" s="114" t="s">
        <v>236</v>
      </c>
      <c r="C220" s="85">
        <f t="shared" si="64"/>
        <v>0</v>
      </c>
      <c r="D220" s="49" t="s">
        <v>9</v>
      </c>
      <c r="E220" s="114" t="s">
        <v>242</v>
      </c>
      <c r="I220" s="112" t="s">
        <v>243</v>
      </c>
      <c r="J220" s="58">
        <f>45*J17</f>
        <v>8325</v>
      </c>
      <c r="K220" s="58"/>
      <c r="L220" s="58"/>
      <c r="M220" s="58"/>
      <c r="N220" s="58"/>
      <c r="O220" s="50">
        <f t="shared" si="65"/>
        <v>8325</v>
      </c>
    </row>
    <row r="221" spans="1:15" x14ac:dyDescent="0.25">
      <c r="A221" s="98"/>
      <c r="B221" s="98"/>
      <c r="C221" s="98"/>
      <c r="D221" s="98"/>
      <c r="E221" s="98"/>
      <c r="H221" s="93" t="s">
        <v>47</v>
      </c>
      <c r="I221" s="113"/>
      <c r="J221" s="92">
        <f t="shared" ref="J221:O221" si="66">SUM(J215:J220)</f>
        <v>15910</v>
      </c>
      <c r="K221" s="92">
        <f t="shared" si="66"/>
        <v>0</v>
      </c>
      <c r="L221" s="92">
        <f t="shared" si="66"/>
        <v>0</v>
      </c>
      <c r="M221" s="92">
        <f t="shared" si="66"/>
        <v>0</v>
      </c>
      <c r="N221" s="92">
        <f t="shared" si="66"/>
        <v>0</v>
      </c>
      <c r="O221" s="92">
        <f t="shared" si="66"/>
        <v>15910</v>
      </c>
    </row>
    <row r="222" spans="1:15" x14ac:dyDescent="0.25">
      <c r="J222" s="99"/>
      <c r="K222" s="99"/>
      <c r="L222" s="99"/>
      <c r="M222" s="99"/>
      <c r="N222" s="99"/>
      <c r="O222" s="99"/>
    </row>
    <row r="223" spans="1:15" x14ac:dyDescent="0.25">
      <c r="A223" s="81"/>
      <c r="B223" s="82"/>
      <c r="C223" s="82"/>
      <c r="D223" s="82"/>
      <c r="E223" s="82"/>
      <c r="G223" s="100" t="s">
        <v>244</v>
      </c>
      <c r="H223" s="105"/>
      <c r="I223" s="82"/>
      <c r="J223" s="101" t="str">
        <f>J20</f>
        <v>Operating</v>
      </c>
      <c r="K223" s="101" t="str">
        <f t="shared" ref="K223:O223" si="67">K20</f>
        <v>SPED</v>
      </c>
      <c r="L223" s="101" t="str">
        <f t="shared" si="67"/>
        <v>NSLP</v>
      </c>
      <c r="M223" s="101" t="str">
        <f t="shared" si="67"/>
        <v>Title(s)</v>
      </c>
      <c r="N223" s="101" t="str">
        <f t="shared" si="67"/>
        <v>Other</v>
      </c>
      <c r="O223" s="101" t="str">
        <f t="shared" si="67"/>
        <v>Total</v>
      </c>
    </row>
    <row r="224" spans="1:15" x14ac:dyDescent="0.25">
      <c r="A224" s="106">
        <v>63114</v>
      </c>
      <c r="B224" s="114" t="s">
        <v>245</v>
      </c>
      <c r="C224" s="85">
        <f t="shared" ref="C224:C232" si="68">$C$1</f>
        <v>0</v>
      </c>
      <c r="D224" s="49" t="s">
        <v>9</v>
      </c>
      <c r="E224" s="114" t="s">
        <v>246</v>
      </c>
      <c r="I224" s="114" t="s">
        <v>247</v>
      </c>
      <c r="J224" s="102">
        <v>10000</v>
      </c>
      <c r="K224" s="102"/>
      <c r="L224" s="102"/>
      <c r="M224" s="102"/>
      <c r="N224" s="102"/>
      <c r="O224" s="102">
        <f>SUM(J224:N224)</f>
        <v>10000</v>
      </c>
    </row>
    <row r="225" spans="1:15" x14ac:dyDescent="0.25">
      <c r="A225" s="106">
        <v>63114</v>
      </c>
      <c r="B225" s="114" t="s">
        <v>245</v>
      </c>
      <c r="C225" s="85">
        <f t="shared" si="68"/>
        <v>0</v>
      </c>
      <c r="D225" s="52" t="s">
        <v>36</v>
      </c>
      <c r="E225" s="114" t="s">
        <v>246</v>
      </c>
      <c r="I225" s="114" t="s">
        <v>248</v>
      </c>
      <c r="J225" s="102"/>
      <c r="K225" s="102"/>
      <c r="L225" s="102"/>
      <c r="M225" s="102"/>
      <c r="N225" s="102"/>
      <c r="O225" s="102">
        <f t="shared" ref="O225:O232" si="69">SUM(J225:N225)</f>
        <v>0</v>
      </c>
    </row>
    <row r="226" spans="1:15" x14ac:dyDescent="0.25">
      <c r="A226" s="108">
        <v>63128</v>
      </c>
      <c r="B226" s="110" t="s">
        <v>245</v>
      </c>
      <c r="C226" s="85">
        <f t="shared" si="68"/>
        <v>0</v>
      </c>
      <c r="D226" s="52" t="s">
        <v>27</v>
      </c>
      <c r="E226" s="110" t="s">
        <v>135</v>
      </c>
      <c r="I226" s="110" t="s">
        <v>249</v>
      </c>
      <c r="J226" s="55">
        <v>0</v>
      </c>
      <c r="K226" s="55">
        <f>(425*J17)</f>
        <v>78625</v>
      </c>
      <c r="L226" s="55"/>
      <c r="M226" s="55"/>
      <c r="N226" s="55"/>
      <c r="O226" s="102">
        <f t="shared" si="69"/>
        <v>78625</v>
      </c>
    </row>
    <row r="227" spans="1:15" x14ac:dyDescent="0.25">
      <c r="A227" s="108">
        <v>63111</v>
      </c>
      <c r="B227" s="110" t="s">
        <v>245</v>
      </c>
      <c r="C227" s="85">
        <f t="shared" si="68"/>
        <v>0</v>
      </c>
      <c r="D227" s="49" t="s">
        <v>9</v>
      </c>
      <c r="E227" s="52" t="s">
        <v>186</v>
      </c>
      <c r="I227" s="110" t="s">
        <v>250</v>
      </c>
      <c r="J227" s="55">
        <f t="shared" ref="J227:K227" si="70">(185*11*J36)-J179</f>
        <v>16280</v>
      </c>
      <c r="K227" s="55">
        <f t="shared" si="70"/>
        <v>2035</v>
      </c>
      <c r="L227" s="55"/>
      <c r="M227" s="55"/>
      <c r="N227" s="55"/>
      <c r="O227" s="102">
        <f t="shared" si="69"/>
        <v>18315</v>
      </c>
    </row>
    <row r="228" spans="1:15" x14ac:dyDescent="0.25">
      <c r="A228" s="106">
        <v>63114</v>
      </c>
      <c r="B228" s="114" t="s">
        <v>245</v>
      </c>
      <c r="C228" s="85">
        <f t="shared" si="68"/>
        <v>0</v>
      </c>
      <c r="D228" s="49" t="s">
        <v>9</v>
      </c>
      <c r="E228" s="114" t="s">
        <v>246</v>
      </c>
      <c r="I228" s="110" t="s">
        <v>251</v>
      </c>
      <c r="J228" s="55">
        <v>0</v>
      </c>
      <c r="K228" s="55"/>
      <c r="L228" s="55"/>
      <c r="M228" s="55"/>
      <c r="N228" s="55"/>
      <c r="O228" s="102">
        <f t="shared" si="69"/>
        <v>0</v>
      </c>
    </row>
    <row r="229" spans="1:15" x14ac:dyDescent="0.25">
      <c r="A229" s="106">
        <v>63114</v>
      </c>
      <c r="B229" s="114" t="s">
        <v>245</v>
      </c>
      <c r="C229" s="85">
        <f t="shared" si="68"/>
        <v>0</v>
      </c>
      <c r="D229" s="52" t="s">
        <v>24</v>
      </c>
      <c r="E229" s="114" t="s">
        <v>246</v>
      </c>
      <c r="I229" s="110" t="s">
        <v>252</v>
      </c>
      <c r="J229" s="55">
        <v>0</v>
      </c>
      <c r="K229" s="55"/>
      <c r="L229" s="55"/>
      <c r="M229" s="55">
        <f>8000*10</f>
        <v>80000</v>
      </c>
      <c r="N229" s="55"/>
      <c r="O229" s="102">
        <f t="shared" si="69"/>
        <v>80000</v>
      </c>
    </row>
    <row r="230" spans="1:15" x14ac:dyDescent="0.25">
      <c r="A230" s="108">
        <v>63123</v>
      </c>
      <c r="B230" s="110" t="s">
        <v>253</v>
      </c>
      <c r="C230" s="85">
        <f t="shared" si="68"/>
        <v>0</v>
      </c>
      <c r="D230" s="49" t="s">
        <v>9</v>
      </c>
      <c r="E230" s="114" t="s">
        <v>254</v>
      </c>
      <c r="I230" s="110" t="s">
        <v>255</v>
      </c>
      <c r="J230" s="55">
        <v>0</v>
      </c>
      <c r="K230" s="55"/>
      <c r="L230" s="55"/>
      <c r="M230" s="55"/>
      <c r="N230" s="55"/>
      <c r="O230" s="102">
        <f t="shared" si="69"/>
        <v>0</v>
      </c>
    </row>
    <row r="231" spans="1:15" x14ac:dyDescent="0.25">
      <c r="A231" s="108">
        <v>63121</v>
      </c>
      <c r="B231" s="110" t="s">
        <v>256</v>
      </c>
      <c r="C231" s="85">
        <f t="shared" si="68"/>
        <v>0</v>
      </c>
      <c r="D231" s="49" t="s">
        <v>9</v>
      </c>
      <c r="E231" s="110" t="s">
        <v>257</v>
      </c>
      <c r="I231" s="110" t="s">
        <v>258</v>
      </c>
      <c r="J231" s="55">
        <v>0</v>
      </c>
      <c r="K231" s="55"/>
      <c r="L231" s="55"/>
      <c r="M231" s="55"/>
      <c r="N231" s="55"/>
      <c r="O231" s="102">
        <f t="shared" si="69"/>
        <v>0</v>
      </c>
    </row>
    <row r="232" spans="1:15" x14ac:dyDescent="0.25">
      <c r="A232" s="111">
        <v>63114</v>
      </c>
      <c r="B232" s="112" t="s">
        <v>245</v>
      </c>
      <c r="C232" s="85">
        <f t="shared" si="68"/>
        <v>0</v>
      </c>
      <c r="D232" s="52" t="s">
        <v>36</v>
      </c>
      <c r="E232" s="114" t="s">
        <v>246</v>
      </c>
      <c r="I232" s="112" t="s">
        <v>259</v>
      </c>
      <c r="J232" s="58">
        <f>J68*0.005</f>
        <v>9312.9</v>
      </c>
      <c r="K232" s="58"/>
      <c r="L232" s="58"/>
      <c r="M232" s="58">
        <f>2596.59+1446+3353</f>
        <v>7395.59</v>
      </c>
      <c r="N232" s="58"/>
      <c r="O232" s="102">
        <f t="shared" si="69"/>
        <v>16708.489999999998</v>
      </c>
    </row>
    <row r="233" spans="1:15" x14ac:dyDescent="0.25">
      <c r="A233" s="98"/>
      <c r="B233" s="98"/>
      <c r="C233" s="98"/>
      <c r="D233" s="98"/>
      <c r="E233" s="98"/>
      <c r="H233" s="115" t="s">
        <v>47</v>
      </c>
      <c r="I233" s="113"/>
      <c r="J233" s="92">
        <f t="shared" ref="J233:O233" si="71">SUM(J224:J232)</f>
        <v>35592.9</v>
      </c>
      <c r="K233" s="92">
        <f t="shared" si="71"/>
        <v>80660</v>
      </c>
      <c r="L233" s="92">
        <f t="shared" si="71"/>
        <v>0</v>
      </c>
      <c r="M233" s="92">
        <f t="shared" si="71"/>
        <v>87395.59</v>
      </c>
      <c r="N233" s="92">
        <f t="shared" si="71"/>
        <v>0</v>
      </c>
      <c r="O233" s="92">
        <f t="shared" si="71"/>
        <v>203648.49</v>
      </c>
    </row>
    <row r="234" spans="1:15" x14ac:dyDescent="0.25">
      <c r="H234" s="116"/>
      <c r="J234" s="99"/>
      <c r="K234" s="99"/>
      <c r="L234" s="99"/>
      <c r="M234" s="99"/>
      <c r="N234" s="99"/>
      <c r="O234" s="99"/>
    </row>
    <row r="235" spans="1:15" x14ac:dyDescent="0.25">
      <c r="A235" s="81"/>
      <c r="B235" s="82"/>
      <c r="C235" s="82"/>
      <c r="D235" s="82"/>
      <c r="E235" s="82"/>
      <c r="G235" s="100" t="s">
        <v>260</v>
      </c>
      <c r="H235" s="105"/>
      <c r="I235" s="82"/>
      <c r="J235" s="101" t="str">
        <f>J20</f>
        <v>Operating</v>
      </c>
      <c r="K235" s="101" t="str">
        <f t="shared" ref="K235:O235" si="72">K20</f>
        <v>SPED</v>
      </c>
      <c r="L235" s="101" t="str">
        <f t="shared" si="72"/>
        <v>NSLP</v>
      </c>
      <c r="M235" s="101" t="str">
        <f t="shared" si="72"/>
        <v>Title(s)</v>
      </c>
      <c r="N235" s="101" t="str">
        <f t="shared" si="72"/>
        <v>Other</v>
      </c>
      <c r="O235" s="101" t="str">
        <f t="shared" si="72"/>
        <v>Total</v>
      </c>
    </row>
    <row r="236" spans="1:15" x14ac:dyDescent="0.25">
      <c r="A236" s="106">
        <v>63120</v>
      </c>
      <c r="B236" s="114" t="s">
        <v>261</v>
      </c>
      <c r="C236" s="85">
        <f t="shared" ref="C236:C244" si="73">$C$1</f>
        <v>0</v>
      </c>
      <c r="D236" s="49" t="s">
        <v>9</v>
      </c>
      <c r="E236" s="114" t="s">
        <v>242</v>
      </c>
      <c r="I236" s="114" t="s">
        <v>247</v>
      </c>
      <c r="J236" s="102">
        <v>50000</v>
      </c>
      <c r="K236" s="102"/>
      <c r="L236" s="102"/>
      <c r="M236" s="102"/>
      <c r="N236" s="102"/>
      <c r="O236" s="102">
        <f>SUM(J236:N236)</f>
        <v>50000</v>
      </c>
    </row>
    <row r="237" spans="1:15" x14ac:dyDescent="0.25">
      <c r="A237" s="108">
        <v>63120</v>
      </c>
      <c r="B237" s="110" t="s">
        <v>261</v>
      </c>
      <c r="C237" s="85">
        <f t="shared" si="73"/>
        <v>0</v>
      </c>
      <c r="D237" s="49" t="s">
        <v>9</v>
      </c>
      <c r="E237" s="114" t="s">
        <v>242</v>
      </c>
      <c r="I237" s="110" t="s">
        <v>262</v>
      </c>
      <c r="J237" s="55">
        <v>0</v>
      </c>
      <c r="K237" s="55"/>
      <c r="L237" s="55"/>
      <c r="M237" s="55"/>
      <c r="N237" s="55"/>
      <c r="O237" s="102">
        <f t="shared" ref="O237:O244" si="74">SUM(J237:N237)</f>
        <v>0</v>
      </c>
    </row>
    <row r="238" spans="1:15" x14ac:dyDescent="0.25">
      <c r="A238" s="108">
        <v>63126</v>
      </c>
      <c r="B238" s="110" t="s">
        <v>253</v>
      </c>
      <c r="C238" s="85">
        <f t="shared" si="73"/>
        <v>0</v>
      </c>
      <c r="D238" s="49" t="s">
        <v>9</v>
      </c>
      <c r="E238" s="114" t="s">
        <v>254</v>
      </c>
      <c r="I238" s="110" t="s">
        <v>263</v>
      </c>
      <c r="J238" s="55">
        <f>(495*1.0074*1.015*1.015*1.015*1.015)*J17</f>
        <v>97913.605465383123</v>
      </c>
      <c r="K238" s="55"/>
      <c r="L238" s="55"/>
      <c r="M238" s="55"/>
      <c r="N238" s="55"/>
      <c r="O238" s="102">
        <f t="shared" si="74"/>
        <v>97913.605465383123</v>
      </c>
    </row>
    <row r="239" spans="1:15" x14ac:dyDescent="0.25">
      <c r="A239" s="108">
        <v>63311</v>
      </c>
      <c r="B239" s="110" t="s">
        <v>253</v>
      </c>
      <c r="C239" s="85">
        <f t="shared" si="73"/>
        <v>0</v>
      </c>
      <c r="D239" s="49" t="s">
        <v>9</v>
      </c>
      <c r="E239" s="114" t="s">
        <v>254</v>
      </c>
      <c r="I239" s="110" t="s">
        <v>264</v>
      </c>
      <c r="J239" s="55">
        <v>6813</v>
      </c>
      <c r="K239" s="55"/>
      <c r="L239" s="55"/>
      <c r="M239" s="55"/>
      <c r="N239" s="55"/>
      <c r="O239" s="102">
        <f t="shared" si="74"/>
        <v>6813</v>
      </c>
    </row>
    <row r="240" spans="1:15" x14ac:dyDescent="0.25">
      <c r="A240" s="108">
        <v>63125</v>
      </c>
      <c r="B240" s="110" t="s">
        <v>261</v>
      </c>
      <c r="C240" s="85">
        <f t="shared" si="73"/>
        <v>0</v>
      </c>
      <c r="D240" s="49" t="s">
        <v>9</v>
      </c>
      <c r="E240" s="114" t="s">
        <v>254</v>
      </c>
      <c r="I240" s="110" t="s">
        <v>265</v>
      </c>
      <c r="J240" s="55">
        <v>33000</v>
      </c>
      <c r="K240" s="55"/>
      <c r="L240" s="55"/>
      <c r="M240" s="55"/>
      <c r="N240" s="55"/>
      <c r="O240" s="102">
        <f t="shared" si="74"/>
        <v>33000</v>
      </c>
    </row>
    <row r="241" spans="1:15" x14ac:dyDescent="0.25">
      <c r="A241" s="108">
        <v>63124</v>
      </c>
      <c r="B241" s="110" t="s">
        <v>261</v>
      </c>
      <c r="C241" s="85">
        <f t="shared" si="73"/>
        <v>0</v>
      </c>
      <c r="D241" s="49" t="s">
        <v>9</v>
      </c>
      <c r="E241" s="110" t="s">
        <v>266</v>
      </c>
      <c r="I241" s="110" t="s">
        <v>267</v>
      </c>
      <c r="J241" s="55">
        <v>12500</v>
      </c>
      <c r="K241" s="55"/>
      <c r="L241" s="55"/>
      <c r="M241" s="55"/>
      <c r="N241" s="55"/>
      <c r="O241" s="102">
        <f t="shared" si="74"/>
        <v>12500</v>
      </c>
    </row>
    <row r="242" spans="1:15" x14ac:dyDescent="0.25">
      <c r="A242" s="108">
        <v>63210</v>
      </c>
      <c r="B242" s="110" t="s">
        <v>268</v>
      </c>
      <c r="C242" s="85">
        <f t="shared" si="73"/>
        <v>0</v>
      </c>
      <c r="D242" s="49" t="s">
        <v>9</v>
      </c>
      <c r="E242" s="114" t="s">
        <v>254</v>
      </c>
      <c r="I242" s="110" t="s">
        <v>269</v>
      </c>
      <c r="J242" s="55">
        <f>(48*J17)+(60*12)</f>
        <v>9600</v>
      </c>
      <c r="K242" s="55"/>
      <c r="L242" s="55"/>
      <c r="M242" s="55"/>
      <c r="N242" s="55"/>
      <c r="O242" s="102">
        <f t="shared" si="74"/>
        <v>9600</v>
      </c>
    </row>
    <row r="243" spans="1:15" x14ac:dyDescent="0.25">
      <c r="A243" s="108">
        <v>63210</v>
      </c>
      <c r="B243" s="110" t="s">
        <v>268</v>
      </c>
      <c r="C243" s="85">
        <f t="shared" si="73"/>
        <v>0</v>
      </c>
      <c r="D243" s="49" t="s">
        <v>9</v>
      </c>
      <c r="E243" s="114" t="s">
        <v>254</v>
      </c>
      <c r="I243" s="110" t="s">
        <v>270</v>
      </c>
      <c r="J243" s="55">
        <v>15000</v>
      </c>
      <c r="K243" s="55"/>
      <c r="L243" s="55"/>
      <c r="M243" s="55"/>
      <c r="N243" s="55"/>
      <c r="O243" s="102">
        <f t="shared" si="74"/>
        <v>15000</v>
      </c>
    </row>
    <row r="244" spans="1:15" x14ac:dyDescent="0.25">
      <c r="A244" s="111">
        <v>63151</v>
      </c>
      <c r="B244" s="112" t="s">
        <v>271</v>
      </c>
      <c r="C244" s="85">
        <f t="shared" si="73"/>
        <v>0</v>
      </c>
      <c r="D244" s="49" t="s">
        <v>9</v>
      </c>
      <c r="E244" s="112" t="s">
        <v>272</v>
      </c>
      <c r="I244" s="112" t="s">
        <v>273</v>
      </c>
      <c r="J244" s="58">
        <f>(J68)*0.0125-8685.33</f>
        <v>14596.92</v>
      </c>
      <c r="K244" s="58"/>
      <c r="L244" s="58"/>
      <c r="M244" s="58"/>
      <c r="N244" s="58"/>
      <c r="O244" s="102">
        <f t="shared" si="74"/>
        <v>14596.92</v>
      </c>
    </row>
    <row r="245" spans="1:15" x14ac:dyDescent="0.25">
      <c r="A245" s="98"/>
      <c r="B245" s="98"/>
      <c r="C245" s="98"/>
      <c r="D245" s="98"/>
      <c r="E245" s="98"/>
      <c r="H245" s="93" t="s">
        <v>47</v>
      </c>
      <c r="I245" s="113"/>
      <c r="J245" s="92">
        <f t="shared" ref="J245:O245" si="75">SUM(J236:J244)</f>
        <v>239423.52546538314</v>
      </c>
      <c r="K245" s="92">
        <f t="shared" si="75"/>
        <v>0</v>
      </c>
      <c r="L245" s="92">
        <f t="shared" si="75"/>
        <v>0</v>
      </c>
      <c r="M245" s="92">
        <f t="shared" si="75"/>
        <v>0</v>
      </c>
      <c r="N245" s="92">
        <f t="shared" si="75"/>
        <v>0</v>
      </c>
      <c r="O245" s="92">
        <f t="shared" si="75"/>
        <v>239423.52546538314</v>
      </c>
    </row>
    <row r="246" spans="1:15" x14ac:dyDescent="0.25">
      <c r="J246" s="99"/>
      <c r="K246" s="99"/>
      <c r="L246" s="99"/>
      <c r="M246" s="99"/>
      <c r="N246" s="99"/>
      <c r="O246" s="99"/>
    </row>
    <row r="247" spans="1:15" x14ac:dyDescent="0.25">
      <c r="A247" s="81"/>
      <c r="B247" s="82"/>
      <c r="C247" s="82"/>
      <c r="D247" s="82"/>
      <c r="E247" s="82"/>
      <c r="G247" s="100" t="s">
        <v>274</v>
      </c>
      <c r="H247" s="105"/>
      <c r="I247" s="82"/>
      <c r="J247" s="101" t="str">
        <f>J20</f>
        <v>Operating</v>
      </c>
      <c r="K247" s="101" t="str">
        <f t="shared" ref="K247:O247" si="76">K20</f>
        <v>SPED</v>
      </c>
      <c r="L247" s="101" t="str">
        <f t="shared" si="76"/>
        <v>NSLP</v>
      </c>
      <c r="M247" s="101" t="str">
        <f t="shared" si="76"/>
        <v>Title(s)</v>
      </c>
      <c r="N247" s="101" t="str">
        <f t="shared" si="76"/>
        <v>Other</v>
      </c>
      <c r="O247" s="101" t="str">
        <f t="shared" si="76"/>
        <v>Total</v>
      </c>
    </row>
    <row r="248" spans="1:15" x14ac:dyDescent="0.25">
      <c r="A248" s="106">
        <v>63220</v>
      </c>
      <c r="B248" s="114" t="s">
        <v>275</v>
      </c>
      <c r="C248" s="85">
        <f t="shared" ref="C248:C265" si="77">$C$1</f>
        <v>0</v>
      </c>
      <c r="D248" s="49" t="s">
        <v>9</v>
      </c>
      <c r="E248" s="114" t="s">
        <v>254</v>
      </c>
      <c r="I248" s="114" t="s">
        <v>276</v>
      </c>
      <c r="J248" s="102">
        <f>'29-30'!J248*1.03</f>
        <v>3529.9895562435004</v>
      </c>
      <c r="K248" s="102"/>
      <c r="L248" s="102"/>
      <c r="M248" s="102"/>
      <c r="N248" s="102"/>
      <c r="O248" s="102">
        <f t="shared" ref="O248:O265" si="78">SUM(J248:N248)</f>
        <v>3529.9895562435004</v>
      </c>
    </row>
    <row r="249" spans="1:15" x14ac:dyDescent="0.25">
      <c r="A249" s="106">
        <v>63231</v>
      </c>
      <c r="B249" s="114" t="s">
        <v>277</v>
      </c>
      <c r="C249" s="85">
        <f t="shared" si="77"/>
        <v>0</v>
      </c>
      <c r="D249" s="49" t="s">
        <v>9</v>
      </c>
      <c r="E249" s="114" t="s">
        <v>278</v>
      </c>
      <c r="I249" s="114" t="s">
        <v>279</v>
      </c>
      <c r="J249" s="102">
        <f>'29-30'!J249*1.03</f>
        <v>4698.5378231379</v>
      </c>
      <c r="K249" s="102"/>
      <c r="L249" s="102"/>
      <c r="M249" s="102"/>
      <c r="N249" s="102"/>
      <c r="O249" s="102">
        <f t="shared" si="78"/>
        <v>4698.5378231379</v>
      </c>
    </row>
    <row r="250" spans="1:15" x14ac:dyDescent="0.25">
      <c r="A250" s="106">
        <v>63350</v>
      </c>
      <c r="B250" s="114" t="s">
        <v>280</v>
      </c>
      <c r="C250" s="85">
        <f t="shared" si="77"/>
        <v>0</v>
      </c>
      <c r="D250" s="49" t="s">
        <v>9</v>
      </c>
      <c r="E250" s="114" t="s">
        <v>114</v>
      </c>
      <c r="I250" s="110" t="s">
        <v>281</v>
      </c>
      <c r="J250" s="55">
        <v>2000</v>
      </c>
      <c r="K250" s="55"/>
      <c r="L250" s="55"/>
      <c r="M250" s="55"/>
      <c r="N250" s="55"/>
      <c r="O250" s="102">
        <f t="shared" si="78"/>
        <v>2000</v>
      </c>
    </row>
    <row r="251" spans="1:15" x14ac:dyDescent="0.25">
      <c r="A251" s="106">
        <v>63231</v>
      </c>
      <c r="B251" s="114" t="s">
        <v>277</v>
      </c>
      <c r="C251" s="85">
        <f t="shared" si="77"/>
        <v>0</v>
      </c>
      <c r="D251" s="49" t="s">
        <v>9</v>
      </c>
      <c r="E251" s="114" t="s">
        <v>278</v>
      </c>
      <c r="I251" s="110" t="s">
        <v>282</v>
      </c>
      <c r="J251" s="55">
        <v>5500</v>
      </c>
      <c r="K251" s="55"/>
      <c r="L251" s="55"/>
      <c r="M251" s="55"/>
      <c r="N251" s="55"/>
      <c r="O251" s="102">
        <f t="shared" si="78"/>
        <v>5500</v>
      </c>
    </row>
    <row r="252" spans="1:15" x14ac:dyDescent="0.25">
      <c r="A252" s="106">
        <v>64272</v>
      </c>
      <c r="B252" s="114" t="s">
        <v>283</v>
      </c>
      <c r="C252" s="85">
        <f t="shared" si="77"/>
        <v>0</v>
      </c>
      <c r="D252" s="49" t="s">
        <v>9</v>
      </c>
      <c r="E252" s="52" t="s">
        <v>186</v>
      </c>
      <c r="I252" s="110" t="s">
        <v>284</v>
      </c>
      <c r="J252" s="102">
        <f>'29-30'!J252*1.03</f>
        <v>15302.417780760003</v>
      </c>
      <c r="K252" s="55"/>
      <c r="L252" s="55"/>
      <c r="M252" s="55"/>
      <c r="N252" s="55"/>
      <c r="O252" s="102">
        <f t="shared" si="78"/>
        <v>15302.417780760003</v>
      </c>
    </row>
    <row r="253" spans="1:15" x14ac:dyDescent="0.25">
      <c r="A253" s="106">
        <v>62553</v>
      </c>
      <c r="B253" s="114" t="s">
        <v>285</v>
      </c>
      <c r="C253" s="85">
        <f t="shared" si="77"/>
        <v>0</v>
      </c>
      <c r="D253" s="49" t="s">
        <v>9</v>
      </c>
      <c r="E253" s="52" t="s">
        <v>186</v>
      </c>
      <c r="I253" s="110" t="s">
        <v>286</v>
      </c>
      <c r="J253" s="55">
        <f>((2+0.4+1.95)*J17)+7500</f>
        <v>8304.75</v>
      </c>
      <c r="K253" s="55"/>
      <c r="L253" s="55"/>
      <c r="M253" s="55"/>
      <c r="N253" s="55"/>
      <c r="O253" s="102">
        <f t="shared" si="78"/>
        <v>8304.75</v>
      </c>
    </row>
    <row r="254" spans="1:15" x14ac:dyDescent="0.25">
      <c r="A254" s="106">
        <v>65210</v>
      </c>
      <c r="B254" s="114" t="s">
        <v>287</v>
      </c>
      <c r="C254" s="85">
        <f t="shared" si="77"/>
        <v>0</v>
      </c>
      <c r="D254" s="49" t="s">
        <v>9</v>
      </c>
      <c r="E254" s="114" t="s">
        <v>242</v>
      </c>
      <c r="I254" s="110" t="s">
        <v>288</v>
      </c>
      <c r="J254" s="102">
        <f>'29-30'!J254*1.1</f>
        <v>59347.293500000022</v>
      </c>
      <c r="K254" s="55"/>
      <c r="L254" s="55"/>
      <c r="M254" s="55"/>
      <c r="N254" s="55"/>
      <c r="O254" s="102">
        <f t="shared" si="78"/>
        <v>59347.293500000022</v>
      </c>
    </row>
    <row r="255" spans="1:15" x14ac:dyDescent="0.25">
      <c r="A255" s="106">
        <v>64100</v>
      </c>
      <c r="B255" s="114" t="s">
        <v>289</v>
      </c>
      <c r="C255" s="85">
        <f t="shared" si="77"/>
        <v>0</v>
      </c>
      <c r="D255" s="52" t="s">
        <v>39</v>
      </c>
      <c r="E255" s="114" t="s">
        <v>160</v>
      </c>
      <c r="I255" s="110" t="s">
        <v>290</v>
      </c>
      <c r="J255" s="55"/>
      <c r="K255" s="55"/>
      <c r="L255" s="55">
        <f>(40*180*2.5)*1.015*1.015*1.015*1.015*1.015</f>
        <v>19391.112069918745</v>
      </c>
      <c r="M255" s="55"/>
      <c r="N255" s="55"/>
      <c r="O255" s="102">
        <f t="shared" si="78"/>
        <v>19391.112069918745</v>
      </c>
    </row>
    <row r="256" spans="1:15" x14ac:dyDescent="0.25">
      <c r="A256" s="106">
        <v>64100</v>
      </c>
      <c r="B256" s="114" t="s">
        <v>289</v>
      </c>
      <c r="C256" s="85">
        <f t="shared" si="77"/>
        <v>0</v>
      </c>
      <c r="D256" s="52" t="s">
        <v>39</v>
      </c>
      <c r="E256" s="114" t="s">
        <v>160</v>
      </c>
      <c r="I256" s="110" t="s">
        <v>291</v>
      </c>
      <c r="J256" s="55"/>
      <c r="K256" s="55"/>
      <c r="L256" s="55">
        <f>(60*3.86*180)*1.015*1.015*1.015*1.015*1.015</f>
        <v>44909.815553931796</v>
      </c>
      <c r="M256" s="55"/>
      <c r="N256" s="55"/>
      <c r="O256" s="102">
        <f t="shared" si="78"/>
        <v>44909.815553931796</v>
      </c>
    </row>
    <row r="257" spans="1:15" x14ac:dyDescent="0.25">
      <c r="A257" s="106">
        <v>63330</v>
      </c>
      <c r="B257" s="114" t="s">
        <v>292</v>
      </c>
      <c r="C257" s="85">
        <f t="shared" si="77"/>
        <v>0</v>
      </c>
      <c r="D257" s="49" t="s">
        <v>9</v>
      </c>
      <c r="E257" s="114" t="s">
        <v>293</v>
      </c>
      <c r="I257" s="110" t="s">
        <v>294</v>
      </c>
      <c r="J257" s="55">
        <v>30000</v>
      </c>
      <c r="K257" s="55"/>
      <c r="L257" s="55"/>
      <c r="M257" s="55"/>
      <c r="N257" s="55"/>
      <c r="O257" s="102">
        <f t="shared" si="78"/>
        <v>30000</v>
      </c>
    </row>
    <row r="258" spans="1:15" x14ac:dyDescent="0.25">
      <c r="A258" s="106">
        <v>61584</v>
      </c>
      <c r="B258" s="114" t="s">
        <v>295</v>
      </c>
      <c r="C258" s="85">
        <f t="shared" si="77"/>
        <v>0</v>
      </c>
      <c r="D258" s="49" t="s">
        <v>9</v>
      </c>
      <c r="E258" s="52" t="s">
        <v>114</v>
      </c>
      <c r="I258" s="110" t="s">
        <v>296</v>
      </c>
      <c r="J258" s="55">
        <v>5500</v>
      </c>
      <c r="K258" s="55"/>
      <c r="L258" s="55"/>
      <c r="M258" s="55">
        <v>2331</v>
      </c>
      <c r="N258" s="55"/>
      <c r="O258" s="102">
        <f t="shared" si="78"/>
        <v>7831</v>
      </c>
    </row>
    <row r="259" spans="1:15" x14ac:dyDescent="0.25">
      <c r="A259" s="106">
        <v>63127</v>
      </c>
      <c r="B259" s="114" t="s">
        <v>261</v>
      </c>
      <c r="C259" s="85">
        <f t="shared" si="77"/>
        <v>0</v>
      </c>
      <c r="D259" s="49" t="s">
        <v>9</v>
      </c>
      <c r="E259" s="114" t="s">
        <v>297</v>
      </c>
      <c r="I259" s="110" t="s">
        <v>298</v>
      </c>
      <c r="J259" s="55">
        <v>900</v>
      </c>
      <c r="K259" s="55"/>
      <c r="L259" s="55"/>
      <c r="M259" s="55"/>
      <c r="N259" s="55"/>
      <c r="O259" s="102">
        <f t="shared" si="78"/>
        <v>900</v>
      </c>
    </row>
    <row r="260" spans="1:15" x14ac:dyDescent="0.25">
      <c r="A260" s="108">
        <v>63610</v>
      </c>
      <c r="B260" s="110" t="s">
        <v>299</v>
      </c>
      <c r="C260" s="85">
        <f t="shared" si="77"/>
        <v>0</v>
      </c>
      <c r="D260" s="49" t="s">
        <v>9</v>
      </c>
      <c r="E260" s="110" t="s">
        <v>300</v>
      </c>
      <c r="I260" s="110" t="s">
        <v>301</v>
      </c>
      <c r="J260" s="55">
        <f>(6*J17)+1500+1000</f>
        <v>3610</v>
      </c>
      <c r="K260" s="55"/>
      <c r="L260" s="55"/>
      <c r="M260" s="55"/>
      <c r="N260" s="55"/>
      <c r="O260" s="102">
        <f t="shared" si="78"/>
        <v>3610</v>
      </c>
    </row>
    <row r="261" spans="1:15" x14ac:dyDescent="0.25">
      <c r="A261" s="108">
        <v>62670</v>
      </c>
      <c r="B261" s="110" t="s">
        <v>236</v>
      </c>
      <c r="C261" s="85">
        <f t="shared" si="77"/>
        <v>0</v>
      </c>
      <c r="D261" s="49" t="s">
        <v>9</v>
      </c>
      <c r="E261" s="110" t="s">
        <v>302</v>
      </c>
      <c r="I261" s="110" t="s">
        <v>303</v>
      </c>
      <c r="J261" s="55">
        <v>0</v>
      </c>
      <c r="K261" s="55"/>
      <c r="L261" s="55"/>
      <c r="M261" s="55"/>
      <c r="N261" s="55"/>
      <c r="O261" s="102">
        <f t="shared" si="78"/>
        <v>0</v>
      </c>
    </row>
    <row r="262" spans="1:15" x14ac:dyDescent="0.25">
      <c r="A262" s="108">
        <v>90002</v>
      </c>
      <c r="B262" s="110" t="s">
        <v>304</v>
      </c>
      <c r="C262" s="85">
        <f t="shared" si="77"/>
        <v>0</v>
      </c>
      <c r="D262" s="49" t="s">
        <v>9</v>
      </c>
      <c r="E262" s="110" t="s">
        <v>305</v>
      </c>
      <c r="I262" s="110" t="s">
        <v>306</v>
      </c>
      <c r="J262" s="55">
        <v>0</v>
      </c>
      <c r="K262" s="55"/>
      <c r="L262" s="55"/>
      <c r="M262" s="55"/>
      <c r="N262" s="55"/>
      <c r="O262" s="102">
        <f t="shared" si="78"/>
        <v>0</v>
      </c>
    </row>
    <row r="263" spans="1:15" x14ac:dyDescent="0.25">
      <c r="A263" s="108">
        <v>69990</v>
      </c>
      <c r="B263" s="110" t="s">
        <v>307</v>
      </c>
      <c r="C263" s="85">
        <f t="shared" si="77"/>
        <v>0</v>
      </c>
      <c r="D263" s="114" t="s">
        <v>33</v>
      </c>
      <c r="E263" s="110" t="s">
        <v>308</v>
      </c>
      <c r="I263" s="110" t="s">
        <v>309</v>
      </c>
      <c r="J263" s="55">
        <f>J80</f>
        <v>0</v>
      </c>
      <c r="K263" s="55"/>
      <c r="L263" s="55"/>
      <c r="M263" s="55"/>
      <c r="N263" s="55"/>
      <c r="O263" s="102">
        <f t="shared" si="78"/>
        <v>0</v>
      </c>
    </row>
    <row r="264" spans="1:15" x14ac:dyDescent="0.25">
      <c r="A264" s="108">
        <v>69900</v>
      </c>
      <c r="B264" s="110" t="s">
        <v>299</v>
      </c>
      <c r="C264" s="85">
        <f t="shared" si="77"/>
        <v>0</v>
      </c>
      <c r="D264" s="49" t="s">
        <v>9</v>
      </c>
      <c r="E264" s="110" t="s">
        <v>300</v>
      </c>
      <c r="I264" s="110" t="s">
        <v>310</v>
      </c>
      <c r="J264" s="55">
        <v>0</v>
      </c>
      <c r="K264" s="55"/>
      <c r="L264" s="55"/>
      <c r="M264" s="55"/>
      <c r="N264" s="55"/>
      <c r="O264" s="102">
        <f t="shared" si="78"/>
        <v>0</v>
      </c>
    </row>
    <row r="265" spans="1:15" x14ac:dyDescent="0.25">
      <c r="A265" s="111">
        <v>69900</v>
      </c>
      <c r="B265" s="112" t="s">
        <v>311</v>
      </c>
      <c r="C265" s="85">
        <f t="shared" si="77"/>
        <v>0</v>
      </c>
      <c r="D265" s="49" t="s">
        <v>9</v>
      </c>
      <c r="E265" s="112" t="s">
        <v>312</v>
      </c>
      <c r="I265" s="112" t="s">
        <v>313</v>
      </c>
      <c r="J265" s="58">
        <f>J68*0</f>
        <v>0</v>
      </c>
      <c r="K265" s="58"/>
      <c r="L265" s="58"/>
      <c r="M265" s="58"/>
      <c r="N265" s="58"/>
      <c r="O265" s="102">
        <f t="shared" si="78"/>
        <v>0</v>
      </c>
    </row>
    <row r="266" spans="1:15" x14ac:dyDescent="0.25">
      <c r="A266" s="98"/>
      <c r="B266" s="98"/>
      <c r="C266" s="98"/>
      <c r="D266" s="98"/>
      <c r="E266" s="98"/>
      <c r="H266" s="93" t="s">
        <v>47</v>
      </c>
      <c r="I266" s="113"/>
      <c r="J266" s="92">
        <f t="shared" ref="J266:K266" si="79">SUM(J248:J265)</f>
        <v>138692.98866014142</v>
      </c>
      <c r="K266" s="92">
        <f t="shared" si="79"/>
        <v>0</v>
      </c>
      <c r="L266" s="92">
        <f t="shared" ref="L266:O266" si="80">SUM(L248:L265)</f>
        <v>64300.927623850541</v>
      </c>
      <c r="M266" s="92">
        <f t="shared" si="80"/>
        <v>2331</v>
      </c>
      <c r="N266" s="92">
        <f t="shared" si="80"/>
        <v>0</v>
      </c>
      <c r="O266" s="92">
        <f t="shared" si="80"/>
        <v>205324.91628399194</v>
      </c>
    </row>
    <row r="267" spans="1:15" ht="16.5" thickBot="1" x14ac:dyDescent="0.3">
      <c r="J267" s="99"/>
      <c r="K267" s="99"/>
      <c r="L267" s="99"/>
      <c r="M267" s="99"/>
      <c r="N267" s="99"/>
      <c r="O267" s="99"/>
    </row>
    <row r="268" spans="1:15" ht="16.5" thickBot="1" x14ac:dyDescent="0.3">
      <c r="A268" s="68" t="s">
        <v>5</v>
      </c>
      <c r="B268" s="68" t="s">
        <v>91</v>
      </c>
      <c r="C268" s="68" t="s">
        <v>92</v>
      </c>
      <c r="D268" s="68" t="s">
        <v>4</v>
      </c>
      <c r="E268" s="68" t="s">
        <v>93</v>
      </c>
      <c r="G268" s="100" t="s">
        <v>314</v>
      </c>
      <c r="H268" s="105"/>
      <c r="I268" s="82"/>
      <c r="J268" s="101" t="str">
        <f>J20</f>
        <v>Operating</v>
      </c>
      <c r="K268" s="101" t="str">
        <f t="shared" ref="K268:O268" si="81">K20</f>
        <v>SPED</v>
      </c>
      <c r="L268" s="101" t="str">
        <f t="shared" si="81"/>
        <v>NSLP</v>
      </c>
      <c r="M268" s="101" t="str">
        <f t="shared" si="81"/>
        <v>Title(s)</v>
      </c>
      <c r="N268" s="101" t="str">
        <f t="shared" si="81"/>
        <v>Other</v>
      </c>
      <c r="O268" s="101" t="str">
        <f t="shared" si="81"/>
        <v>Total</v>
      </c>
    </row>
    <row r="269" spans="1:15" x14ac:dyDescent="0.25">
      <c r="A269" s="106">
        <v>65510</v>
      </c>
      <c r="B269" s="114" t="s">
        <v>315</v>
      </c>
      <c r="C269" s="85">
        <f t="shared" ref="C269:C279" si="82">$C$1</f>
        <v>0</v>
      </c>
      <c r="D269" s="49" t="s">
        <v>9</v>
      </c>
      <c r="E269" s="114" t="s">
        <v>242</v>
      </c>
      <c r="I269" s="114" t="s">
        <v>316</v>
      </c>
      <c r="J269" s="102">
        <f>'29-30'!J269*1.03</f>
        <v>51703.623713779998</v>
      </c>
      <c r="K269" s="102"/>
      <c r="L269" s="102"/>
      <c r="M269" s="102"/>
      <c r="N269" s="102"/>
      <c r="O269" s="102">
        <f>SUM(J269:N269)</f>
        <v>51703.623713779998</v>
      </c>
    </row>
    <row r="270" spans="1:15" x14ac:dyDescent="0.25">
      <c r="A270" s="106">
        <v>65530</v>
      </c>
      <c r="B270" s="114" t="s">
        <v>317</v>
      </c>
      <c r="C270" s="85">
        <f t="shared" si="82"/>
        <v>0</v>
      </c>
      <c r="D270" s="49" t="s">
        <v>9</v>
      </c>
      <c r="E270" s="114" t="s">
        <v>242</v>
      </c>
      <c r="I270" s="110" t="s">
        <v>318</v>
      </c>
      <c r="J270" s="102">
        <f>'29-30'!J270*1.03</f>
        <v>2086.6933337400005</v>
      </c>
      <c r="K270" s="55"/>
      <c r="L270" s="55"/>
      <c r="M270" s="55"/>
      <c r="N270" s="55"/>
      <c r="O270" s="102">
        <f t="shared" ref="O270:O279" si="83">SUM(J270:N270)</f>
        <v>2086.6933337400005</v>
      </c>
    </row>
    <row r="271" spans="1:15" x14ac:dyDescent="0.25">
      <c r="A271" s="106">
        <v>65540</v>
      </c>
      <c r="B271" s="114" t="s">
        <v>319</v>
      </c>
      <c r="C271" s="85">
        <f t="shared" si="82"/>
        <v>0</v>
      </c>
      <c r="D271" s="49" t="s">
        <v>9</v>
      </c>
      <c r="E271" s="114" t="s">
        <v>242</v>
      </c>
      <c r="I271" s="110" t="s">
        <v>320</v>
      </c>
      <c r="J271" s="102">
        <f>'29-30'!J271*1.03</f>
        <v>12288.305187580001</v>
      </c>
      <c r="K271" s="55"/>
      <c r="L271" s="55"/>
      <c r="M271" s="55"/>
      <c r="N271" s="55"/>
      <c r="O271" s="102">
        <f t="shared" si="83"/>
        <v>12288.305187580001</v>
      </c>
    </row>
    <row r="272" spans="1:15" x14ac:dyDescent="0.25">
      <c r="A272" s="106">
        <v>65550</v>
      </c>
      <c r="B272" s="114" t="s">
        <v>321</v>
      </c>
      <c r="C272" s="85">
        <f t="shared" si="82"/>
        <v>0</v>
      </c>
      <c r="D272" s="49" t="s">
        <v>9</v>
      </c>
      <c r="E272" s="114" t="s">
        <v>242</v>
      </c>
      <c r="I272" s="110" t="s">
        <v>322</v>
      </c>
      <c r="J272" s="102">
        <f>'29-30'!J272*1.03</f>
        <v>4637.0962972000007</v>
      </c>
      <c r="K272" s="55"/>
      <c r="L272" s="55"/>
      <c r="M272" s="55"/>
      <c r="N272" s="55"/>
      <c r="O272" s="102">
        <f t="shared" si="83"/>
        <v>4637.0962972000007</v>
      </c>
    </row>
    <row r="273" spans="1:15" x14ac:dyDescent="0.25">
      <c r="A273" s="106">
        <v>63632</v>
      </c>
      <c r="B273" s="114" t="s">
        <v>323</v>
      </c>
      <c r="C273" s="85">
        <f t="shared" si="82"/>
        <v>0</v>
      </c>
      <c r="D273" s="49" t="s">
        <v>9</v>
      </c>
      <c r="E273" s="114" t="s">
        <v>324</v>
      </c>
      <c r="I273" s="110" t="s">
        <v>325</v>
      </c>
      <c r="J273" s="102">
        <f>'29-30'!J273*1.03</f>
        <v>1159.2740743000002</v>
      </c>
      <c r="K273" s="55"/>
      <c r="L273" s="55"/>
      <c r="M273" s="55"/>
      <c r="N273" s="55"/>
      <c r="O273" s="102">
        <f t="shared" si="83"/>
        <v>1159.2740743000002</v>
      </c>
    </row>
    <row r="274" spans="1:15" x14ac:dyDescent="0.25">
      <c r="A274" s="106">
        <v>65100</v>
      </c>
      <c r="B274" s="114" t="s">
        <v>326</v>
      </c>
      <c r="C274" s="85">
        <f t="shared" si="82"/>
        <v>0</v>
      </c>
      <c r="D274" s="49" t="s">
        <v>9</v>
      </c>
      <c r="E274" s="114" t="s">
        <v>242</v>
      </c>
      <c r="I274" s="110" t="s">
        <v>327</v>
      </c>
      <c r="J274" s="102">
        <f>'29-30'!J274*1.03</f>
        <v>15592.236299335002</v>
      </c>
      <c r="K274" s="55"/>
      <c r="L274" s="55"/>
      <c r="M274" s="55"/>
      <c r="N274" s="55"/>
      <c r="O274" s="102">
        <f t="shared" si="83"/>
        <v>15592.236299335002</v>
      </c>
    </row>
    <row r="275" spans="1:15" x14ac:dyDescent="0.25">
      <c r="A275" s="106">
        <v>65310</v>
      </c>
      <c r="B275" s="114" t="s">
        <v>328</v>
      </c>
      <c r="C275" s="85">
        <f t="shared" si="82"/>
        <v>0</v>
      </c>
      <c r="D275" s="49" t="s">
        <v>9</v>
      </c>
      <c r="E275" s="114" t="s">
        <v>242</v>
      </c>
      <c r="I275" s="110" t="s">
        <v>329</v>
      </c>
      <c r="J275" s="55">
        <v>30000</v>
      </c>
      <c r="K275" s="55"/>
      <c r="L275" s="55"/>
      <c r="M275" s="55"/>
      <c r="N275" s="55"/>
      <c r="O275" s="102">
        <f t="shared" si="83"/>
        <v>30000</v>
      </c>
    </row>
    <row r="276" spans="1:15" x14ac:dyDescent="0.25">
      <c r="A276" s="106">
        <v>65310</v>
      </c>
      <c r="B276" s="114" t="s">
        <v>330</v>
      </c>
      <c r="C276" s="85">
        <f t="shared" si="82"/>
        <v>0</v>
      </c>
      <c r="D276" s="49" t="s">
        <v>9</v>
      </c>
      <c r="E276" s="114" t="s">
        <v>242</v>
      </c>
      <c r="I276" s="110" t="s">
        <v>331</v>
      </c>
      <c r="J276" s="55"/>
      <c r="K276" s="55"/>
      <c r="L276" s="55"/>
      <c r="M276" s="55"/>
      <c r="N276" s="55"/>
      <c r="O276" s="102">
        <f t="shared" si="83"/>
        <v>0</v>
      </c>
    </row>
    <row r="277" spans="1:15" x14ac:dyDescent="0.25">
      <c r="A277" s="106">
        <v>65112</v>
      </c>
      <c r="B277" s="114" t="s">
        <v>332</v>
      </c>
      <c r="C277" s="85">
        <f t="shared" si="82"/>
        <v>0</v>
      </c>
      <c r="D277" s="49" t="s">
        <v>9</v>
      </c>
      <c r="E277" s="114" t="s">
        <v>242</v>
      </c>
      <c r="I277" s="110" t="s">
        <v>333</v>
      </c>
      <c r="J277" s="55">
        <v>0</v>
      </c>
      <c r="K277" s="55"/>
      <c r="L277" s="55"/>
      <c r="M277" s="55"/>
      <c r="N277" s="55"/>
      <c r="O277" s="102">
        <f t="shared" si="83"/>
        <v>0</v>
      </c>
    </row>
    <row r="278" spans="1:15" x14ac:dyDescent="0.25">
      <c r="A278" s="106">
        <v>65111</v>
      </c>
      <c r="B278" s="114" t="s">
        <v>332</v>
      </c>
      <c r="C278" s="85">
        <f t="shared" si="82"/>
        <v>0</v>
      </c>
      <c r="D278" s="49" t="s">
        <v>9</v>
      </c>
      <c r="E278" s="114" t="s">
        <v>242</v>
      </c>
      <c r="I278" s="110" t="s">
        <v>334</v>
      </c>
      <c r="J278" s="55">
        <v>0</v>
      </c>
      <c r="K278" s="55"/>
      <c r="L278" s="55"/>
      <c r="M278" s="55"/>
      <c r="N278" s="55"/>
      <c r="O278" s="102">
        <f t="shared" si="83"/>
        <v>0</v>
      </c>
    </row>
    <row r="279" spans="1:15" x14ac:dyDescent="0.25">
      <c r="A279" s="117">
        <v>65311</v>
      </c>
      <c r="B279" s="118" t="s">
        <v>328</v>
      </c>
      <c r="C279" s="85">
        <f t="shared" si="82"/>
        <v>0</v>
      </c>
      <c r="D279" s="49" t="s">
        <v>9</v>
      </c>
      <c r="E279" s="114" t="s">
        <v>242</v>
      </c>
      <c r="I279" s="112" t="s">
        <v>335</v>
      </c>
      <c r="J279" s="58">
        <v>11000</v>
      </c>
      <c r="K279" s="58"/>
      <c r="L279" s="58"/>
      <c r="M279" s="58"/>
      <c r="N279" s="58"/>
      <c r="O279" s="102">
        <f t="shared" si="83"/>
        <v>11000</v>
      </c>
    </row>
    <row r="280" spans="1:15" x14ac:dyDescent="0.25">
      <c r="A280" s="98"/>
      <c r="B280" s="98"/>
      <c r="C280" s="98"/>
      <c r="D280" s="98"/>
      <c r="E280" s="98"/>
      <c r="H280" s="93" t="s">
        <v>47</v>
      </c>
      <c r="I280" s="113"/>
      <c r="J280" s="92">
        <f t="shared" ref="J280:O280" si="84">SUM(J269:J279)</f>
        <v>128467.228905935</v>
      </c>
      <c r="K280" s="92">
        <f t="shared" si="84"/>
        <v>0</v>
      </c>
      <c r="L280" s="92">
        <f t="shared" si="84"/>
        <v>0</v>
      </c>
      <c r="M280" s="92">
        <f t="shared" si="84"/>
        <v>0</v>
      </c>
      <c r="N280" s="92">
        <f t="shared" si="84"/>
        <v>0</v>
      </c>
      <c r="O280" s="92">
        <f t="shared" si="84"/>
        <v>128467.228905935</v>
      </c>
    </row>
    <row r="281" spans="1:15" ht="16.5" thickBot="1" x14ac:dyDescent="0.3">
      <c r="J281" s="99"/>
      <c r="K281" s="99"/>
      <c r="L281" s="99"/>
      <c r="M281" s="99"/>
      <c r="N281" s="99"/>
      <c r="O281" s="99"/>
    </row>
    <row r="282" spans="1:15" ht="16.149999999999999" customHeight="1" thickBot="1" x14ac:dyDescent="0.3">
      <c r="A282" s="81"/>
      <c r="B282" s="82"/>
      <c r="C282" s="82"/>
      <c r="D282" s="82"/>
      <c r="E282" s="82"/>
      <c r="G282" s="180" t="s">
        <v>336</v>
      </c>
      <c r="H282" s="181"/>
      <c r="I282" s="181"/>
      <c r="J282" s="119">
        <f t="shared" ref="J282:O282" si="85">J280+J266+J245+J233+J221+J212+J201+J180+J153+J134</f>
        <v>1779398.3879228537</v>
      </c>
      <c r="K282" s="119">
        <f t="shared" si="85"/>
        <v>210268.21616138506</v>
      </c>
      <c r="L282" s="119">
        <f t="shared" si="85"/>
        <v>144946.58343238189</v>
      </c>
      <c r="M282" s="119">
        <f t="shared" si="85"/>
        <v>129306.9525</v>
      </c>
      <c r="N282" s="119">
        <f t="shared" si="85"/>
        <v>0</v>
      </c>
      <c r="O282" s="119">
        <f t="shared" si="85"/>
        <v>2263920.1400166205</v>
      </c>
    </row>
    <row r="283" spans="1:15" ht="16.5" thickBot="1" x14ac:dyDescent="0.3">
      <c r="J283" s="99"/>
      <c r="K283" s="99"/>
      <c r="L283" s="99"/>
      <c r="M283" s="99"/>
      <c r="N283" s="99"/>
      <c r="O283" s="99"/>
    </row>
    <row r="284" spans="1:15" ht="16.5" thickBot="1" x14ac:dyDescent="0.3">
      <c r="A284" s="81"/>
      <c r="B284" s="82"/>
      <c r="C284" s="82"/>
      <c r="D284" s="82"/>
      <c r="E284" s="82"/>
      <c r="G284" s="69" t="s">
        <v>337</v>
      </c>
      <c r="H284" s="120"/>
      <c r="I284" s="121"/>
      <c r="J284" s="122"/>
      <c r="K284" s="122"/>
      <c r="L284" s="122"/>
      <c r="M284" s="122"/>
      <c r="N284" s="122"/>
      <c r="O284" s="122"/>
    </row>
    <row r="285" spans="1:15" x14ac:dyDescent="0.25">
      <c r="A285" s="123">
        <v>65400</v>
      </c>
      <c r="B285" s="124" t="s">
        <v>319</v>
      </c>
      <c r="C285" s="85">
        <f t="shared" ref="C285:C288" si="86">$C$1</f>
        <v>0</v>
      </c>
      <c r="D285" s="49" t="s">
        <v>9</v>
      </c>
      <c r="E285" s="114" t="s">
        <v>242</v>
      </c>
      <c r="I285" s="124" t="s">
        <v>338</v>
      </c>
      <c r="J285" s="125">
        <f>500*J17</f>
        <v>92500</v>
      </c>
      <c r="K285" s="125">
        <f>500*K17</f>
        <v>0</v>
      </c>
      <c r="L285" s="125">
        <f>500*L17</f>
        <v>0</v>
      </c>
      <c r="M285" s="125">
        <f>500*M17</f>
        <v>0</v>
      </c>
      <c r="N285" s="125">
        <f>500*N17</f>
        <v>0</v>
      </c>
      <c r="O285" s="102">
        <f>SUM(J285:N285)</f>
        <v>92500</v>
      </c>
    </row>
    <row r="286" spans="1:15" x14ac:dyDescent="0.25">
      <c r="A286" s="126">
        <v>90001</v>
      </c>
      <c r="B286" s="127" t="s">
        <v>304</v>
      </c>
      <c r="C286" s="85">
        <f t="shared" si="86"/>
        <v>0</v>
      </c>
      <c r="D286" s="49" t="s">
        <v>9</v>
      </c>
      <c r="E286" s="110" t="s">
        <v>305</v>
      </c>
      <c r="I286" s="127" t="s">
        <v>339</v>
      </c>
      <c r="J286" s="128">
        <v>0</v>
      </c>
      <c r="K286" s="128">
        <v>0</v>
      </c>
      <c r="L286" s="128">
        <v>0</v>
      </c>
      <c r="M286" s="128">
        <v>0</v>
      </c>
      <c r="N286" s="128">
        <v>0</v>
      </c>
      <c r="O286" s="102">
        <f t="shared" ref="O286:O288" si="87">SUM(J286:N286)</f>
        <v>0</v>
      </c>
    </row>
    <row r="287" spans="1:15" x14ac:dyDescent="0.25">
      <c r="A287" s="126">
        <v>68320</v>
      </c>
      <c r="B287" s="127" t="s">
        <v>340</v>
      </c>
      <c r="C287" s="85">
        <f t="shared" si="86"/>
        <v>0</v>
      </c>
      <c r="D287" s="49" t="s">
        <v>9</v>
      </c>
      <c r="E287" s="110" t="s">
        <v>305</v>
      </c>
      <c r="I287" s="127" t="s">
        <v>341</v>
      </c>
      <c r="J287" s="128">
        <v>0</v>
      </c>
      <c r="K287" s="128">
        <v>0</v>
      </c>
      <c r="L287" s="128">
        <v>0</v>
      </c>
      <c r="M287" s="128">
        <v>0</v>
      </c>
      <c r="N287" s="128">
        <v>0</v>
      </c>
      <c r="O287" s="102">
        <f t="shared" si="87"/>
        <v>0</v>
      </c>
    </row>
    <row r="288" spans="1:15" x14ac:dyDescent="0.25">
      <c r="A288" s="123">
        <v>65400</v>
      </c>
      <c r="B288" s="124" t="s">
        <v>319</v>
      </c>
      <c r="C288" s="85">
        <f t="shared" si="86"/>
        <v>0</v>
      </c>
      <c r="D288" s="49" t="s">
        <v>9</v>
      </c>
      <c r="E288" s="114" t="s">
        <v>242</v>
      </c>
      <c r="I288" s="129" t="s">
        <v>342</v>
      </c>
      <c r="J288" s="130">
        <v>0</v>
      </c>
      <c r="K288" s="130">
        <v>0</v>
      </c>
      <c r="L288" s="130">
        <v>0</v>
      </c>
      <c r="M288" s="130">
        <v>0</v>
      </c>
      <c r="N288" s="130">
        <v>0</v>
      </c>
      <c r="O288" s="102">
        <f t="shared" si="87"/>
        <v>0</v>
      </c>
    </row>
    <row r="289" spans="1:15" x14ac:dyDescent="0.25">
      <c r="A289" s="98"/>
      <c r="B289" s="98"/>
      <c r="C289" s="98"/>
      <c r="D289" s="98"/>
      <c r="E289" s="98"/>
      <c r="G289" s="2"/>
      <c r="H289" s="93" t="s">
        <v>343</v>
      </c>
      <c r="I289" s="94"/>
      <c r="J289" s="92">
        <f t="shared" ref="J289:O289" si="88">SUM(J285:J288)</f>
        <v>92500</v>
      </c>
      <c r="K289" s="92">
        <f t="shared" si="88"/>
        <v>0</v>
      </c>
      <c r="L289" s="92">
        <f t="shared" si="88"/>
        <v>0</v>
      </c>
      <c r="M289" s="92">
        <f t="shared" si="88"/>
        <v>0</v>
      </c>
      <c r="N289" s="92">
        <f t="shared" si="88"/>
        <v>0</v>
      </c>
      <c r="O289" s="92">
        <f t="shared" si="88"/>
        <v>92500</v>
      </c>
    </row>
    <row r="290" spans="1:15" ht="16.5" thickBot="1" x14ac:dyDescent="0.3">
      <c r="J290" s="99"/>
      <c r="K290" s="99"/>
      <c r="L290" s="99"/>
      <c r="M290" s="99"/>
      <c r="N290" s="99"/>
      <c r="O290" s="99"/>
    </row>
    <row r="291" spans="1:15" ht="16.5" thickBot="1" x14ac:dyDescent="0.3">
      <c r="A291" s="131"/>
      <c r="B291" s="132"/>
      <c r="C291" s="132"/>
      <c r="D291" s="132"/>
      <c r="E291" s="132"/>
      <c r="G291" s="133" t="s">
        <v>344</v>
      </c>
      <c r="H291" s="134"/>
      <c r="I291" s="135"/>
      <c r="J291" s="136">
        <f t="shared" ref="J291:O291" si="89">(J83+J89)-(J289+J282)</f>
        <v>164240.31207714626</v>
      </c>
      <c r="K291" s="136">
        <f t="shared" si="89"/>
        <v>9122.9040113422088</v>
      </c>
      <c r="L291" s="136">
        <f t="shared" si="89"/>
        <v>-70329.584187334563</v>
      </c>
      <c r="M291" s="136">
        <f t="shared" si="89"/>
        <v>-37087.362500000003</v>
      </c>
      <c r="N291" s="136">
        <f t="shared" si="89"/>
        <v>0</v>
      </c>
      <c r="O291" s="136">
        <f t="shared" si="89"/>
        <v>65946.269401154015</v>
      </c>
    </row>
    <row r="292" spans="1:15" x14ac:dyDescent="0.25">
      <c r="J292" s="99"/>
      <c r="K292" s="99"/>
      <c r="L292" s="99"/>
      <c r="M292" s="99"/>
      <c r="N292" s="99"/>
      <c r="O292" s="99"/>
    </row>
    <row r="293" spans="1:15" x14ac:dyDescent="0.25">
      <c r="I293" s="17" t="str">
        <f>I1</f>
        <v>CIVICA Nevada</v>
      </c>
      <c r="J293" s="137" t="str">
        <f t="shared" ref="J293:O293" si="90">J20</f>
        <v>Operating</v>
      </c>
      <c r="K293" s="137" t="str">
        <f t="shared" si="90"/>
        <v>SPED</v>
      </c>
      <c r="L293" s="137" t="str">
        <f t="shared" si="90"/>
        <v>NSLP</v>
      </c>
      <c r="M293" s="137" t="str">
        <f t="shared" si="90"/>
        <v>Title(s)</v>
      </c>
      <c r="N293" s="137" t="str">
        <f t="shared" si="90"/>
        <v>Other</v>
      </c>
      <c r="O293" s="137" t="str">
        <f t="shared" si="90"/>
        <v>Total</v>
      </c>
    </row>
    <row r="294" spans="1:15" x14ac:dyDescent="0.25">
      <c r="J294" s="99"/>
      <c r="K294" s="99"/>
      <c r="L294" s="99"/>
      <c r="M294" s="99"/>
      <c r="N294" s="99"/>
      <c r="O294" s="99"/>
    </row>
    <row r="295" spans="1:15" ht="16.5" thickBot="1" x14ac:dyDescent="0.3">
      <c r="I295" s="138"/>
      <c r="J295" s="137" t="s">
        <v>44</v>
      </c>
      <c r="K295" s="137" t="s">
        <v>44</v>
      </c>
      <c r="L295" s="137" t="s">
        <v>44</v>
      </c>
      <c r="M295" s="137" t="s">
        <v>44</v>
      </c>
      <c r="N295" s="137" t="s">
        <v>44</v>
      </c>
      <c r="O295" s="137" t="s">
        <v>44</v>
      </c>
    </row>
    <row r="296" spans="1:15" ht="16.5" thickBot="1" x14ac:dyDescent="0.3">
      <c r="G296" s="139" t="s">
        <v>345</v>
      </c>
      <c r="H296" s="140"/>
      <c r="I296" s="141"/>
      <c r="J296" s="142"/>
      <c r="K296" s="142"/>
      <c r="L296" s="142"/>
      <c r="M296" s="142"/>
      <c r="N296" s="142"/>
      <c r="O296" s="142"/>
    </row>
    <row r="297" spans="1:15" x14ac:dyDescent="0.25">
      <c r="I297" s="2" t="s">
        <v>98</v>
      </c>
      <c r="J297" s="143">
        <f>J73</f>
        <v>0</v>
      </c>
      <c r="K297" s="143">
        <f>K73</f>
        <v>122895</v>
      </c>
      <c r="L297" s="143">
        <f>L73</f>
        <v>0</v>
      </c>
      <c r="M297" s="143">
        <f>M73</f>
        <v>0</v>
      </c>
      <c r="N297" s="143">
        <f>N73</f>
        <v>0</v>
      </c>
      <c r="O297" s="143">
        <f>SUM(J297:N297)</f>
        <v>122895</v>
      </c>
    </row>
    <row r="298" spans="1:15" x14ac:dyDescent="0.25">
      <c r="I298" s="2" t="s">
        <v>99</v>
      </c>
      <c r="J298" s="143">
        <f>J74</f>
        <v>0</v>
      </c>
      <c r="K298" s="143">
        <f>K74</f>
        <v>76297.648172727248</v>
      </c>
      <c r="L298" s="143">
        <f t="shared" ref="L298:N299" si="91">L74</f>
        <v>0</v>
      </c>
      <c r="M298" s="143">
        <f t="shared" si="91"/>
        <v>0</v>
      </c>
      <c r="N298" s="143">
        <f t="shared" si="91"/>
        <v>0</v>
      </c>
      <c r="O298" s="143">
        <f>SUM(J298:N298)</f>
        <v>76297.648172727248</v>
      </c>
    </row>
    <row r="299" spans="1:15" ht="16.5" thickBot="1" x14ac:dyDescent="0.3">
      <c r="I299" s="2" t="s">
        <v>100</v>
      </c>
      <c r="J299" s="143">
        <f>J75</f>
        <v>0</v>
      </c>
      <c r="K299" s="143">
        <f>K75</f>
        <v>20198.472000000002</v>
      </c>
      <c r="L299" s="143">
        <f t="shared" si="91"/>
        <v>0</v>
      </c>
      <c r="M299" s="143">
        <f t="shared" si="91"/>
        <v>0</v>
      </c>
      <c r="N299" s="143">
        <f t="shared" si="91"/>
        <v>0</v>
      </c>
      <c r="O299" s="143">
        <f>SUM(J299:N299)</f>
        <v>20198.472000000002</v>
      </c>
    </row>
    <row r="300" spans="1:15" ht="16.5" thickBot="1" x14ac:dyDescent="0.3">
      <c r="G300" s="139" t="s">
        <v>346</v>
      </c>
      <c r="H300" s="140"/>
      <c r="I300" s="141"/>
      <c r="J300" s="142"/>
      <c r="K300" s="142"/>
      <c r="L300" s="142"/>
      <c r="M300" s="142"/>
      <c r="N300" s="142"/>
      <c r="O300" s="142"/>
    </row>
    <row r="301" spans="1:15" x14ac:dyDescent="0.25">
      <c r="I301" s="2" t="s">
        <v>347</v>
      </c>
      <c r="J301" s="143">
        <f>J98+J99+J111+J112+J114+J116+J169+J176</f>
        <v>0</v>
      </c>
      <c r="K301" s="143">
        <f>K134+K180</f>
        <v>80489.961978277905</v>
      </c>
      <c r="L301" s="143">
        <f>L98+L99+L111+L112+L114+L116+L169+L176</f>
        <v>0</v>
      </c>
      <c r="M301" s="143">
        <f>M98+M99+M111+M112+M114+M116+M169+M176</f>
        <v>0</v>
      </c>
      <c r="N301" s="143">
        <f>N98+N99+N111+N112+N114+N116+N169+N176</f>
        <v>0</v>
      </c>
      <c r="O301" s="143">
        <f t="shared" ref="O301:O306" si="92">SUM(J301:N301)</f>
        <v>80489.961978277905</v>
      </c>
    </row>
    <row r="302" spans="1:15" x14ac:dyDescent="0.25">
      <c r="I302" s="2" t="s">
        <v>348</v>
      </c>
      <c r="J302" s="143">
        <f>J139+J146+J187+J195</f>
        <v>0</v>
      </c>
      <c r="K302" s="143">
        <f>K153+K201</f>
        <v>45443.254183107158</v>
      </c>
      <c r="L302" s="143">
        <f>L139+L146+L187+L195</f>
        <v>0</v>
      </c>
      <c r="M302" s="143">
        <f>M139+M146+M187+M195</f>
        <v>0</v>
      </c>
      <c r="N302" s="143">
        <f>N139+N146+N187+N195</f>
        <v>0</v>
      </c>
      <c r="O302" s="143">
        <f t="shared" si="92"/>
        <v>45443.254183107158</v>
      </c>
    </row>
    <row r="303" spans="1:15" x14ac:dyDescent="0.25">
      <c r="I303" s="2" t="s">
        <v>349</v>
      </c>
      <c r="J303" s="143">
        <f>J211</f>
        <v>0</v>
      </c>
      <c r="K303" s="143">
        <f>K212+K221</f>
        <v>3675</v>
      </c>
      <c r="L303" s="143">
        <f>L211</f>
        <v>0</v>
      </c>
      <c r="M303" s="143">
        <f>M211</f>
        <v>0</v>
      </c>
      <c r="N303" s="143">
        <f>N211</f>
        <v>0</v>
      </c>
      <c r="O303" s="143">
        <f t="shared" si="92"/>
        <v>3675</v>
      </c>
    </row>
    <row r="304" spans="1:15" x14ac:dyDescent="0.25">
      <c r="I304" s="2" t="s">
        <v>350</v>
      </c>
      <c r="J304" s="143">
        <f>J226</f>
        <v>0</v>
      </c>
      <c r="K304" s="143">
        <f>K233+K245</f>
        <v>80660</v>
      </c>
      <c r="L304" s="143">
        <f>L226</f>
        <v>0</v>
      </c>
      <c r="M304" s="143">
        <f>M226</f>
        <v>0</v>
      </c>
      <c r="N304" s="143">
        <f>N226</f>
        <v>0</v>
      </c>
      <c r="O304" s="143">
        <f t="shared" si="92"/>
        <v>80660</v>
      </c>
    </row>
    <row r="305" spans="7:15" x14ac:dyDescent="0.25">
      <c r="I305" s="2" t="s">
        <v>351</v>
      </c>
      <c r="J305" s="143">
        <f>0</f>
        <v>0</v>
      </c>
      <c r="K305" s="143">
        <f>0</f>
        <v>0</v>
      </c>
      <c r="L305" s="143">
        <f>0</f>
        <v>0</v>
      </c>
      <c r="M305" s="143">
        <f>0</f>
        <v>0</v>
      </c>
      <c r="N305" s="143">
        <f>0</f>
        <v>0</v>
      </c>
      <c r="O305" s="143">
        <f t="shared" si="92"/>
        <v>0</v>
      </c>
    </row>
    <row r="306" spans="7:15" ht="16.5" thickBot="1" x14ac:dyDescent="0.3">
      <c r="I306" s="2" t="s">
        <v>352</v>
      </c>
      <c r="J306" s="143">
        <v>0</v>
      </c>
      <c r="K306" s="143">
        <v>0</v>
      </c>
      <c r="L306" s="143">
        <v>0</v>
      </c>
      <c r="M306" s="143">
        <v>0</v>
      </c>
      <c r="N306" s="143">
        <v>0</v>
      </c>
      <c r="O306" s="143">
        <f t="shared" si="92"/>
        <v>0</v>
      </c>
    </row>
    <row r="307" spans="7:15" ht="16.5" thickBot="1" x14ac:dyDescent="0.3">
      <c r="G307" s="139" t="s">
        <v>353</v>
      </c>
      <c r="H307" s="140"/>
      <c r="I307" s="141"/>
      <c r="J307" s="142">
        <f t="shared" ref="J307:O307" si="93">SUM(J297:J299)-SUM(J301:J306)</f>
        <v>0</v>
      </c>
      <c r="K307" s="142">
        <f t="shared" si="93"/>
        <v>9122.9040113422088</v>
      </c>
      <c r="L307" s="142">
        <f t="shared" si="93"/>
        <v>0</v>
      </c>
      <c r="M307" s="142">
        <f t="shared" si="93"/>
        <v>0</v>
      </c>
      <c r="N307" s="142">
        <f t="shared" si="93"/>
        <v>0</v>
      </c>
      <c r="O307" s="142">
        <f t="shared" si="93"/>
        <v>9122.9040113422088</v>
      </c>
    </row>
    <row r="308" spans="7:15" x14ac:dyDescent="0.25">
      <c r="I308" s="1"/>
    </row>
    <row r="309" spans="7:15" ht="16.5" thickBot="1" x14ac:dyDescent="0.3">
      <c r="I309" s="138"/>
      <c r="J309" s="137" t="s">
        <v>40</v>
      </c>
      <c r="K309" s="137" t="s">
        <v>40</v>
      </c>
      <c r="L309" s="137" t="s">
        <v>40</v>
      </c>
      <c r="M309" s="137" t="s">
        <v>40</v>
      </c>
      <c r="N309" s="137" t="s">
        <v>40</v>
      </c>
      <c r="O309" s="137" t="s">
        <v>40</v>
      </c>
    </row>
    <row r="310" spans="7:15" ht="16.5" thickBot="1" x14ac:dyDescent="0.3">
      <c r="G310" s="133" t="s">
        <v>354</v>
      </c>
      <c r="H310" s="134"/>
      <c r="I310" s="135"/>
      <c r="J310" s="136"/>
      <c r="K310" s="136"/>
      <c r="L310" s="136"/>
      <c r="M310" s="136"/>
      <c r="N310" s="136"/>
      <c r="O310" s="136"/>
    </row>
    <row r="311" spans="7:15" x14ac:dyDescent="0.25">
      <c r="I311" s="2" t="s">
        <v>103</v>
      </c>
      <c r="J311" s="143">
        <f t="shared" ref="J311:N312" si="94">J81</f>
        <v>0</v>
      </c>
      <c r="K311" s="143">
        <f t="shared" si="94"/>
        <v>0</v>
      </c>
      <c r="L311" s="143">
        <f t="shared" si="94"/>
        <v>22028.303311427691</v>
      </c>
      <c r="M311" s="143">
        <f t="shared" si="94"/>
        <v>0</v>
      </c>
      <c r="N311" s="143">
        <f t="shared" si="94"/>
        <v>0</v>
      </c>
      <c r="O311" s="143">
        <f>SUM(J311:N311)</f>
        <v>22028.303311427691</v>
      </c>
    </row>
    <row r="312" spans="7:15" ht="16.5" thickBot="1" x14ac:dyDescent="0.3">
      <c r="I312" s="2" t="s">
        <v>104</v>
      </c>
      <c r="J312" s="143">
        <f t="shared" si="94"/>
        <v>0</v>
      </c>
      <c r="K312" s="143">
        <f t="shared" si="94"/>
        <v>0</v>
      </c>
      <c r="L312" s="143">
        <f t="shared" si="94"/>
        <v>52588.695933619631</v>
      </c>
      <c r="M312" s="143">
        <f t="shared" si="94"/>
        <v>0</v>
      </c>
      <c r="N312" s="143">
        <f t="shared" si="94"/>
        <v>0</v>
      </c>
      <c r="O312" s="143">
        <f>SUM(J312:N312)</f>
        <v>52588.695933619631</v>
      </c>
    </row>
    <row r="313" spans="7:15" ht="16.5" thickBot="1" x14ac:dyDescent="0.3">
      <c r="G313" s="133" t="s">
        <v>355</v>
      </c>
      <c r="H313" s="134"/>
      <c r="I313" s="135"/>
      <c r="J313" s="136"/>
      <c r="K313" s="136"/>
      <c r="L313" s="136"/>
      <c r="M313" s="136"/>
      <c r="N313" s="136"/>
      <c r="O313" s="136"/>
    </row>
    <row r="314" spans="7:15" x14ac:dyDescent="0.25">
      <c r="I314" s="2" t="s">
        <v>347</v>
      </c>
      <c r="J314" s="143">
        <f>J132</f>
        <v>0</v>
      </c>
      <c r="K314" s="143">
        <f>K132</f>
        <v>0</v>
      </c>
      <c r="L314" s="143">
        <f>L134+L180</f>
        <v>51709.63218644997</v>
      </c>
      <c r="M314" s="143">
        <f>M132</f>
        <v>0</v>
      </c>
      <c r="N314" s="143">
        <f>N132</f>
        <v>0</v>
      </c>
      <c r="O314" s="143">
        <f t="shared" ref="O314:O319" si="95">SUM(J314:N314)</f>
        <v>51709.63218644997</v>
      </c>
    </row>
    <row r="315" spans="7:15" x14ac:dyDescent="0.25">
      <c r="I315" s="2" t="s">
        <v>348</v>
      </c>
      <c r="J315" s="143">
        <f>J141+J148</f>
        <v>0</v>
      </c>
      <c r="K315" s="143">
        <f>K141+K148</f>
        <v>0</v>
      </c>
      <c r="L315" s="143">
        <f>L201+L153</f>
        <v>28936.02362208136</v>
      </c>
      <c r="M315" s="143">
        <f>M141+M148</f>
        <v>0</v>
      </c>
      <c r="N315" s="143">
        <f>N141+N148</f>
        <v>0</v>
      </c>
      <c r="O315" s="143">
        <f t="shared" si="95"/>
        <v>28936.02362208136</v>
      </c>
    </row>
    <row r="316" spans="7:15" x14ac:dyDescent="0.25">
      <c r="I316" s="2" t="s">
        <v>349</v>
      </c>
      <c r="J316" s="143">
        <f>0</f>
        <v>0</v>
      </c>
      <c r="K316" s="143">
        <f>0</f>
        <v>0</v>
      </c>
      <c r="L316" s="143">
        <f>0</f>
        <v>0</v>
      </c>
      <c r="M316" s="143">
        <f>0</f>
        <v>0</v>
      </c>
      <c r="N316" s="143">
        <f>0</f>
        <v>0</v>
      </c>
      <c r="O316" s="143">
        <f t="shared" si="95"/>
        <v>0</v>
      </c>
    </row>
    <row r="317" spans="7:15" x14ac:dyDescent="0.25">
      <c r="I317" s="2" t="s">
        <v>350</v>
      </c>
      <c r="J317" s="143">
        <f>0</f>
        <v>0</v>
      </c>
      <c r="K317" s="143">
        <f>0</f>
        <v>0</v>
      </c>
      <c r="L317" s="143">
        <f>0</f>
        <v>0</v>
      </c>
      <c r="M317" s="143">
        <f>0</f>
        <v>0</v>
      </c>
      <c r="N317" s="143">
        <f>0</f>
        <v>0</v>
      </c>
      <c r="O317" s="143">
        <f t="shared" si="95"/>
        <v>0</v>
      </c>
    </row>
    <row r="318" spans="7:15" x14ac:dyDescent="0.25">
      <c r="I318" s="2" t="s">
        <v>351</v>
      </c>
      <c r="J318" s="143">
        <f>J255+J256</f>
        <v>0</v>
      </c>
      <c r="K318" s="143">
        <f>K255+K256</f>
        <v>0</v>
      </c>
      <c r="L318" s="143">
        <f>L255+L256</f>
        <v>64300.927623850541</v>
      </c>
      <c r="M318" s="143">
        <f>M255+M256</f>
        <v>0</v>
      </c>
      <c r="N318" s="143">
        <f>N255+N256</f>
        <v>0</v>
      </c>
      <c r="O318" s="143">
        <f t="shared" si="95"/>
        <v>64300.927623850541</v>
      </c>
    </row>
    <row r="319" spans="7:15" ht="16.5" thickBot="1" x14ac:dyDescent="0.3">
      <c r="I319" s="2" t="s">
        <v>352</v>
      </c>
      <c r="J319" s="143">
        <v>0</v>
      </c>
      <c r="K319" s="143">
        <v>0</v>
      </c>
      <c r="L319" s="143">
        <v>0</v>
      </c>
      <c r="M319" s="143">
        <v>0</v>
      </c>
      <c r="N319" s="143">
        <v>0</v>
      </c>
      <c r="O319" s="143">
        <f t="shared" si="95"/>
        <v>0</v>
      </c>
    </row>
    <row r="320" spans="7:15" ht="16.5" thickBot="1" x14ac:dyDescent="0.3">
      <c r="G320" s="133" t="s">
        <v>356</v>
      </c>
      <c r="H320" s="134"/>
      <c r="I320" s="135"/>
      <c r="J320" s="136">
        <f t="shared" ref="J320:O320" si="96">SUM(J311:J312)-SUM(J314:J319)</f>
        <v>0</v>
      </c>
      <c r="K320" s="136">
        <f t="shared" si="96"/>
        <v>0</v>
      </c>
      <c r="L320" s="136">
        <f t="shared" si="96"/>
        <v>-70329.584187334534</v>
      </c>
      <c r="M320" s="136">
        <f t="shared" si="96"/>
        <v>0</v>
      </c>
      <c r="N320" s="136">
        <f t="shared" si="96"/>
        <v>0</v>
      </c>
      <c r="O320" s="136">
        <f t="shared" si="96"/>
        <v>-70329.584187334534</v>
      </c>
    </row>
  </sheetData>
  <mergeCells count="1">
    <mergeCell ref="G282:I282"/>
  </mergeCells>
  <pageMargins left="0.7" right="0.7" top="0.75" bottom="0.75" header="0.3" footer="0.3"/>
  <pageSetup scale="34" fitToHeight="0" orientation="portrait" r:id="rId1"/>
  <rowBreaks count="2" manualBreakCount="2">
    <brk id="90" min="6" max="19" man="1"/>
    <brk id="201" min="6" max="19"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A561-E573-451B-BB2A-229211AAFEE3}">
  <sheetPr>
    <pageSetUpPr fitToPage="1"/>
  </sheetPr>
  <dimension ref="A1:Q311"/>
  <sheetViews>
    <sheetView zoomScale="75" zoomScaleNormal="75" workbookViewId="0"/>
  </sheetViews>
  <sheetFormatPr defaultColWidth="8.7109375" defaultRowHeight="15.75" x14ac:dyDescent="0.25"/>
  <cols>
    <col min="1" max="3" width="1.7109375" style="1" customWidth="1"/>
    <col min="4" max="4" width="75.28515625" style="11" customWidth="1"/>
    <col min="5" max="10" width="18.5703125" style="1" customWidth="1"/>
    <col min="11" max="16384" width="8.7109375" style="1"/>
  </cols>
  <sheetData>
    <row r="1" spans="2:17" x14ac:dyDescent="0.25">
      <c r="B1" s="3"/>
      <c r="D1" s="176" t="s">
        <v>401</v>
      </c>
      <c r="E1" s="144" t="s">
        <v>385</v>
      </c>
      <c r="F1" s="144" t="s">
        <v>386</v>
      </c>
      <c r="G1" s="144" t="s">
        <v>387</v>
      </c>
      <c r="H1" s="144" t="s">
        <v>388</v>
      </c>
      <c r="I1" s="144" t="s">
        <v>389</v>
      </c>
      <c r="J1" s="144" t="s">
        <v>390</v>
      </c>
    </row>
    <row r="2" spans="2:17" x14ac:dyDescent="0.25">
      <c r="D2" s="5" t="s">
        <v>2</v>
      </c>
      <c r="E2" s="6">
        <f>'25-26'!O2</f>
        <v>9416</v>
      </c>
      <c r="F2" s="6">
        <f>'26-27'!O2</f>
        <v>9486</v>
      </c>
      <c r="G2" s="6">
        <f>'27-28'!O2</f>
        <v>9628</v>
      </c>
      <c r="H2" s="6">
        <f>'28-29'!O2</f>
        <v>9773</v>
      </c>
      <c r="I2" s="6">
        <f>'29-30'!O2</f>
        <v>9919</v>
      </c>
      <c r="J2" s="6">
        <f>'30-31'!O2</f>
        <v>10068</v>
      </c>
      <c r="L2" s="161">
        <f>(E2-9414)/9414</f>
        <v>2.1244954323348204E-4</v>
      </c>
      <c r="M2" s="161">
        <f>(F2-E2)/E2</f>
        <v>7.434154630416313E-3</v>
      </c>
      <c r="N2" s="161">
        <f t="shared" ref="N2:P2" si="0">(G2-F2)/F2</f>
        <v>1.4969428631667722E-2</v>
      </c>
      <c r="O2" s="161">
        <f t="shared" si="0"/>
        <v>1.5060240963855422E-2</v>
      </c>
      <c r="P2" s="161">
        <f t="shared" si="0"/>
        <v>1.4939117978102937E-2</v>
      </c>
      <c r="Q2" s="161">
        <f>(J2-I2)/I2</f>
        <v>1.5021675572134288E-2</v>
      </c>
    </row>
    <row r="3" spans="2:17" x14ac:dyDescent="0.25">
      <c r="D3" s="7" t="s">
        <v>3</v>
      </c>
      <c r="E3" s="8">
        <f t="shared" ref="E3:J3" si="1">E4+E5+E6+E7+E8+E9+E10+E11+E12+E13+E14+E15+E16</f>
        <v>106</v>
      </c>
      <c r="F3" s="8">
        <f t="shared" si="1"/>
        <v>115</v>
      </c>
      <c r="G3" s="8">
        <f t="shared" si="1"/>
        <v>130</v>
      </c>
      <c r="H3" s="8">
        <f t="shared" si="1"/>
        <v>155</v>
      </c>
      <c r="I3" s="8">
        <f t="shared" si="1"/>
        <v>170</v>
      </c>
      <c r="J3" s="8">
        <f t="shared" si="1"/>
        <v>185</v>
      </c>
    </row>
    <row r="4" spans="2:17" x14ac:dyDescent="0.25">
      <c r="D4" s="9" t="s">
        <v>8</v>
      </c>
      <c r="E4" s="10">
        <f>'25-26'!O4</f>
        <v>0</v>
      </c>
      <c r="F4" s="10">
        <f>'26-27'!O4</f>
        <v>0</v>
      </c>
      <c r="G4" s="10">
        <f>'27-28'!O4</f>
        <v>0</v>
      </c>
      <c r="H4" s="10">
        <f>'28-29'!O4</f>
        <v>0</v>
      </c>
      <c r="I4" s="10">
        <f>'29-30'!O4</f>
        <v>0</v>
      </c>
      <c r="J4" s="10">
        <f>'30-31'!O4</f>
        <v>0</v>
      </c>
    </row>
    <row r="5" spans="2:17" x14ac:dyDescent="0.25">
      <c r="D5" s="7" t="s">
        <v>11</v>
      </c>
      <c r="E5" s="10">
        <f>'25-26'!O5</f>
        <v>0</v>
      </c>
      <c r="F5" s="10">
        <f>'26-27'!O5</f>
        <v>0</v>
      </c>
      <c r="G5" s="10">
        <f>'27-28'!O5</f>
        <v>0</v>
      </c>
      <c r="H5" s="10">
        <f>'28-29'!O5</f>
        <v>0</v>
      </c>
      <c r="I5" s="10">
        <f>'29-30'!O5</f>
        <v>0</v>
      </c>
      <c r="J5" s="10">
        <f>'30-31'!O5</f>
        <v>0</v>
      </c>
    </row>
    <row r="6" spans="2:17" x14ac:dyDescent="0.25">
      <c r="D6" s="7" t="s">
        <v>14</v>
      </c>
      <c r="E6" s="10">
        <f>'25-26'!O6</f>
        <v>0</v>
      </c>
      <c r="F6" s="10">
        <f>'26-27'!O6</f>
        <v>0</v>
      </c>
      <c r="G6" s="10">
        <f>'27-28'!O6</f>
        <v>0</v>
      </c>
      <c r="H6" s="10">
        <f>'28-29'!O6</f>
        <v>0</v>
      </c>
      <c r="I6" s="10">
        <f>'29-30'!O6</f>
        <v>0</v>
      </c>
      <c r="J6" s="10">
        <f>'30-31'!O6</f>
        <v>0</v>
      </c>
    </row>
    <row r="7" spans="2:17" x14ac:dyDescent="0.25">
      <c r="D7" s="14" t="s">
        <v>17</v>
      </c>
      <c r="E7" s="10">
        <f>'25-26'!O7</f>
        <v>0</v>
      </c>
      <c r="F7" s="10">
        <f>'26-27'!O7</f>
        <v>0</v>
      </c>
      <c r="G7" s="10">
        <f>'27-28'!O7</f>
        <v>0</v>
      </c>
      <c r="H7" s="10">
        <f>'28-29'!O7</f>
        <v>0</v>
      </c>
      <c r="I7" s="10">
        <f>'29-30'!O7</f>
        <v>0</v>
      </c>
      <c r="J7" s="10">
        <f>'30-31'!O7</f>
        <v>0</v>
      </c>
    </row>
    <row r="8" spans="2:17" x14ac:dyDescent="0.25">
      <c r="D8" s="14" t="s">
        <v>20</v>
      </c>
      <c r="E8" s="10">
        <f>'25-26'!O8</f>
        <v>0</v>
      </c>
      <c r="F8" s="10">
        <f>'26-27'!O8</f>
        <v>0</v>
      </c>
      <c r="G8" s="10">
        <f>'27-28'!O8</f>
        <v>0</v>
      </c>
      <c r="H8" s="10">
        <f>'28-29'!O8</f>
        <v>0</v>
      </c>
      <c r="I8" s="10">
        <f>'29-30'!O8</f>
        <v>0</v>
      </c>
      <c r="J8" s="10">
        <f>'30-31'!O8</f>
        <v>0</v>
      </c>
    </row>
    <row r="9" spans="2:17" x14ac:dyDescent="0.25">
      <c r="D9" s="14" t="s">
        <v>23</v>
      </c>
      <c r="E9" s="10">
        <f>'25-26'!O9</f>
        <v>0</v>
      </c>
      <c r="F9" s="10">
        <f>'26-27'!O9</f>
        <v>0</v>
      </c>
      <c r="G9" s="10">
        <f>'27-28'!O9</f>
        <v>0</v>
      </c>
      <c r="H9" s="10">
        <f>'28-29'!O9</f>
        <v>0</v>
      </c>
      <c r="I9" s="10">
        <f>'29-30'!O9</f>
        <v>0</v>
      </c>
      <c r="J9" s="10">
        <f>'30-31'!O9</f>
        <v>0</v>
      </c>
    </row>
    <row r="10" spans="2:17" x14ac:dyDescent="0.25">
      <c r="D10" s="14" t="s">
        <v>26</v>
      </c>
      <c r="E10" s="10">
        <f>'25-26'!O10</f>
        <v>23</v>
      </c>
      <c r="F10" s="10">
        <f>'26-27'!O10</f>
        <v>20</v>
      </c>
      <c r="G10" s="10">
        <f>'27-28'!O10</f>
        <v>20</v>
      </c>
      <c r="H10" s="10">
        <f>'28-29'!O10</f>
        <v>30</v>
      </c>
      <c r="I10" s="10">
        <f>'29-30'!O10</f>
        <v>30</v>
      </c>
      <c r="J10" s="10">
        <f>'30-31'!O10</f>
        <v>30</v>
      </c>
    </row>
    <row r="11" spans="2:17" x14ac:dyDescent="0.25">
      <c r="D11" s="14" t="s">
        <v>29</v>
      </c>
      <c r="E11" s="10">
        <f>'25-26'!O11</f>
        <v>34</v>
      </c>
      <c r="F11" s="10">
        <f>'26-27'!O11</f>
        <v>30</v>
      </c>
      <c r="G11" s="10">
        <f>'27-28'!O11</f>
        <v>30</v>
      </c>
      <c r="H11" s="10">
        <f>'28-29'!O11</f>
        <v>30</v>
      </c>
      <c r="I11" s="10">
        <f>'29-30'!O11</f>
        <v>30</v>
      </c>
      <c r="J11" s="10">
        <f>'30-31'!O11</f>
        <v>30</v>
      </c>
    </row>
    <row r="12" spans="2:17" x14ac:dyDescent="0.25">
      <c r="D12" s="14" t="s">
        <v>32</v>
      </c>
      <c r="E12" s="10">
        <f>'25-26'!O12</f>
        <v>22</v>
      </c>
      <c r="F12" s="10">
        <f>'26-27'!O12</f>
        <v>20</v>
      </c>
      <c r="G12" s="10">
        <f>'27-28'!O12</f>
        <v>20</v>
      </c>
      <c r="H12" s="10">
        <f>'28-29'!O12</f>
        <v>30</v>
      </c>
      <c r="I12" s="10">
        <f>'29-30'!O12</f>
        <v>30</v>
      </c>
      <c r="J12" s="10">
        <f>'30-31'!O12</f>
        <v>30</v>
      </c>
    </row>
    <row r="13" spans="2:17" x14ac:dyDescent="0.25">
      <c r="D13" s="14" t="s">
        <v>35</v>
      </c>
      <c r="E13" s="10">
        <f>'25-26'!O13</f>
        <v>14</v>
      </c>
      <c r="F13" s="10">
        <f>'26-27'!O13</f>
        <v>15</v>
      </c>
      <c r="G13" s="10">
        <f>'27-28'!O13</f>
        <v>15</v>
      </c>
      <c r="H13" s="10">
        <f>'28-29'!O13</f>
        <v>20</v>
      </c>
      <c r="I13" s="10">
        <f>'29-30'!O13</f>
        <v>30</v>
      </c>
      <c r="J13" s="10">
        <f>'30-31'!O13</f>
        <v>30</v>
      </c>
    </row>
    <row r="14" spans="2:17" x14ac:dyDescent="0.25">
      <c r="D14" s="14" t="s">
        <v>38</v>
      </c>
      <c r="E14" s="10">
        <f>'25-26'!O14</f>
        <v>13</v>
      </c>
      <c r="F14" s="10">
        <f>'26-27'!O14</f>
        <v>15</v>
      </c>
      <c r="G14" s="10">
        <f>'27-28'!O14</f>
        <v>15</v>
      </c>
      <c r="H14" s="10">
        <f>'28-29'!O14</f>
        <v>15</v>
      </c>
      <c r="I14" s="10">
        <f>'29-30'!O14</f>
        <v>20</v>
      </c>
      <c r="J14" s="10">
        <f>'30-31'!O14</f>
        <v>30</v>
      </c>
    </row>
    <row r="15" spans="2:17" x14ac:dyDescent="0.25">
      <c r="D15" s="14" t="s">
        <v>41</v>
      </c>
      <c r="E15" s="10">
        <f>'25-26'!O15</f>
        <v>0</v>
      </c>
      <c r="F15" s="10">
        <f>'26-27'!O15</f>
        <v>15</v>
      </c>
      <c r="G15" s="10">
        <f>'27-28'!O15</f>
        <v>15</v>
      </c>
      <c r="H15" s="10">
        <f>'28-29'!O15</f>
        <v>15</v>
      </c>
      <c r="I15" s="10">
        <f>'29-30'!O15</f>
        <v>15</v>
      </c>
      <c r="J15" s="10">
        <f>'30-31'!O15</f>
        <v>20</v>
      </c>
    </row>
    <row r="16" spans="2:17" x14ac:dyDescent="0.25">
      <c r="D16" s="14" t="s">
        <v>42</v>
      </c>
      <c r="E16" s="10">
        <f>'25-26'!O16</f>
        <v>0</v>
      </c>
      <c r="F16" s="10">
        <f>'26-27'!O16</f>
        <v>0</v>
      </c>
      <c r="G16" s="10">
        <f>'27-28'!O16</f>
        <v>15</v>
      </c>
      <c r="H16" s="10">
        <f>'28-29'!O16</f>
        <v>15</v>
      </c>
      <c r="I16" s="10">
        <f>'29-30'!O16</f>
        <v>15</v>
      </c>
      <c r="J16" s="10">
        <f>'30-31'!O16</f>
        <v>15</v>
      </c>
    </row>
    <row r="17" spans="4:10" x14ac:dyDescent="0.25">
      <c r="D17" s="19" t="s">
        <v>3</v>
      </c>
      <c r="E17" s="8">
        <f t="shared" ref="E17:J17" si="2">SUM(E4:E16)</f>
        <v>106</v>
      </c>
      <c r="F17" s="8">
        <f t="shared" si="2"/>
        <v>115</v>
      </c>
      <c r="G17" s="8">
        <f t="shared" si="2"/>
        <v>130</v>
      </c>
      <c r="H17" s="8">
        <f t="shared" si="2"/>
        <v>155</v>
      </c>
      <c r="I17" s="8">
        <f t="shared" si="2"/>
        <v>170</v>
      </c>
      <c r="J17" s="8">
        <f t="shared" si="2"/>
        <v>185</v>
      </c>
    </row>
    <row r="20" spans="4:10" x14ac:dyDescent="0.25">
      <c r="D20" s="21" t="s">
        <v>43</v>
      </c>
      <c r="E20" s="22" t="str">
        <f t="shared" ref="E20:J20" si="3">E1</f>
        <v>25-26 (FY26)</v>
      </c>
      <c r="F20" s="22" t="str">
        <f t="shared" si="3"/>
        <v>26-27 (FY27)</v>
      </c>
      <c r="G20" s="22" t="str">
        <f t="shared" si="3"/>
        <v>27-28 (FY28)</v>
      </c>
      <c r="H20" s="22" t="str">
        <f t="shared" si="3"/>
        <v>28-29 (FY29)</v>
      </c>
      <c r="I20" s="22" t="str">
        <f t="shared" si="3"/>
        <v>29-30 (FY30)</v>
      </c>
      <c r="J20" s="22" t="str">
        <f t="shared" si="3"/>
        <v>30-31 (FY31)</v>
      </c>
    </row>
    <row r="21" spans="4:10" x14ac:dyDescent="0.25">
      <c r="D21" s="14" t="s">
        <v>49</v>
      </c>
      <c r="E21" s="10">
        <f>'25-26'!O21</f>
        <v>9</v>
      </c>
      <c r="F21" s="10">
        <f>'26-27'!O21</f>
        <v>12</v>
      </c>
      <c r="G21" s="10">
        <f>'27-28'!O21</f>
        <v>14</v>
      </c>
      <c r="H21" s="10">
        <f>'28-29'!O21</f>
        <v>17</v>
      </c>
      <c r="I21" s="10">
        <f>'29-30'!O21</f>
        <v>19</v>
      </c>
      <c r="J21" s="10">
        <f>'30-31'!O21</f>
        <v>21</v>
      </c>
    </row>
    <row r="22" spans="4:10" x14ac:dyDescent="0.25">
      <c r="D22" s="14" t="s">
        <v>50</v>
      </c>
      <c r="E22" s="10">
        <f>'25-26'!O22</f>
        <v>19</v>
      </c>
      <c r="F22" s="10">
        <f>'26-27'!O22</f>
        <v>16</v>
      </c>
      <c r="G22" s="10">
        <f>'27-28'!O22</f>
        <v>18</v>
      </c>
      <c r="H22" s="10">
        <f>'28-29'!O22</f>
        <v>21</v>
      </c>
      <c r="I22" s="10">
        <f>'29-30'!O22</f>
        <v>23</v>
      </c>
      <c r="J22" s="10">
        <f>'30-31'!O22</f>
        <v>25</v>
      </c>
    </row>
    <row r="23" spans="4:10" x14ac:dyDescent="0.25">
      <c r="D23" s="14" t="s">
        <v>51</v>
      </c>
      <c r="E23" s="10">
        <f>'25-26'!O23</f>
        <v>0</v>
      </c>
      <c r="F23" s="10">
        <f>'26-27'!O23</f>
        <v>0</v>
      </c>
      <c r="G23" s="10">
        <f>'27-28'!O23</f>
        <v>0</v>
      </c>
      <c r="H23" s="10">
        <f>'28-29'!O23</f>
        <v>0</v>
      </c>
      <c r="I23" s="10">
        <f>'29-30'!O23</f>
        <v>0</v>
      </c>
      <c r="J23" s="10">
        <f>'30-31'!O23</f>
        <v>0</v>
      </c>
    </row>
    <row r="24" spans="4:10" x14ac:dyDescent="0.25">
      <c r="D24" s="14" t="s">
        <v>52</v>
      </c>
      <c r="E24" s="10">
        <f>'25-26'!O24</f>
        <v>3</v>
      </c>
      <c r="F24" s="10">
        <f>'26-27'!O24</f>
        <v>3</v>
      </c>
      <c r="G24" s="10">
        <f>'27-28'!O24</f>
        <v>3</v>
      </c>
      <c r="H24" s="10">
        <f>'28-29'!O24</f>
        <v>3</v>
      </c>
      <c r="I24" s="10">
        <f>'29-30'!O24</f>
        <v>3</v>
      </c>
      <c r="J24" s="10">
        <f>'30-31'!O24</f>
        <v>3</v>
      </c>
    </row>
    <row r="25" spans="4:10" x14ac:dyDescent="0.25">
      <c r="D25" s="14" t="s">
        <v>53</v>
      </c>
      <c r="E25" s="24">
        <f>'25-26'!O25</f>
        <v>1</v>
      </c>
      <c r="F25" s="24">
        <f>'26-27'!O25</f>
        <v>1</v>
      </c>
      <c r="G25" s="24">
        <f>'27-28'!O25</f>
        <v>1</v>
      </c>
      <c r="H25" s="24">
        <f>'28-29'!O25</f>
        <v>1</v>
      </c>
      <c r="I25" s="24">
        <f>'29-30'!O25</f>
        <v>1</v>
      </c>
      <c r="J25" s="24">
        <f>'30-31'!O25</f>
        <v>1</v>
      </c>
    </row>
    <row r="26" spans="4:10" x14ac:dyDescent="0.25">
      <c r="D26" s="25" t="s">
        <v>54</v>
      </c>
      <c r="E26" s="22" t="str">
        <f t="shared" ref="E26:J26" si="4">E20</f>
        <v>25-26 (FY26)</v>
      </c>
      <c r="F26" s="22" t="str">
        <f t="shared" si="4"/>
        <v>26-27 (FY27)</v>
      </c>
      <c r="G26" s="22" t="str">
        <f t="shared" si="4"/>
        <v>27-28 (FY28)</v>
      </c>
      <c r="H26" s="22" t="str">
        <f t="shared" si="4"/>
        <v>28-29 (FY29)</v>
      </c>
      <c r="I26" s="22" t="str">
        <f t="shared" si="4"/>
        <v>29-30 (FY30)</v>
      </c>
      <c r="J26" s="22" t="str">
        <f t="shared" si="4"/>
        <v>30-31 (FY31)</v>
      </c>
    </row>
    <row r="27" spans="4:10" x14ac:dyDescent="0.25">
      <c r="D27" s="26" t="s">
        <v>55</v>
      </c>
      <c r="E27" s="27">
        <f>'25-26'!O27</f>
        <v>5</v>
      </c>
      <c r="F27" s="27">
        <f>'26-27'!O27</f>
        <v>6</v>
      </c>
      <c r="G27" s="27">
        <f>'27-28'!O27</f>
        <v>7</v>
      </c>
      <c r="H27" s="27">
        <f>'28-29'!O27</f>
        <v>7</v>
      </c>
      <c r="I27" s="27">
        <f>'29-30'!O27</f>
        <v>7</v>
      </c>
      <c r="J27" s="27">
        <f>'30-31'!O27</f>
        <v>7</v>
      </c>
    </row>
    <row r="28" spans="4:10" x14ac:dyDescent="0.25">
      <c r="D28" s="26" t="s">
        <v>56</v>
      </c>
      <c r="E28" s="27">
        <f>'25-26'!O28</f>
        <v>1</v>
      </c>
      <c r="F28" s="27">
        <f>'26-27'!O28</f>
        <v>1</v>
      </c>
      <c r="G28" s="27">
        <f>'27-28'!O28</f>
        <v>1</v>
      </c>
      <c r="H28" s="27">
        <f>'28-29'!O28</f>
        <v>1</v>
      </c>
      <c r="I28" s="27">
        <f>'29-30'!O28</f>
        <v>1</v>
      </c>
      <c r="J28" s="27">
        <f>'30-31'!O28</f>
        <v>1</v>
      </c>
    </row>
    <row r="29" spans="4:10" x14ac:dyDescent="0.25">
      <c r="D29" s="26" t="s">
        <v>57</v>
      </c>
      <c r="E29" s="27">
        <f>'25-26'!O29</f>
        <v>0</v>
      </c>
      <c r="F29" s="27">
        <f>'26-27'!O29</f>
        <v>0</v>
      </c>
      <c r="G29" s="27">
        <f>'27-28'!O29</f>
        <v>0</v>
      </c>
      <c r="H29" s="27">
        <f>'28-29'!O29</f>
        <v>0</v>
      </c>
      <c r="I29" s="27">
        <f>'29-30'!O29</f>
        <v>0</v>
      </c>
      <c r="J29" s="27">
        <f>'30-31'!O29</f>
        <v>0</v>
      </c>
    </row>
    <row r="30" spans="4:10" x14ac:dyDescent="0.25">
      <c r="D30" s="26" t="s">
        <v>58</v>
      </c>
      <c r="E30" s="27">
        <f>'25-26'!O30</f>
        <v>0</v>
      </c>
      <c r="F30" s="27">
        <f>'26-27'!O30</f>
        <v>0</v>
      </c>
      <c r="G30" s="27">
        <f>'27-28'!O30</f>
        <v>0</v>
      </c>
      <c r="H30" s="27">
        <f>'28-29'!O30</f>
        <v>0</v>
      </c>
      <c r="I30" s="27">
        <f>'29-30'!O30</f>
        <v>0</v>
      </c>
      <c r="J30" s="27">
        <f>'30-31'!O30</f>
        <v>0</v>
      </c>
    </row>
    <row r="31" spans="4:10" x14ac:dyDescent="0.25">
      <c r="D31" s="26" t="s">
        <v>59</v>
      </c>
      <c r="E31" s="27">
        <f>'25-26'!O31</f>
        <v>0</v>
      </c>
      <c r="F31" s="27">
        <f>'26-27'!O31</f>
        <v>0</v>
      </c>
      <c r="G31" s="27">
        <f>'27-28'!O31</f>
        <v>0</v>
      </c>
      <c r="H31" s="27">
        <f>'28-29'!O31</f>
        <v>0</v>
      </c>
      <c r="I31" s="27">
        <f>'29-30'!O31</f>
        <v>0</v>
      </c>
      <c r="J31" s="27">
        <f>'30-31'!O31</f>
        <v>0</v>
      </c>
    </row>
    <row r="32" spans="4:10" x14ac:dyDescent="0.25">
      <c r="D32" s="29" t="s">
        <v>60</v>
      </c>
      <c r="E32" s="27">
        <f>'25-26'!O32</f>
        <v>0</v>
      </c>
      <c r="F32" s="27">
        <f>'26-27'!O32</f>
        <v>0</v>
      </c>
      <c r="G32" s="27">
        <f>'27-28'!O32</f>
        <v>0</v>
      </c>
      <c r="H32" s="27">
        <f>'28-29'!O32</f>
        <v>0</v>
      </c>
      <c r="I32" s="27">
        <f>'29-30'!O32</f>
        <v>0</v>
      </c>
      <c r="J32" s="27">
        <f>'30-31'!O32</f>
        <v>0</v>
      </c>
    </row>
    <row r="33" spans="4:10" x14ac:dyDescent="0.25">
      <c r="D33" s="29" t="s">
        <v>61</v>
      </c>
      <c r="E33" s="27">
        <f>'25-26'!O33</f>
        <v>0</v>
      </c>
      <c r="F33" s="27">
        <f>'26-27'!O33</f>
        <v>0</v>
      </c>
      <c r="G33" s="27">
        <f>'27-28'!O33</f>
        <v>0</v>
      </c>
      <c r="H33" s="27">
        <f>'28-29'!O33</f>
        <v>0</v>
      </c>
      <c r="I33" s="27">
        <f>'29-30'!O33</f>
        <v>0</v>
      </c>
      <c r="J33" s="27">
        <f>'30-31'!O33</f>
        <v>0</v>
      </c>
    </row>
    <row r="34" spans="4:10" x14ac:dyDescent="0.25">
      <c r="D34" s="29" t="s">
        <v>62</v>
      </c>
      <c r="E34" s="27">
        <f>'25-26'!O34</f>
        <v>3</v>
      </c>
      <c r="F34" s="27">
        <f>'26-27'!O34</f>
        <v>2</v>
      </c>
      <c r="G34" s="27">
        <f>'27-28'!O34</f>
        <v>1</v>
      </c>
      <c r="H34" s="27">
        <f>'28-29'!O34</f>
        <v>1</v>
      </c>
      <c r="I34" s="27">
        <f>'29-30'!O34</f>
        <v>1</v>
      </c>
      <c r="J34" s="27">
        <f>'30-31'!O34</f>
        <v>1</v>
      </c>
    </row>
    <row r="35" spans="4:10" x14ac:dyDescent="0.25">
      <c r="D35" s="30" t="s">
        <v>63</v>
      </c>
      <c r="E35" s="27">
        <f>'25-26'!O35</f>
        <v>0</v>
      </c>
      <c r="F35" s="27">
        <f>'26-27'!O35</f>
        <v>0</v>
      </c>
      <c r="G35" s="27">
        <f>'27-28'!O35</f>
        <v>0</v>
      </c>
      <c r="H35" s="27">
        <f>'28-29'!O35</f>
        <v>0</v>
      </c>
      <c r="I35" s="27">
        <f>'29-30'!O35</f>
        <v>0</v>
      </c>
      <c r="J35" s="27">
        <f>'30-31'!O35</f>
        <v>0</v>
      </c>
    </row>
    <row r="36" spans="4:10" x14ac:dyDescent="0.25">
      <c r="D36" s="25" t="s">
        <v>64</v>
      </c>
      <c r="E36" s="31">
        <f t="shared" ref="E36:J36" si="5">SUM(E27:E35)</f>
        <v>9</v>
      </c>
      <c r="F36" s="31">
        <f t="shared" si="5"/>
        <v>9</v>
      </c>
      <c r="G36" s="31">
        <f t="shared" si="5"/>
        <v>9</v>
      </c>
      <c r="H36" s="31">
        <f t="shared" si="5"/>
        <v>9</v>
      </c>
      <c r="I36" s="31">
        <f t="shared" si="5"/>
        <v>9</v>
      </c>
      <c r="J36" s="31">
        <f t="shared" si="5"/>
        <v>9</v>
      </c>
    </row>
    <row r="37" spans="4:10" x14ac:dyDescent="0.25">
      <c r="D37" s="32"/>
      <c r="E37" s="10"/>
      <c r="F37" s="10"/>
      <c r="G37" s="10"/>
      <c r="H37" s="10"/>
      <c r="I37" s="10"/>
      <c r="J37" s="10"/>
    </row>
    <row r="38" spans="4:10" x14ac:dyDescent="0.25">
      <c r="D38" s="25" t="s">
        <v>65</v>
      </c>
      <c r="E38" s="22" t="str">
        <f t="shared" ref="E38:J38" si="6">E20</f>
        <v>25-26 (FY26)</v>
      </c>
      <c r="F38" s="22" t="str">
        <f t="shared" si="6"/>
        <v>26-27 (FY27)</v>
      </c>
      <c r="G38" s="22" t="str">
        <f t="shared" si="6"/>
        <v>27-28 (FY28)</v>
      </c>
      <c r="H38" s="22" t="str">
        <f t="shared" si="6"/>
        <v>28-29 (FY29)</v>
      </c>
      <c r="I38" s="22" t="str">
        <f t="shared" si="6"/>
        <v>29-30 (FY30)</v>
      </c>
      <c r="J38" s="22" t="str">
        <f t="shared" si="6"/>
        <v>30-31 (FY31)</v>
      </c>
    </row>
    <row r="39" spans="4:10" x14ac:dyDescent="0.25">
      <c r="D39" s="29" t="s">
        <v>402</v>
      </c>
      <c r="E39" s="27">
        <f>'25-26'!O39</f>
        <v>1</v>
      </c>
      <c r="F39" s="27">
        <f>'26-27'!O39</f>
        <v>0</v>
      </c>
      <c r="G39" s="27">
        <f>'27-28'!O39</f>
        <v>0</v>
      </c>
      <c r="H39" s="27">
        <f>'28-29'!O39</f>
        <v>0</v>
      </c>
      <c r="I39" s="27">
        <f>'29-30'!O39</f>
        <v>0</v>
      </c>
      <c r="J39" s="27">
        <f>'30-31'!O39</f>
        <v>0</v>
      </c>
    </row>
    <row r="40" spans="4:10" x14ac:dyDescent="0.25">
      <c r="D40" s="29" t="s">
        <v>66</v>
      </c>
      <c r="E40" s="27">
        <f>'25-26'!O40</f>
        <v>1</v>
      </c>
      <c r="F40" s="27">
        <f>'26-27'!O40</f>
        <v>1</v>
      </c>
      <c r="G40" s="27">
        <f>'27-28'!O40</f>
        <v>1</v>
      </c>
      <c r="H40" s="27">
        <f>'28-29'!O40</f>
        <v>1</v>
      </c>
      <c r="I40" s="27">
        <f>'29-30'!O40</f>
        <v>1</v>
      </c>
      <c r="J40" s="27">
        <f>'30-31'!O40</f>
        <v>1</v>
      </c>
    </row>
    <row r="41" spans="4:10" x14ac:dyDescent="0.25">
      <c r="D41" s="33" t="s">
        <v>67</v>
      </c>
      <c r="E41" s="27">
        <f>'25-26'!O41</f>
        <v>0</v>
      </c>
      <c r="F41" s="27">
        <f>'26-27'!O41</f>
        <v>0</v>
      </c>
      <c r="G41" s="27">
        <f>'27-28'!O41</f>
        <v>0</v>
      </c>
      <c r="H41" s="27">
        <f>'28-29'!O41</f>
        <v>0</v>
      </c>
      <c r="I41" s="27">
        <f>'29-30'!O41</f>
        <v>0</v>
      </c>
      <c r="J41" s="27">
        <f>'30-31'!O41</f>
        <v>0</v>
      </c>
    </row>
    <row r="42" spans="4:10" x14ac:dyDescent="0.25">
      <c r="D42" s="29" t="s">
        <v>68</v>
      </c>
      <c r="E42" s="27">
        <f>'25-26'!O42</f>
        <v>0</v>
      </c>
      <c r="F42" s="27">
        <f>'26-27'!O42</f>
        <v>0</v>
      </c>
      <c r="G42" s="27">
        <f>'27-28'!O42</f>
        <v>0</v>
      </c>
      <c r="H42" s="27">
        <f>'28-29'!O42</f>
        <v>0</v>
      </c>
      <c r="I42" s="27">
        <f>'29-30'!O42</f>
        <v>0</v>
      </c>
      <c r="J42" s="27">
        <f>'30-31'!O42</f>
        <v>0</v>
      </c>
    </row>
    <row r="43" spans="4:10" x14ac:dyDescent="0.25">
      <c r="D43" s="29" t="s">
        <v>69</v>
      </c>
      <c r="E43" s="27">
        <f>'25-26'!O43</f>
        <v>0</v>
      </c>
      <c r="F43" s="27">
        <f>'26-27'!O43</f>
        <v>0</v>
      </c>
      <c r="G43" s="27">
        <f>'27-28'!O43</f>
        <v>0</v>
      </c>
      <c r="H43" s="27">
        <f>'28-29'!O43</f>
        <v>0</v>
      </c>
      <c r="I43" s="27">
        <f>'29-30'!O43</f>
        <v>0</v>
      </c>
      <c r="J43" s="27">
        <f>'30-31'!O43</f>
        <v>0</v>
      </c>
    </row>
    <row r="44" spans="4:10" x14ac:dyDescent="0.25">
      <c r="D44" s="29" t="s">
        <v>70</v>
      </c>
      <c r="E44" s="27">
        <f>'25-26'!O44</f>
        <v>1</v>
      </c>
      <c r="F44" s="27">
        <f>'26-27'!O44</f>
        <v>1</v>
      </c>
      <c r="G44" s="27">
        <f>'27-28'!O44</f>
        <v>1</v>
      </c>
      <c r="H44" s="27">
        <f>'28-29'!O44</f>
        <v>1</v>
      </c>
      <c r="I44" s="27">
        <f>'29-30'!O44</f>
        <v>1</v>
      </c>
      <c r="J44" s="27">
        <f>'30-31'!O44</f>
        <v>1</v>
      </c>
    </row>
    <row r="45" spans="4:10" x14ac:dyDescent="0.25">
      <c r="D45" s="29" t="s">
        <v>71</v>
      </c>
      <c r="E45" s="27">
        <f>'25-26'!O45</f>
        <v>0</v>
      </c>
      <c r="F45" s="27">
        <f>'26-27'!O45</f>
        <v>0</v>
      </c>
      <c r="G45" s="27">
        <f>'27-28'!O45</f>
        <v>0</v>
      </c>
      <c r="H45" s="27">
        <f>'28-29'!O45</f>
        <v>0</v>
      </c>
      <c r="I45" s="27">
        <f>'29-30'!O45</f>
        <v>0</v>
      </c>
      <c r="J45" s="27">
        <f>'30-31'!O45</f>
        <v>0</v>
      </c>
    </row>
    <row r="46" spans="4:10" x14ac:dyDescent="0.25">
      <c r="D46" s="29" t="s">
        <v>72</v>
      </c>
      <c r="E46" s="27">
        <f>'25-26'!O46</f>
        <v>1</v>
      </c>
      <c r="F46" s="27">
        <f>'26-27'!O46</f>
        <v>1</v>
      </c>
      <c r="G46" s="27">
        <f>'27-28'!O46</f>
        <v>1</v>
      </c>
      <c r="H46" s="27">
        <f>'28-29'!O46</f>
        <v>1</v>
      </c>
      <c r="I46" s="27">
        <f>'29-30'!O46</f>
        <v>1</v>
      </c>
      <c r="J46" s="27">
        <f>'30-31'!O46</f>
        <v>1</v>
      </c>
    </row>
    <row r="47" spans="4:10" x14ac:dyDescent="0.25">
      <c r="D47" s="29" t="s">
        <v>73</v>
      </c>
      <c r="E47" s="27">
        <f>'25-26'!O47</f>
        <v>0</v>
      </c>
      <c r="F47" s="27">
        <f>'26-27'!O47</f>
        <v>0</v>
      </c>
      <c r="G47" s="27">
        <f>'27-28'!O47</f>
        <v>0</v>
      </c>
      <c r="H47" s="27">
        <f>'28-29'!O47</f>
        <v>0</v>
      </c>
      <c r="I47" s="27">
        <f>'29-30'!O47</f>
        <v>0</v>
      </c>
      <c r="J47" s="27">
        <f>'30-31'!O47</f>
        <v>0</v>
      </c>
    </row>
    <row r="48" spans="4:10" x14ac:dyDescent="0.25">
      <c r="D48" s="29" t="s">
        <v>74</v>
      </c>
      <c r="E48" s="27">
        <f>'25-26'!O48</f>
        <v>0</v>
      </c>
      <c r="F48" s="27">
        <f>'26-27'!O48</f>
        <v>0</v>
      </c>
      <c r="G48" s="27">
        <f>'27-28'!O48</f>
        <v>0</v>
      </c>
      <c r="H48" s="27">
        <f>'28-29'!O48</f>
        <v>0</v>
      </c>
      <c r="I48" s="27">
        <f>'29-30'!O48</f>
        <v>0</v>
      </c>
      <c r="J48" s="27">
        <f>'30-31'!O48</f>
        <v>0</v>
      </c>
    </row>
    <row r="49" spans="4:10" x14ac:dyDescent="0.25">
      <c r="D49" s="29" t="s">
        <v>75</v>
      </c>
      <c r="E49" s="27">
        <f>'25-26'!O49</f>
        <v>0</v>
      </c>
      <c r="F49" s="27">
        <f>'26-27'!O49</f>
        <v>0</v>
      </c>
      <c r="G49" s="27">
        <f>'27-28'!O49</f>
        <v>0</v>
      </c>
      <c r="H49" s="27">
        <f>'28-29'!O49</f>
        <v>0</v>
      </c>
      <c r="I49" s="27">
        <f>'29-30'!O49</f>
        <v>0</v>
      </c>
      <c r="J49" s="27">
        <f>'30-31'!O49</f>
        <v>0</v>
      </c>
    </row>
    <row r="50" spans="4:10" x14ac:dyDescent="0.25">
      <c r="D50" s="29" t="s">
        <v>76</v>
      </c>
      <c r="E50" s="27">
        <f>'25-26'!O50</f>
        <v>1</v>
      </c>
      <c r="F50" s="27">
        <f>'26-27'!O50</f>
        <v>1</v>
      </c>
      <c r="G50" s="27">
        <f>'27-28'!O50</f>
        <v>1</v>
      </c>
      <c r="H50" s="27">
        <f>'28-29'!O50</f>
        <v>1</v>
      </c>
      <c r="I50" s="27">
        <f>'29-30'!O50</f>
        <v>1</v>
      </c>
      <c r="J50" s="27">
        <f>'30-31'!O50</f>
        <v>1</v>
      </c>
    </row>
    <row r="51" spans="4:10" x14ac:dyDescent="0.25">
      <c r="D51" s="29" t="s">
        <v>77</v>
      </c>
      <c r="E51" s="27">
        <f>'25-26'!O51</f>
        <v>0</v>
      </c>
      <c r="F51" s="27">
        <f>'26-27'!O51</f>
        <v>0</v>
      </c>
      <c r="G51" s="27">
        <f>'27-28'!O51</f>
        <v>0</v>
      </c>
      <c r="H51" s="27">
        <f>'28-29'!O51</f>
        <v>0</v>
      </c>
      <c r="I51" s="27">
        <f>'29-30'!O51</f>
        <v>0</v>
      </c>
      <c r="J51" s="27">
        <f>'30-31'!O51</f>
        <v>0</v>
      </c>
    </row>
    <row r="52" spans="4:10" x14ac:dyDescent="0.25">
      <c r="D52" s="29" t="s">
        <v>78</v>
      </c>
      <c r="E52" s="27">
        <f>'25-26'!O52</f>
        <v>1</v>
      </c>
      <c r="F52" s="27">
        <f>'26-27'!O52</f>
        <v>1</v>
      </c>
      <c r="G52" s="27">
        <f>'27-28'!O52</f>
        <v>1</v>
      </c>
      <c r="H52" s="27">
        <f>'28-29'!O52</f>
        <v>1</v>
      </c>
      <c r="I52" s="27">
        <f>'29-30'!O52</f>
        <v>1</v>
      </c>
      <c r="J52" s="27">
        <f>'30-31'!O52</f>
        <v>1</v>
      </c>
    </row>
    <row r="53" spans="4:10" x14ac:dyDescent="0.25">
      <c r="D53" s="29" t="s">
        <v>79</v>
      </c>
      <c r="E53" s="27">
        <f>'25-26'!O53</f>
        <v>0</v>
      </c>
      <c r="F53" s="27">
        <f>'26-27'!O53</f>
        <v>0</v>
      </c>
      <c r="G53" s="27">
        <f>'27-28'!O53</f>
        <v>0</v>
      </c>
      <c r="H53" s="27">
        <f>'28-29'!O53</f>
        <v>0</v>
      </c>
      <c r="I53" s="27">
        <f>'29-30'!O53</f>
        <v>0</v>
      </c>
      <c r="J53" s="27">
        <f>'30-31'!O53</f>
        <v>0</v>
      </c>
    </row>
    <row r="54" spans="4:10" x14ac:dyDescent="0.25">
      <c r="D54" s="33" t="s">
        <v>80</v>
      </c>
      <c r="E54" s="27">
        <f>'25-26'!O54</f>
        <v>0</v>
      </c>
      <c r="F54" s="27">
        <f>'26-27'!O54</f>
        <v>0</v>
      </c>
      <c r="G54" s="27">
        <f>'27-28'!O54</f>
        <v>0</v>
      </c>
      <c r="H54" s="27">
        <f>'28-29'!O54</f>
        <v>0</v>
      </c>
      <c r="I54" s="27">
        <f>'29-30'!O54</f>
        <v>0</v>
      </c>
      <c r="J54" s="27">
        <f>'30-31'!O54</f>
        <v>0</v>
      </c>
    </row>
    <row r="55" spans="4:10" x14ac:dyDescent="0.25">
      <c r="D55" s="33" t="s">
        <v>81</v>
      </c>
      <c r="E55" s="27">
        <f>'25-26'!O55</f>
        <v>0</v>
      </c>
      <c r="F55" s="27">
        <f>'26-27'!O55</f>
        <v>0</v>
      </c>
      <c r="G55" s="27">
        <f>'27-28'!O55</f>
        <v>0</v>
      </c>
      <c r="H55" s="27">
        <f>'28-29'!O55</f>
        <v>0</v>
      </c>
      <c r="I55" s="27">
        <f>'29-30'!O55</f>
        <v>0</v>
      </c>
      <c r="J55" s="27">
        <f>'30-31'!O55</f>
        <v>0</v>
      </c>
    </row>
    <row r="56" spans="4:10" x14ac:dyDescent="0.25">
      <c r="D56" s="33" t="s">
        <v>82</v>
      </c>
      <c r="E56" s="27">
        <f>'25-26'!O56</f>
        <v>0</v>
      </c>
      <c r="F56" s="27">
        <f>'26-27'!O56</f>
        <v>0</v>
      </c>
      <c r="G56" s="27">
        <f>'27-28'!O56</f>
        <v>0</v>
      </c>
      <c r="H56" s="27">
        <f>'28-29'!O56</f>
        <v>0</v>
      </c>
      <c r="I56" s="27">
        <f>'29-30'!O56</f>
        <v>0</v>
      </c>
      <c r="J56" s="27">
        <f>'30-31'!O56</f>
        <v>0</v>
      </c>
    </row>
    <row r="57" spans="4:10" x14ac:dyDescent="0.25">
      <c r="D57" s="33" t="s">
        <v>83</v>
      </c>
      <c r="E57" s="27">
        <f>'25-26'!O57</f>
        <v>0</v>
      </c>
      <c r="F57" s="27">
        <f>'26-27'!O57</f>
        <v>0</v>
      </c>
      <c r="G57" s="27">
        <f>'27-28'!O57</f>
        <v>0</v>
      </c>
      <c r="H57" s="27">
        <f>'28-29'!O57</f>
        <v>0</v>
      </c>
      <c r="I57" s="27">
        <f>'29-30'!O57</f>
        <v>0</v>
      </c>
      <c r="J57" s="27">
        <f>'30-31'!O57</f>
        <v>0</v>
      </c>
    </row>
    <row r="58" spans="4:10" x14ac:dyDescent="0.25">
      <c r="D58" s="33" t="s">
        <v>84</v>
      </c>
      <c r="E58" s="27">
        <f>'25-26'!O58</f>
        <v>0</v>
      </c>
      <c r="F58" s="27">
        <f>'26-27'!O58</f>
        <v>0</v>
      </c>
      <c r="G58" s="27">
        <f>'27-28'!O58</f>
        <v>0</v>
      </c>
      <c r="H58" s="27">
        <f>'28-29'!O58</f>
        <v>0</v>
      </c>
      <c r="I58" s="27">
        <f>'29-30'!O58</f>
        <v>0</v>
      </c>
      <c r="J58" s="27">
        <f>'30-31'!O58</f>
        <v>0</v>
      </c>
    </row>
    <row r="59" spans="4:10" x14ac:dyDescent="0.25">
      <c r="D59" s="33" t="s">
        <v>85</v>
      </c>
      <c r="E59" s="27">
        <f>'25-26'!O59</f>
        <v>0</v>
      </c>
      <c r="F59" s="27">
        <f>'26-27'!O59</f>
        <v>0</v>
      </c>
      <c r="G59" s="27">
        <f>'27-28'!O59</f>
        <v>0</v>
      </c>
      <c r="H59" s="27">
        <f>'28-29'!O59</f>
        <v>0</v>
      </c>
      <c r="I59" s="27">
        <f>'29-30'!O59</f>
        <v>0</v>
      </c>
      <c r="J59" s="27">
        <f>'30-31'!O59</f>
        <v>0</v>
      </c>
    </row>
    <row r="60" spans="4:10" x14ac:dyDescent="0.25">
      <c r="D60" s="29" t="s">
        <v>86</v>
      </c>
      <c r="E60" s="27">
        <f>'25-26'!O60</f>
        <v>0</v>
      </c>
      <c r="F60" s="27">
        <f>'26-27'!O60</f>
        <v>0</v>
      </c>
      <c r="G60" s="27">
        <f>'27-28'!O60</f>
        <v>0</v>
      </c>
      <c r="H60" s="27">
        <f>'28-29'!O60</f>
        <v>0</v>
      </c>
      <c r="I60" s="27">
        <f>'29-30'!O60</f>
        <v>0</v>
      </c>
      <c r="J60" s="27">
        <f>'30-31'!O60</f>
        <v>0</v>
      </c>
    </row>
    <row r="61" spans="4:10" x14ac:dyDescent="0.25">
      <c r="D61" s="25" t="s">
        <v>87</v>
      </c>
      <c r="E61" s="31">
        <f t="shared" ref="E61:J61" si="7">SUM(E39:E60)</f>
        <v>6</v>
      </c>
      <c r="F61" s="31">
        <f t="shared" si="7"/>
        <v>5</v>
      </c>
      <c r="G61" s="31">
        <f t="shared" si="7"/>
        <v>5</v>
      </c>
      <c r="H61" s="31">
        <f t="shared" si="7"/>
        <v>5</v>
      </c>
      <c r="I61" s="31">
        <f t="shared" si="7"/>
        <v>5</v>
      </c>
      <c r="J61" s="31">
        <f t="shared" si="7"/>
        <v>5</v>
      </c>
    </row>
    <row r="62" spans="4:10" ht="16.5" thickBot="1" x14ac:dyDescent="0.3">
      <c r="D62" s="34"/>
      <c r="E62" s="35"/>
      <c r="F62" s="35"/>
      <c r="G62" s="35"/>
      <c r="H62" s="35"/>
      <c r="I62" s="35"/>
      <c r="J62" s="35"/>
    </row>
    <row r="63" spans="4:10" x14ac:dyDescent="0.25">
      <c r="D63" s="36" t="s">
        <v>88</v>
      </c>
      <c r="E63" s="37">
        <f t="shared" ref="E63:J63" si="8">E36</f>
        <v>9</v>
      </c>
      <c r="F63" s="37">
        <f t="shared" si="8"/>
        <v>9</v>
      </c>
      <c r="G63" s="37">
        <f t="shared" si="8"/>
        <v>9</v>
      </c>
      <c r="H63" s="37">
        <f t="shared" si="8"/>
        <v>9</v>
      </c>
      <c r="I63" s="37">
        <f t="shared" si="8"/>
        <v>9</v>
      </c>
      <c r="J63" s="37">
        <f t="shared" si="8"/>
        <v>9</v>
      </c>
    </row>
    <row r="64" spans="4:10" x14ac:dyDescent="0.25">
      <c r="D64" s="38" t="s">
        <v>89</v>
      </c>
      <c r="E64" s="39">
        <f t="shared" ref="E64:J64" si="9">E61</f>
        <v>6</v>
      </c>
      <c r="F64" s="39">
        <f t="shared" si="9"/>
        <v>5</v>
      </c>
      <c r="G64" s="39">
        <f t="shared" si="9"/>
        <v>5</v>
      </c>
      <c r="H64" s="39">
        <f t="shared" si="9"/>
        <v>5</v>
      </c>
      <c r="I64" s="39">
        <f t="shared" si="9"/>
        <v>5</v>
      </c>
      <c r="J64" s="39">
        <f t="shared" si="9"/>
        <v>5</v>
      </c>
    </row>
    <row r="65" spans="2:10" ht="16.5" thickBot="1" x14ac:dyDescent="0.3">
      <c r="D65" s="40" t="s">
        <v>90</v>
      </c>
      <c r="E65" s="41">
        <f t="shared" ref="E65:J65" si="10">SUM(E63:E64)</f>
        <v>15</v>
      </c>
      <c r="F65" s="41">
        <f t="shared" si="10"/>
        <v>14</v>
      </c>
      <c r="G65" s="41">
        <f t="shared" si="10"/>
        <v>14</v>
      </c>
      <c r="H65" s="41">
        <f t="shared" si="10"/>
        <v>14</v>
      </c>
      <c r="I65" s="41">
        <f t="shared" si="10"/>
        <v>14</v>
      </c>
      <c r="J65" s="41">
        <f t="shared" si="10"/>
        <v>14</v>
      </c>
    </row>
    <row r="66" spans="2:10" ht="16.5" thickBot="1" x14ac:dyDescent="0.3"/>
    <row r="67" spans="2:10" ht="16.5" thickBot="1" x14ac:dyDescent="0.3">
      <c r="B67" s="43" t="s">
        <v>94</v>
      </c>
      <c r="C67" s="43"/>
      <c r="D67" s="44"/>
      <c r="E67" s="45" t="str">
        <f t="shared" ref="E67:J67" si="11">E20</f>
        <v>25-26 (FY26)</v>
      </c>
      <c r="F67" s="45" t="str">
        <f t="shared" si="11"/>
        <v>26-27 (FY27)</v>
      </c>
      <c r="G67" s="45" t="str">
        <f t="shared" si="11"/>
        <v>27-28 (FY28)</v>
      </c>
      <c r="H67" s="45" t="str">
        <f t="shared" si="11"/>
        <v>28-29 (FY29)</v>
      </c>
      <c r="I67" s="45" t="str">
        <f t="shared" si="11"/>
        <v>29-30 (FY30)</v>
      </c>
      <c r="J67" s="45" t="str">
        <f t="shared" si="11"/>
        <v>30-31 (FY31)</v>
      </c>
    </row>
    <row r="68" spans="2:10" x14ac:dyDescent="0.25">
      <c r="D68" s="49" t="s">
        <v>97</v>
      </c>
      <c r="E68" s="50">
        <f>'25-26'!O68</f>
        <v>998096</v>
      </c>
      <c r="F68" s="50">
        <f>'26-27'!O68</f>
        <v>1090890</v>
      </c>
      <c r="G68" s="50">
        <f>'27-28'!O68</f>
        <v>1251640</v>
      </c>
      <c r="H68" s="50">
        <f>'28-29'!O68</f>
        <v>1514815</v>
      </c>
      <c r="I68" s="50">
        <f>'29-30'!O68</f>
        <v>1686230</v>
      </c>
      <c r="J68" s="50">
        <f>'30-31'!O68</f>
        <v>1862580</v>
      </c>
    </row>
    <row r="69" spans="2:10" x14ac:dyDescent="0.25">
      <c r="D69" s="52" t="s">
        <v>13</v>
      </c>
      <c r="E69" s="50">
        <f>'25-26'!O69</f>
        <v>80508</v>
      </c>
      <c r="F69" s="50">
        <f>'26-27'!O69</f>
        <v>68299.199999999997</v>
      </c>
      <c r="G69" s="50">
        <f>'27-28'!O69</f>
        <v>77986.8</v>
      </c>
      <c r="H69" s="50">
        <f>'28-29'!O69</f>
        <v>92354.85</v>
      </c>
      <c r="I69" s="50">
        <f>'29-30'!O69</f>
        <v>102661.65000000001</v>
      </c>
      <c r="J69" s="50">
        <f>'30-31'!O69</f>
        <v>113265.00000000001</v>
      </c>
    </row>
    <row r="70" spans="2:10" x14ac:dyDescent="0.25">
      <c r="D70" s="52" t="s">
        <v>16</v>
      </c>
      <c r="E70" s="50">
        <f>'25-26'!O70</f>
        <v>0</v>
      </c>
      <c r="F70" s="50">
        <f>'26-27'!O70</f>
        <v>0</v>
      </c>
      <c r="G70" s="50">
        <f>'27-28'!O70</f>
        <v>0</v>
      </c>
      <c r="H70" s="50">
        <f>'28-29'!O70</f>
        <v>0</v>
      </c>
      <c r="I70" s="50">
        <f>'29-30'!O70</f>
        <v>0</v>
      </c>
      <c r="J70" s="50">
        <f>'30-31'!O70</f>
        <v>0</v>
      </c>
    </row>
    <row r="71" spans="2:10" x14ac:dyDescent="0.25">
      <c r="D71" s="52" t="s">
        <v>19</v>
      </c>
      <c r="E71" s="50">
        <f>'25-26'!O71</f>
        <v>6591</v>
      </c>
      <c r="F71" s="50">
        <f>'26-27'!O71</f>
        <v>9960.2999999999993</v>
      </c>
      <c r="G71" s="50">
        <f>'27-28'!O71</f>
        <v>10109.4</v>
      </c>
      <c r="H71" s="50">
        <f>'28-29'!O71</f>
        <v>10261.65</v>
      </c>
      <c r="I71" s="50">
        <f>'29-30'!O71</f>
        <v>10414.949999999999</v>
      </c>
      <c r="J71" s="50">
        <f>'30-31'!O71</f>
        <v>10571.4</v>
      </c>
    </row>
    <row r="72" spans="2:10" x14ac:dyDescent="0.25">
      <c r="D72" s="52" t="s">
        <v>22</v>
      </c>
      <c r="E72" s="50">
        <f>'25-26'!O72</f>
        <v>49722.3</v>
      </c>
      <c r="F72" s="50">
        <f>'26-27'!O72</f>
        <v>49722.3</v>
      </c>
      <c r="G72" s="50">
        <f>'27-28'!O72</f>
        <v>49722.3</v>
      </c>
      <c r="H72" s="50">
        <f>'28-29'!O72</f>
        <v>49722.3</v>
      </c>
      <c r="I72" s="50">
        <f>'29-30'!O72</f>
        <v>49722.3</v>
      </c>
      <c r="J72" s="50">
        <f>'30-31'!O72</f>
        <v>49722.3</v>
      </c>
    </row>
    <row r="73" spans="2:10" x14ac:dyDescent="0.25">
      <c r="D73" s="52" t="s">
        <v>98</v>
      </c>
      <c r="E73" s="50">
        <f>'25-26'!O73</f>
        <v>122895</v>
      </c>
      <c r="F73" s="50">
        <f>'26-27'!O73</f>
        <v>122895</v>
      </c>
      <c r="G73" s="50">
        <f>'27-28'!O73</f>
        <v>122895</v>
      </c>
      <c r="H73" s="50">
        <f>'28-29'!O73</f>
        <v>122895</v>
      </c>
      <c r="I73" s="50">
        <f>'29-30'!O73</f>
        <v>122895</v>
      </c>
      <c r="J73" s="50">
        <f>'30-31'!O73</f>
        <v>122895</v>
      </c>
    </row>
    <row r="74" spans="2:10" x14ac:dyDescent="0.25">
      <c r="D74" s="52" t="s">
        <v>99</v>
      </c>
      <c r="E74" s="50">
        <f>'25-26'!O74</f>
        <v>32698.992074025962</v>
      </c>
      <c r="F74" s="50">
        <f>'26-27'!O74</f>
        <v>43598.656098701278</v>
      </c>
      <c r="G74" s="50">
        <f>'27-28'!O74</f>
        <v>50865.09878181816</v>
      </c>
      <c r="H74" s="50">
        <f>'28-29'!O74</f>
        <v>61764.762806493483</v>
      </c>
      <c r="I74" s="50">
        <f>'29-30'!O74</f>
        <v>69031.205489610365</v>
      </c>
      <c r="J74" s="50">
        <f>'30-31'!O74</f>
        <v>76297.648172727248</v>
      </c>
    </row>
    <row r="75" spans="2:10" x14ac:dyDescent="0.25">
      <c r="D75" s="52" t="s">
        <v>100</v>
      </c>
      <c r="E75" s="50">
        <f>'25-26'!O75</f>
        <v>8656.4879999999994</v>
      </c>
      <c r="F75" s="50">
        <f>'26-27'!O75</f>
        <v>11541.984</v>
      </c>
      <c r="G75" s="50">
        <f>'27-28'!O75</f>
        <v>13465.647999999999</v>
      </c>
      <c r="H75" s="50">
        <f>'28-29'!O75</f>
        <v>16351.144</v>
      </c>
      <c r="I75" s="50">
        <f>'29-30'!O75</f>
        <v>18274.808000000001</v>
      </c>
      <c r="J75" s="50">
        <f>'30-31'!O75</f>
        <v>20198.472000000002</v>
      </c>
    </row>
    <row r="76" spans="2:10" x14ac:dyDescent="0.25">
      <c r="D76" s="52" t="s">
        <v>101</v>
      </c>
      <c r="E76" s="50">
        <f>'25-26'!O76</f>
        <v>0</v>
      </c>
      <c r="F76" s="50">
        <f>'26-27'!O76</f>
        <v>0</v>
      </c>
      <c r="G76" s="50">
        <f>'27-28'!O76</f>
        <v>0</v>
      </c>
      <c r="H76" s="50">
        <f>'28-29'!O76</f>
        <v>0</v>
      </c>
      <c r="I76" s="50">
        <f>'29-30'!O76</f>
        <v>0</v>
      </c>
      <c r="J76" s="50">
        <f>'30-31'!O76</f>
        <v>0</v>
      </c>
    </row>
    <row r="77" spans="2:10" x14ac:dyDescent="0.25">
      <c r="D77" s="52" t="s">
        <v>25</v>
      </c>
      <c r="E77" s="50">
        <f>'25-26'!O77</f>
        <v>0</v>
      </c>
      <c r="F77" s="50">
        <f>'26-27'!O77</f>
        <v>0</v>
      </c>
      <c r="G77" s="50">
        <f>'27-28'!O77</f>
        <v>0</v>
      </c>
      <c r="H77" s="50">
        <f>'28-29'!O77</f>
        <v>0</v>
      </c>
      <c r="I77" s="50">
        <f>'29-30'!O77</f>
        <v>0</v>
      </c>
      <c r="J77" s="50">
        <f>'30-31'!O77</f>
        <v>0</v>
      </c>
    </row>
    <row r="78" spans="2:10" x14ac:dyDescent="0.25">
      <c r="D78" s="52" t="s">
        <v>37</v>
      </c>
      <c r="E78" s="50">
        <f>'25-26'!O78</f>
        <v>92219.59</v>
      </c>
      <c r="F78" s="50">
        <f>'26-27'!O78</f>
        <v>92219.59</v>
      </c>
      <c r="G78" s="50">
        <f>'27-28'!O78</f>
        <v>92219.59</v>
      </c>
      <c r="H78" s="50">
        <f>'28-29'!O78</f>
        <v>92219.59</v>
      </c>
      <c r="I78" s="50">
        <f>'29-30'!O78</f>
        <v>92219.59</v>
      </c>
      <c r="J78" s="50">
        <f>'30-31'!O78</f>
        <v>92219.59</v>
      </c>
    </row>
    <row r="79" spans="2:10" x14ac:dyDescent="0.25">
      <c r="D79" s="89" t="s">
        <v>31</v>
      </c>
      <c r="E79" s="179">
        <f>'25-26'!O79</f>
        <v>746486.80740000005</v>
      </c>
      <c r="F79" s="179">
        <f>'26-27'!O79</f>
        <v>491021</v>
      </c>
      <c r="G79" s="179">
        <f>'27-28'!O79</f>
        <v>379047</v>
      </c>
      <c r="H79" s="179">
        <f>'28-29'!O79</f>
        <v>177757</v>
      </c>
      <c r="I79" s="179">
        <f>'29-30'!O79</f>
        <v>56752</v>
      </c>
      <c r="J79" s="50">
        <f>'30-31'!O79</f>
        <v>0</v>
      </c>
    </row>
    <row r="80" spans="2:10" x14ac:dyDescent="0.25">
      <c r="D80" s="52" t="s">
        <v>102</v>
      </c>
      <c r="E80" s="50">
        <f>'25-26'!O80</f>
        <v>0</v>
      </c>
      <c r="F80" s="50">
        <f>'26-27'!O80</f>
        <v>0</v>
      </c>
      <c r="G80" s="50">
        <f>'27-28'!O80</f>
        <v>0</v>
      </c>
      <c r="H80" s="50">
        <f>'28-29'!O80</f>
        <v>0</v>
      </c>
      <c r="I80" s="50">
        <f>'29-30'!O80</f>
        <v>0</v>
      </c>
      <c r="J80" s="50">
        <f>'30-31'!O80</f>
        <v>0</v>
      </c>
    </row>
    <row r="81" spans="2:10" x14ac:dyDescent="0.25">
      <c r="D81" s="52" t="s">
        <v>103</v>
      </c>
      <c r="E81" s="50">
        <f>'25-26'!O81</f>
        <v>20448</v>
      </c>
      <c r="F81" s="50">
        <f>'26-27'!O81</f>
        <v>20754.719999999998</v>
      </c>
      <c r="G81" s="50">
        <f>'27-28'!O81</f>
        <v>21066.040799999995</v>
      </c>
      <c r="H81" s="50">
        <f>'28-29'!O81</f>
        <v>21382.031411999993</v>
      </c>
      <c r="I81" s="50">
        <f>'29-30'!O81</f>
        <v>21702.761883179992</v>
      </c>
      <c r="J81" s="50">
        <f>'30-31'!O81</f>
        <v>22028.303311427691</v>
      </c>
    </row>
    <row r="82" spans="2:10" x14ac:dyDescent="0.25">
      <c r="D82" s="57" t="s">
        <v>104</v>
      </c>
      <c r="E82" s="50">
        <f>'25-26'!O82</f>
        <v>48816</v>
      </c>
      <c r="F82" s="50">
        <f>'26-27'!O82</f>
        <v>49548.24</v>
      </c>
      <c r="G82" s="50">
        <f>'27-28'!O82</f>
        <v>50291.463599999995</v>
      </c>
      <c r="H82" s="50">
        <f>'28-29'!O82</f>
        <v>51045.83555399999</v>
      </c>
      <c r="I82" s="50">
        <f>'29-30'!O82</f>
        <v>51811.523087309986</v>
      </c>
      <c r="J82" s="50">
        <f>'30-31'!O82</f>
        <v>52588.695933619631</v>
      </c>
    </row>
    <row r="83" spans="2:10" x14ac:dyDescent="0.25">
      <c r="C83" s="61" t="s">
        <v>105</v>
      </c>
      <c r="D83" s="62"/>
      <c r="E83" s="63">
        <f t="shared" ref="E83:J83" si="12">SUM(E68:E82)</f>
        <v>2207138.1774740261</v>
      </c>
      <c r="F83" s="63">
        <f t="shared" si="12"/>
        <v>2050450.9900987013</v>
      </c>
      <c r="G83" s="63">
        <f t="shared" si="12"/>
        <v>2119308.3411818184</v>
      </c>
      <c r="H83" s="63">
        <f t="shared" si="12"/>
        <v>2210569.1637724936</v>
      </c>
      <c r="I83" s="63">
        <f t="shared" si="12"/>
        <v>2281715.7884601005</v>
      </c>
      <c r="J83" s="63">
        <f t="shared" si="12"/>
        <v>2422366.4094177745</v>
      </c>
    </row>
    <row r="85" spans="2:10" x14ac:dyDescent="0.25">
      <c r="B85" s="61" t="s">
        <v>106</v>
      </c>
      <c r="C85" s="64"/>
      <c r="D85" s="65"/>
      <c r="E85" s="66" t="str">
        <f t="shared" ref="E85:J85" si="13">E20</f>
        <v>25-26 (FY26)</v>
      </c>
      <c r="F85" s="66" t="str">
        <f t="shared" si="13"/>
        <v>26-27 (FY27)</v>
      </c>
      <c r="G85" s="66" t="str">
        <f t="shared" si="13"/>
        <v>27-28 (FY28)</v>
      </c>
      <c r="H85" s="66" t="str">
        <f t="shared" si="13"/>
        <v>28-29 (FY29)</v>
      </c>
      <c r="I85" s="66" t="str">
        <f t="shared" si="13"/>
        <v>29-30 (FY30)</v>
      </c>
      <c r="J85" s="66" t="str">
        <f t="shared" si="13"/>
        <v>30-31 (FY31)</v>
      </c>
    </row>
    <row r="86" spans="2:10" x14ac:dyDescent="0.25">
      <c r="D86" s="49" t="s">
        <v>107</v>
      </c>
      <c r="E86" s="50">
        <f>'25-26'!O86</f>
        <v>0</v>
      </c>
      <c r="F86" s="50">
        <f>'26-27'!O86</f>
        <v>0</v>
      </c>
      <c r="G86" s="50">
        <f>'27-28'!O86</f>
        <v>0</v>
      </c>
      <c r="H86" s="50">
        <f>'28-29'!O86</f>
        <v>0</v>
      </c>
      <c r="I86" s="50">
        <f>'29-30'!O86</f>
        <v>0</v>
      </c>
      <c r="J86" s="50">
        <f>'30-31'!O86</f>
        <v>0</v>
      </c>
    </row>
    <row r="87" spans="2:10" x14ac:dyDescent="0.25">
      <c r="D87" s="52" t="s">
        <v>108</v>
      </c>
      <c r="E87" s="50">
        <f>'25-26'!O87</f>
        <v>0</v>
      </c>
      <c r="F87" s="50">
        <f>'26-27'!O87</f>
        <v>0</v>
      </c>
      <c r="G87" s="50">
        <f>'27-28'!O87</f>
        <v>0</v>
      </c>
      <c r="H87" s="50">
        <f>'28-29'!O87</f>
        <v>0</v>
      </c>
      <c r="I87" s="50">
        <f>'29-30'!O87</f>
        <v>0</v>
      </c>
      <c r="J87" s="50">
        <f>'30-31'!O87</f>
        <v>0</v>
      </c>
    </row>
    <row r="88" spans="2:10" x14ac:dyDescent="0.25">
      <c r="D88" s="57" t="s">
        <v>109</v>
      </c>
      <c r="E88" s="50">
        <f>'25-26'!O88</f>
        <v>0</v>
      </c>
      <c r="F88" s="50">
        <f>'26-27'!O88</f>
        <v>0</v>
      </c>
      <c r="G88" s="50">
        <f>'27-28'!O88</f>
        <v>0</v>
      </c>
      <c r="H88" s="50">
        <f>'28-29'!O88</f>
        <v>0</v>
      </c>
      <c r="I88" s="50">
        <f>'29-30'!O88</f>
        <v>0</v>
      </c>
      <c r="J88" s="50">
        <f>'30-31'!O88</f>
        <v>0</v>
      </c>
    </row>
    <row r="89" spans="2:10" x14ac:dyDescent="0.25">
      <c r="C89" s="61" t="s">
        <v>110</v>
      </c>
      <c r="D89" s="65"/>
      <c r="E89" s="63">
        <f t="shared" ref="E89:J89" si="14">SUM(E86:E88)</f>
        <v>0</v>
      </c>
      <c r="F89" s="63">
        <f t="shared" si="14"/>
        <v>0</v>
      </c>
      <c r="G89" s="63">
        <f t="shared" si="14"/>
        <v>0</v>
      </c>
      <c r="H89" s="63">
        <f t="shared" si="14"/>
        <v>0</v>
      </c>
      <c r="I89" s="63">
        <f t="shared" si="14"/>
        <v>0</v>
      </c>
      <c r="J89" s="63">
        <f t="shared" si="14"/>
        <v>0</v>
      </c>
    </row>
    <row r="91" spans="2:10" ht="16.5" thickBot="1" x14ac:dyDescent="0.3"/>
    <row r="92" spans="2:10" ht="16.5" thickBot="1" x14ac:dyDescent="0.3">
      <c r="B92" s="69" t="s">
        <v>111</v>
      </c>
      <c r="C92" s="70"/>
      <c r="D92" s="71"/>
      <c r="E92" s="72" t="str">
        <f t="shared" ref="E92:J92" si="15">E20</f>
        <v>25-26 (FY26)</v>
      </c>
      <c r="F92" s="72" t="str">
        <f t="shared" si="15"/>
        <v>26-27 (FY27)</v>
      </c>
      <c r="G92" s="72" t="str">
        <f t="shared" si="15"/>
        <v>27-28 (FY28)</v>
      </c>
      <c r="H92" s="72" t="str">
        <f t="shared" si="15"/>
        <v>28-29 (FY29)</v>
      </c>
      <c r="I92" s="72" t="str">
        <f t="shared" si="15"/>
        <v>29-30 (FY30)</v>
      </c>
      <c r="J92" s="72" t="str">
        <f t="shared" si="15"/>
        <v>30-31 (FY31)</v>
      </c>
    </row>
    <row r="93" spans="2:10" x14ac:dyDescent="0.25">
      <c r="C93" s="77" t="s">
        <v>112</v>
      </c>
      <c r="D93" s="78"/>
      <c r="E93" s="79"/>
      <c r="F93" s="79"/>
      <c r="G93" s="79"/>
      <c r="H93" s="79"/>
      <c r="I93" s="79"/>
      <c r="J93" s="79"/>
    </row>
    <row r="94" spans="2:10" x14ac:dyDescent="0.25">
      <c r="D94" s="49" t="s">
        <v>402</v>
      </c>
      <c r="E94" s="50">
        <f>'25-26'!O94</f>
        <v>135000</v>
      </c>
      <c r="F94" s="50">
        <f>'26-27'!O94</f>
        <v>0</v>
      </c>
      <c r="G94" s="50">
        <f>'27-28'!O94</f>
        <v>0</v>
      </c>
      <c r="H94" s="50">
        <f>'28-29'!O94</f>
        <v>0</v>
      </c>
      <c r="I94" s="50">
        <f>'29-30'!O94</f>
        <v>0</v>
      </c>
      <c r="J94" s="50">
        <f>'30-31'!O94</f>
        <v>0</v>
      </c>
    </row>
    <row r="95" spans="2:10" x14ac:dyDescent="0.25">
      <c r="D95" s="52" t="s">
        <v>66</v>
      </c>
      <c r="E95" s="50">
        <f>'25-26'!O95</f>
        <v>127500</v>
      </c>
      <c r="F95" s="50">
        <f>'26-27'!O95</f>
        <v>129412.49999999999</v>
      </c>
      <c r="G95" s="50">
        <f>'27-28'!O95</f>
        <v>131353.68749999997</v>
      </c>
      <c r="H95" s="50">
        <f>'28-29'!O95</f>
        <v>133323.99281249996</v>
      </c>
      <c r="I95" s="50">
        <f>'29-30'!O95</f>
        <v>135323.85270468745</v>
      </c>
      <c r="J95" s="50">
        <f>'30-31'!O95</f>
        <v>137353.71049525775</v>
      </c>
    </row>
    <row r="96" spans="2:10" x14ac:dyDescent="0.25">
      <c r="D96" s="52" t="s">
        <v>115</v>
      </c>
      <c r="E96" s="50">
        <f>'25-26'!O96</f>
        <v>0</v>
      </c>
      <c r="F96" s="50">
        <f>'26-27'!O96</f>
        <v>0</v>
      </c>
      <c r="G96" s="50">
        <f>'27-28'!O96</f>
        <v>0</v>
      </c>
      <c r="H96" s="50">
        <f>'28-29'!O96</f>
        <v>0</v>
      </c>
      <c r="I96" s="50">
        <f>'29-30'!O96</f>
        <v>0</v>
      </c>
      <c r="J96" s="50">
        <f>'30-31'!O96</f>
        <v>0</v>
      </c>
    </row>
    <row r="97" spans="3:10" x14ac:dyDescent="0.25">
      <c r="C97" s="83" t="s">
        <v>116</v>
      </c>
      <c r="D97" s="84"/>
      <c r="E97" s="79"/>
      <c r="F97" s="79"/>
      <c r="G97" s="79"/>
      <c r="H97" s="79"/>
      <c r="I97" s="79"/>
      <c r="J97" s="79"/>
    </row>
    <row r="98" spans="3:10" x14ac:dyDescent="0.25">
      <c r="D98" s="52" t="s">
        <v>117</v>
      </c>
      <c r="E98" s="50">
        <f>'25-26'!O98</f>
        <v>0</v>
      </c>
      <c r="F98" s="50">
        <f>'26-27'!O98</f>
        <v>0</v>
      </c>
      <c r="G98" s="50">
        <f>'27-28'!O98</f>
        <v>0</v>
      </c>
      <c r="H98" s="50">
        <f>'28-29'!O98</f>
        <v>0</v>
      </c>
      <c r="I98" s="50">
        <f>'29-30'!O98</f>
        <v>0</v>
      </c>
      <c r="J98" s="50">
        <f>'30-31'!O98</f>
        <v>0</v>
      </c>
    </row>
    <row r="99" spans="3:10" x14ac:dyDescent="0.25">
      <c r="D99" s="52" t="s">
        <v>118</v>
      </c>
      <c r="E99" s="50">
        <f>'25-26'!O99</f>
        <v>0</v>
      </c>
      <c r="F99" s="50">
        <f>'26-27'!O99</f>
        <v>0</v>
      </c>
      <c r="G99" s="50">
        <f>'27-28'!O99</f>
        <v>0</v>
      </c>
      <c r="H99" s="50">
        <f>'28-29'!O99</f>
        <v>0</v>
      </c>
      <c r="I99" s="50">
        <f>'29-30'!O99</f>
        <v>0</v>
      </c>
      <c r="J99" s="50">
        <f>'30-31'!O99</f>
        <v>0</v>
      </c>
    </row>
    <row r="100" spans="3:10" x14ac:dyDescent="0.25">
      <c r="C100" s="83" t="s">
        <v>119</v>
      </c>
      <c r="D100" s="84"/>
      <c r="E100" s="79"/>
      <c r="F100" s="79"/>
      <c r="G100" s="79"/>
      <c r="H100" s="79"/>
      <c r="I100" s="79"/>
      <c r="J100" s="79"/>
    </row>
    <row r="101" spans="3:10" x14ac:dyDescent="0.25">
      <c r="D101" s="52" t="s">
        <v>70</v>
      </c>
      <c r="E101" s="50">
        <f>'25-26'!O101</f>
        <v>68026</v>
      </c>
      <c r="F101" s="50">
        <f>'26-27'!O101</f>
        <v>69076</v>
      </c>
      <c r="G101" s="50">
        <f>'27-28'!O101</f>
        <v>70141.75</v>
      </c>
      <c r="H101" s="50">
        <f>'28-29'!O101</f>
        <v>71223.486249999987</v>
      </c>
      <c r="I101" s="50">
        <f>'29-30'!O101</f>
        <v>72321.448543749982</v>
      </c>
      <c r="J101" s="50">
        <f>'30-31'!O101</f>
        <v>73435.880271906222</v>
      </c>
    </row>
    <row r="102" spans="3:10" x14ac:dyDescent="0.25">
      <c r="D102" s="52" t="s">
        <v>121</v>
      </c>
      <c r="E102" s="50">
        <f>'25-26'!O102</f>
        <v>0</v>
      </c>
      <c r="F102" s="50">
        <f>'26-27'!O102</f>
        <v>0</v>
      </c>
      <c r="G102" s="50">
        <f>'27-28'!O102</f>
        <v>0</v>
      </c>
      <c r="H102" s="50">
        <f>'28-29'!O102</f>
        <v>0</v>
      </c>
      <c r="I102" s="50">
        <f>'29-30'!O102</f>
        <v>0</v>
      </c>
      <c r="J102" s="50">
        <f>'30-31'!O102</f>
        <v>0</v>
      </c>
    </row>
    <row r="103" spans="3:10" x14ac:dyDescent="0.25">
      <c r="D103" s="52" t="s">
        <v>122</v>
      </c>
      <c r="E103" s="50">
        <f>'25-26'!O103</f>
        <v>1974</v>
      </c>
      <c r="F103" s="50">
        <f>'26-27'!O103</f>
        <v>1974</v>
      </c>
      <c r="G103" s="50">
        <f>'27-28'!O103</f>
        <v>1974</v>
      </c>
      <c r="H103" s="50">
        <f>'28-29'!O103</f>
        <v>1974</v>
      </c>
      <c r="I103" s="50">
        <f>'29-30'!O103</f>
        <v>1974</v>
      </c>
      <c r="J103" s="50">
        <f>'30-31'!O103</f>
        <v>1974</v>
      </c>
    </row>
    <row r="104" spans="3:10" x14ac:dyDescent="0.25">
      <c r="D104" s="52" t="s">
        <v>123</v>
      </c>
      <c r="E104" s="50">
        <f>'25-26'!O104</f>
        <v>0</v>
      </c>
      <c r="F104" s="50">
        <f>'26-27'!O104</f>
        <v>0</v>
      </c>
      <c r="G104" s="50">
        <f>'27-28'!O104</f>
        <v>0</v>
      </c>
      <c r="H104" s="50">
        <f>'28-29'!O104</f>
        <v>0</v>
      </c>
      <c r="I104" s="50">
        <f>'29-30'!O104</f>
        <v>0</v>
      </c>
      <c r="J104" s="50">
        <f>'30-31'!O104</f>
        <v>0</v>
      </c>
    </row>
    <row r="105" spans="3:10" ht="17.649999999999999" customHeight="1" x14ac:dyDescent="0.25">
      <c r="D105" s="52" t="s">
        <v>125</v>
      </c>
      <c r="E105" s="50">
        <f>'25-26'!O105</f>
        <v>0</v>
      </c>
      <c r="F105" s="50">
        <f>'26-27'!O105</f>
        <v>0</v>
      </c>
      <c r="G105" s="50">
        <f>'27-28'!O105</f>
        <v>0</v>
      </c>
      <c r="H105" s="50">
        <f>'28-29'!O105</f>
        <v>0</v>
      </c>
      <c r="I105" s="50">
        <f>'29-30'!O105</f>
        <v>0</v>
      </c>
      <c r="J105" s="50">
        <f>'30-31'!O105</f>
        <v>0</v>
      </c>
    </row>
    <row r="106" spans="3:10" ht="17.649999999999999" customHeight="1" x14ac:dyDescent="0.25">
      <c r="D106" s="52" t="s">
        <v>126</v>
      </c>
      <c r="E106" s="50">
        <f>'25-26'!O106</f>
        <v>0</v>
      </c>
      <c r="F106" s="50">
        <f>'26-27'!O106</f>
        <v>0</v>
      </c>
      <c r="G106" s="50">
        <f>'27-28'!O106</f>
        <v>0</v>
      </c>
      <c r="H106" s="50">
        <f>'28-29'!O106</f>
        <v>0</v>
      </c>
      <c r="I106" s="50">
        <f>'29-30'!O106</f>
        <v>0</v>
      </c>
      <c r="J106" s="50">
        <f>'30-31'!O106</f>
        <v>0</v>
      </c>
    </row>
    <row r="107" spans="3:10" ht="17.649999999999999" customHeight="1" x14ac:dyDescent="0.25">
      <c r="D107" s="52" t="s">
        <v>127</v>
      </c>
      <c r="E107" s="50">
        <f>'25-26'!O107</f>
        <v>0</v>
      </c>
      <c r="F107" s="50">
        <f>'26-27'!O107</f>
        <v>0</v>
      </c>
      <c r="G107" s="50">
        <f>'27-28'!O107</f>
        <v>0</v>
      </c>
      <c r="H107" s="50">
        <f>'28-29'!O107</f>
        <v>0</v>
      </c>
      <c r="I107" s="50">
        <f>'29-30'!O107</f>
        <v>0</v>
      </c>
      <c r="J107" s="50">
        <f>'30-31'!O107</f>
        <v>0</v>
      </c>
    </row>
    <row r="108" spans="3:10" x14ac:dyDescent="0.25">
      <c r="D108" s="52" t="s">
        <v>128</v>
      </c>
      <c r="E108" s="50">
        <f>'25-26'!O108</f>
        <v>0</v>
      </c>
      <c r="F108" s="50">
        <f>'26-27'!O108</f>
        <v>0</v>
      </c>
      <c r="G108" s="50">
        <f>'27-28'!O108</f>
        <v>0</v>
      </c>
      <c r="H108" s="50">
        <f>'28-29'!O108</f>
        <v>0</v>
      </c>
      <c r="I108" s="50">
        <f>'29-30'!O108</f>
        <v>0</v>
      </c>
      <c r="J108" s="50">
        <f>'30-31'!O108</f>
        <v>0</v>
      </c>
    </row>
    <row r="109" spans="3:10" x14ac:dyDescent="0.25">
      <c r="D109" s="52" t="s">
        <v>129</v>
      </c>
      <c r="E109" s="50">
        <f>'25-26'!O109</f>
        <v>0</v>
      </c>
      <c r="F109" s="50">
        <f>'26-27'!O109</f>
        <v>0</v>
      </c>
      <c r="G109" s="50">
        <f>'27-28'!O109</f>
        <v>0</v>
      </c>
      <c r="H109" s="50">
        <f>'28-29'!O109</f>
        <v>0</v>
      </c>
      <c r="I109" s="50">
        <f>'29-30'!O109</f>
        <v>0</v>
      </c>
      <c r="J109" s="50">
        <f>'30-31'!O109</f>
        <v>0</v>
      </c>
    </row>
    <row r="110" spans="3:10" x14ac:dyDescent="0.25">
      <c r="D110" s="52" t="s">
        <v>130</v>
      </c>
      <c r="E110" s="50">
        <f>'25-26'!O110</f>
        <v>0</v>
      </c>
      <c r="F110" s="50">
        <f>'26-27'!O110</f>
        <v>0</v>
      </c>
      <c r="G110" s="50">
        <f>'27-28'!O110</f>
        <v>0</v>
      </c>
      <c r="H110" s="50">
        <f>'28-29'!O110</f>
        <v>0</v>
      </c>
      <c r="I110" s="50">
        <f>'29-30'!O110</f>
        <v>0</v>
      </c>
      <c r="J110" s="50">
        <f>'30-31'!O110</f>
        <v>0</v>
      </c>
    </row>
    <row r="111" spans="3:10" x14ac:dyDescent="0.25">
      <c r="D111" s="52" t="s">
        <v>133</v>
      </c>
      <c r="E111" s="50">
        <f>'25-26'!O111</f>
        <v>0</v>
      </c>
      <c r="F111" s="50">
        <f>'26-27'!O111</f>
        <v>0</v>
      </c>
      <c r="G111" s="50">
        <f>'27-28'!O111</f>
        <v>0</v>
      </c>
      <c r="H111" s="50">
        <f>'28-29'!O111</f>
        <v>0</v>
      </c>
      <c r="I111" s="50">
        <f>'29-30'!O111</f>
        <v>0</v>
      </c>
      <c r="J111" s="50">
        <f>'30-31'!O111</f>
        <v>0</v>
      </c>
    </row>
    <row r="112" spans="3:10" x14ac:dyDescent="0.25">
      <c r="D112" s="52" t="s">
        <v>80</v>
      </c>
      <c r="E112" s="50">
        <f>'25-26'!O112</f>
        <v>0</v>
      </c>
      <c r="F112" s="50">
        <f>'26-27'!O112</f>
        <v>0</v>
      </c>
      <c r="G112" s="50">
        <f>'27-28'!O112</f>
        <v>0</v>
      </c>
      <c r="H112" s="50">
        <f>'28-29'!O112</f>
        <v>0</v>
      </c>
      <c r="I112" s="50">
        <f>'29-30'!O112</f>
        <v>0</v>
      </c>
      <c r="J112" s="50">
        <f>'30-31'!O112</f>
        <v>0</v>
      </c>
    </row>
    <row r="113" spans="3:10" x14ac:dyDescent="0.25">
      <c r="D113" s="52" t="s">
        <v>136</v>
      </c>
      <c r="E113" s="50">
        <f>'25-26'!O113</f>
        <v>0</v>
      </c>
      <c r="F113" s="50">
        <f>'26-27'!O113</f>
        <v>0</v>
      </c>
      <c r="G113" s="50">
        <f>'27-28'!O113</f>
        <v>0</v>
      </c>
      <c r="H113" s="50">
        <f>'28-29'!O113</f>
        <v>0</v>
      </c>
      <c r="I113" s="50">
        <f>'29-30'!O113</f>
        <v>0</v>
      </c>
      <c r="J113" s="50">
        <f>'30-31'!O113</f>
        <v>0</v>
      </c>
    </row>
    <row r="114" spans="3:10" x14ac:dyDescent="0.25">
      <c r="D114" s="52" t="s">
        <v>138</v>
      </c>
      <c r="E114" s="50">
        <f>'25-26'!O114</f>
        <v>0</v>
      </c>
      <c r="F114" s="50">
        <f>'26-27'!O114</f>
        <v>0</v>
      </c>
      <c r="G114" s="50">
        <f>'27-28'!O114</f>
        <v>0</v>
      </c>
      <c r="H114" s="50">
        <f>'28-29'!O114</f>
        <v>0</v>
      </c>
      <c r="I114" s="50">
        <f>'29-30'!O114</f>
        <v>0</v>
      </c>
      <c r="J114" s="50">
        <f>'30-31'!O114</f>
        <v>0</v>
      </c>
    </row>
    <row r="115" spans="3:10" x14ac:dyDescent="0.25">
      <c r="D115" s="52" t="s">
        <v>139</v>
      </c>
      <c r="E115" s="50">
        <f>'25-26'!O115</f>
        <v>0</v>
      </c>
      <c r="F115" s="50">
        <f>'26-27'!O115</f>
        <v>0</v>
      </c>
      <c r="G115" s="50">
        <f>'27-28'!O115</f>
        <v>0</v>
      </c>
      <c r="H115" s="50">
        <f>'28-29'!O115</f>
        <v>0</v>
      </c>
      <c r="I115" s="50">
        <f>'29-30'!O115</f>
        <v>0</v>
      </c>
      <c r="J115" s="50">
        <f>'30-31'!O115</f>
        <v>0</v>
      </c>
    </row>
    <row r="116" spans="3:10" x14ac:dyDescent="0.25">
      <c r="D116" s="52" t="s">
        <v>141</v>
      </c>
      <c r="E116" s="50">
        <f>'25-26'!O116</f>
        <v>0</v>
      </c>
      <c r="F116" s="50">
        <f>'26-27'!O116</f>
        <v>0</v>
      </c>
      <c r="G116" s="50">
        <f>'27-28'!O116</f>
        <v>0</v>
      </c>
      <c r="H116" s="50">
        <f>'28-29'!O116</f>
        <v>0</v>
      </c>
      <c r="I116" s="50">
        <f>'29-30'!O116</f>
        <v>0</v>
      </c>
      <c r="J116" s="50">
        <f>'30-31'!O116</f>
        <v>0</v>
      </c>
    </row>
    <row r="117" spans="3:10" x14ac:dyDescent="0.25">
      <c r="D117" s="52" t="s">
        <v>142</v>
      </c>
      <c r="E117" s="50">
        <f>'25-26'!O117</f>
        <v>0</v>
      </c>
      <c r="F117" s="50">
        <f>'26-27'!O117</f>
        <v>0</v>
      </c>
      <c r="G117" s="50">
        <f>'27-28'!O117</f>
        <v>0</v>
      </c>
      <c r="H117" s="50">
        <f>'28-29'!O117</f>
        <v>0</v>
      </c>
      <c r="I117" s="50">
        <f>'29-30'!O117</f>
        <v>0</v>
      </c>
      <c r="J117" s="50">
        <f>'30-31'!O117</f>
        <v>0</v>
      </c>
    </row>
    <row r="118" spans="3:10" x14ac:dyDescent="0.25">
      <c r="D118" s="52" t="s">
        <v>84</v>
      </c>
      <c r="E118" s="50">
        <f>'25-26'!O118</f>
        <v>0</v>
      </c>
      <c r="F118" s="50">
        <f>'26-27'!O118</f>
        <v>0</v>
      </c>
      <c r="G118" s="50">
        <f>'27-28'!O118</f>
        <v>0</v>
      </c>
      <c r="H118" s="50">
        <f>'28-29'!O118</f>
        <v>0</v>
      </c>
      <c r="I118" s="50">
        <f>'29-30'!O118</f>
        <v>0</v>
      </c>
      <c r="J118" s="50">
        <f>'30-31'!O118</f>
        <v>0</v>
      </c>
    </row>
    <row r="119" spans="3:10" x14ac:dyDescent="0.25">
      <c r="D119" s="52" t="s">
        <v>144</v>
      </c>
      <c r="E119" s="50">
        <f>'25-26'!O119</f>
        <v>0</v>
      </c>
      <c r="F119" s="50">
        <f>'26-27'!O119</f>
        <v>0</v>
      </c>
      <c r="G119" s="50">
        <f>'27-28'!O119</f>
        <v>0</v>
      </c>
      <c r="H119" s="50">
        <f>'28-29'!O119</f>
        <v>0</v>
      </c>
      <c r="I119" s="50">
        <f>'29-30'!O119</f>
        <v>0</v>
      </c>
      <c r="J119" s="50">
        <f>'30-31'!O119</f>
        <v>0</v>
      </c>
    </row>
    <row r="120" spans="3:10" x14ac:dyDescent="0.25">
      <c r="C120" s="83" t="s">
        <v>145</v>
      </c>
      <c r="D120" s="84"/>
      <c r="E120" s="79"/>
      <c r="F120" s="79"/>
      <c r="G120" s="79"/>
      <c r="H120" s="79"/>
      <c r="I120" s="79"/>
      <c r="J120" s="79"/>
    </row>
    <row r="121" spans="3:10" x14ac:dyDescent="0.25">
      <c r="D121" s="52" t="s">
        <v>148</v>
      </c>
      <c r="E121" s="50">
        <f>'25-26'!O121</f>
        <v>59025</v>
      </c>
      <c r="F121" s="50">
        <f>'26-27'!O121</f>
        <v>60000</v>
      </c>
      <c r="G121" s="50">
        <f>'27-28'!O121</f>
        <v>60989.625</v>
      </c>
      <c r="H121" s="50">
        <f>'28-29'!O121</f>
        <v>61994.094375000001</v>
      </c>
      <c r="I121" s="50">
        <f>'29-30'!O121</f>
        <v>63013.630790625</v>
      </c>
      <c r="J121" s="50">
        <f>'30-31'!O121</f>
        <v>64048.460252484365</v>
      </c>
    </row>
    <row r="122" spans="3:10" x14ac:dyDescent="0.25">
      <c r="D122" s="52" t="s">
        <v>149</v>
      </c>
      <c r="E122" s="50">
        <f>'25-26'!O122</f>
        <v>0</v>
      </c>
      <c r="F122" s="50">
        <f>'26-27'!O122</f>
        <v>0</v>
      </c>
      <c r="G122" s="50">
        <f>'27-28'!O122</f>
        <v>0</v>
      </c>
      <c r="H122" s="50">
        <f>'28-29'!O122</f>
        <v>0</v>
      </c>
      <c r="I122" s="50">
        <f>'29-30'!O122</f>
        <v>0</v>
      </c>
      <c r="J122" s="50">
        <f>'30-31'!O122</f>
        <v>0</v>
      </c>
    </row>
    <row r="123" spans="3:10" x14ac:dyDescent="0.25">
      <c r="D123" s="52" t="s">
        <v>150</v>
      </c>
      <c r="E123" s="50">
        <f>'25-26'!O123</f>
        <v>5975</v>
      </c>
      <c r="F123" s="50">
        <f>'26-27'!O123</f>
        <v>5975</v>
      </c>
      <c r="G123" s="50">
        <f>'27-28'!O123</f>
        <v>5975</v>
      </c>
      <c r="H123" s="50">
        <f>'28-29'!O123</f>
        <v>5975</v>
      </c>
      <c r="I123" s="50">
        <f>'29-30'!O123</f>
        <v>5975</v>
      </c>
      <c r="J123" s="50">
        <f>'30-31'!O123</f>
        <v>5975</v>
      </c>
    </row>
    <row r="124" spans="3:10" x14ac:dyDescent="0.25">
      <c r="D124" s="52" t="s">
        <v>151</v>
      </c>
      <c r="E124" s="50">
        <f>'25-26'!O124</f>
        <v>0</v>
      </c>
      <c r="F124" s="50">
        <f>'26-27'!O124</f>
        <v>0</v>
      </c>
      <c r="G124" s="50">
        <f>'27-28'!O124</f>
        <v>0</v>
      </c>
      <c r="H124" s="50">
        <f>'28-29'!O124</f>
        <v>0</v>
      </c>
      <c r="I124" s="50">
        <f>'29-30'!O124</f>
        <v>0</v>
      </c>
      <c r="J124" s="50">
        <f>'30-31'!O124</f>
        <v>0</v>
      </c>
    </row>
    <row r="125" spans="3:10" x14ac:dyDescent="0.25">
      <c r="D125" s="52" t="s">
        <v>152</v>
      </c>
      <c r="E125" s="50">
        <f>'25-26'!O125</f>
        <v>0</v>
      </c>
      <c r="F125" s="50">
        <f>'26-27'!O125</f>
        <v>0</v>
      </c>
      <c r="G125" s="50">
        <f>'27-28'!O125</f>
        <v>0</v>
      </c>
      <c r="H125" s="50">
        <f>'28-29'!O125</f>
        <v>0</v>
      </c>
      <c r="I125" s="50">
        <f>'29-30'!O125</f>
        <v>0</v>
      </c>
      <c r="J125" s="50">
        <f>'30-31'!O125</f>
        <v>0</v>
      </c>
    </row>
    <row r="126" spans="3:10" x14ac:dyDescent="0.25">
      <c r="D126" s="52" t="s">
        <v>153</v>
      </c>
      <c r="E126" s="50">
        <f>'25-26'!O126</f>
        <v>0</v>
      </c>
      <c r="F126" s="50">
        <f>'26-27'!O126</f>
        <v>0</v>
      </c>
      <c r="G126" s="50">
        <f>'27-28'!O126</f>
        <v>0</v>
      </c>
      <c r="H126" s="50">
        <f>'28-29'!O126</f>
        <v>0</v>
      </c>
      <c r="I126" s="50">
        <f>'29-30'!O126</f>
        <v>0</v>
      </c>
      <c r="J126" s="50">
        <f>'30-31'!O126</f>
        <v>0</v>
      </c>
    </row>
    <row r="127" spans="3:10" x14ac:dyDescent="0.25">
      <c r="C127" s="83" t="s">
        <v>154</v>
      </c>
      <c r="D127" s="84"/>
      <c r="E127" s="79"/>
      <c r="F127" s="79"/>
      <c r="G127" s="79"/>
      <c r="H127" s="79"/>
      <c r="I127" s="79"/>
      <c r="J127" s="79"/>
    </row>
    <row r="128" spans="3:10" x14ac:dyDescent="0.25">
      <c r="D128" s="52" t="s">
        <v>155</v>
      </c>
      <c r="E128" s="50">
        <f>'25-26'!O128</f>
        <v>0</v>
      </c>
      <c r="F128" s="50">
        <f>'26-27'!O128</f>
        <v>0</v>
      </c>
      <c r="G128" s="50">
        <f>'27-28'!O128</f>
        <v>0</v>
      </c>
      <c r="H128" s="50">
        <f>'28-29'!O128</f>
        <v>0</v>
      </c>
      <c r="I128" s="50">
        <f>'29-30'!O128</f>
        <v>0</v>
      </c>
      <c r="J128" s="50">
        <f>'30-31'!O128</f>
        <v>0</v>
      </c>
    </row>
    <row r="129" spans="3:10" x14ac:dyDescent="0.25">
      <c r="D129" s="57" t="s">
        <v>157</v>
      </c>
      <c r="E129" s="50">
        <f>'25-26'!O129</f>
        <v>0</v>
      </c>
      <c r="F129" s="50">
        <f>'26-27'!O129</f>
        <v>0</v>
      </c>
      <c r="G129" s="50">
        <f>'27-28'!O129</f>
        <v>0</v>
      </c>
      <c r="H129" s="50">
        <f>'28-29'!O129</f>
        <v>0</v>
      </c>
      <c r="I129" s="50">
        <f>'29-30'!O129</f>
        <v>0</v>
      </c>
      <c r="J129" s="50">
        <f>'30-31'!O129</f>
        <v>0</v>
      </c>
    </row>
    <row r="130" spans="3:10" x14ac:dyDescent="0.25">
      <c r="D130" s="57" t="s">
        <v>158</v>
      </c>
      <c r="E130" s="50">
        <f>'25-26'!O130</f>
        <v>0</v>
      </c>
      <c r="F130" s="50">
        <f>'26-27'!O130</f>
        <v>0</v>
      </c>
      <c r="G130" s="50">
        <f>'27-28'!O130</f>
        <v>0</v>
      </c>
      <c r="H130" s="50">
        <f>'28-29'!O130</f>
        <v>0</v>
      </c>
      <c r="I130" s="50">
        <f>'29-30'!O130</f>
        <v>0</v>
      </c>
      <c r="J130" s="50">
        <f>'30-31'!O130</f>
        <v>0</v>
      </c>
    </row>
    <row r="131" spans="3:10" x14ac:dyDescent="0.25">
      <c r="C131" s="83" t="s">
        <v>159</v>
      </c>
      <c r="D131" s="84"/>
      <c r="E131" s="79"/>
      <c r="F131" s="79"/>
      <c r="G131" s="79"/>
      <c r="H131" s="79"/>
      <c r="I131" s="79"/>
      <c r="J131" s="79"/>
    </row>
    <row r="132" spans="3:10" x14ac:dyDescent="0.25">
      <c r="D132" s="52" t="s">
        <v>161</v>
      </c>
      <c r="E132" s="50">
        <f>'25-26'!O132</f>
        <v>44829</v>
      </c>
      <c r="F132" s="50">
        <f>'26-27'!O132</f>
        <v>45548.999999999993</v>
      </c>
      <c r="G132" s="50">
        <f>'27-28'!O132</f>
        <v>46279.799999999988</v>
      </c>
      <c r="H132" s="50">
        <f>'28-29'!O132</f>
        <v>47021.561999999984</v>
      </c>
      <c r="I132" s="50">
        <f>'29-30'!O132</f>
        <v>47774.450429999975</v>
      </c>
      <c r="J132" s="50">
        <f>'30-31'!O132</f>
        <v>48538.63218644997</v>
      </c>
    </row>
    <row r="133" spans="3:10" x14ac:dyDescent="0.25">
      <c r="D133" s="52" t="s">
        <v>162</v>
      </c>
      <c r="E133" s="50">
        <f>'25-26'!O133</f>
        <v>3171</v>
      </c>
      <c r="F133" s="50">
        <f>'26-27'!O133</f>
        <v>3171</v>
      </c>
      <c r="G133" s="50">
        <f>'27-28'!O133</f>
        <v>3171</v>
      </c>
      <c r="H133" s="50">
        <f>'28-29'!O133</f>
        <v>3171</v>
      </c>
      <c r="I133" s="50">
        <f>'29-30'!O133</f>
        <v>3171</v>
      </c>
      <c r="J133" s="50">
        <f>'30-31'!O133</f>
        <v>3171</v>
      </c>
    </row>
    <row r="134" spans="3:10" x14ac:dyDescent="0.25">
      <c r="C134" s="93" t="s">
        <v>163</v>
      </c>
      <c r="D134" s="94"/>
      <c r="E134" s="92">
        <f t="shared" ref="E134:J134" si="16">SUM(E94:E133)</f>
        <v>445500</v>
      </c>
      <c r="F134" s="92">
        <f t="shared" si="16"/>
        <v>315157.5</v>
      </c>
      <c r="G134" s="92">
        <f t="shared" si="16"/>
        <v>319884.86249999999</v>
      </c>
      <c r="H134" s="92">
        <f t="shared" si="16"/>
        <v>324683.13543749991</v>
      </c>
      <c r="I134" s="92">
        <f t="shared" si="16"/>
        <v>329553.3824690624</v>
      </c>
      <c r="J134" s="92">
        <f t="shared" si="16"/>
        <v>334496.68320609827</v>
      </c>
    </row>
    <row r="135" spans="3:10" x14ac:dyDescent="0.25">
      <c r="D135" s="49" t="s">
        <v>166</v>
      </c>
      <c r="E135" s="50">
        <f>'25-26'!O135</f>
        <v>143159.99249999999</v>
      </c>
      <c r="F135" s="50">
        <f>'26-27'!O135</f>
        <v>96286.966249999998</v>
      </c>
      <c r="G135" s="50">
        <f>'27-28'!O135</f>
        <v>99088.111093750005</v>
      </c>
      <c r="H135" s="50">
        <f>'28-29'!O135</f>
        <v>101952.15183984372</v>
      </c>
      <c r="I135" s="50">
        <f>'29-30'!O135</f>
        <v>104880.3361651367</v>
      </c>
      <c r="J135" s="50">
        <f>'30-31'!O135</f>
        <v>107873.93502521198</v>
      </c>
    </row>
    <row r="136" spans="3:10" x14ac:dyDescent="0.25">
      <c r="D136" s="52" t="s">
        <v>167</v>
      </c>
      <c r="E136" s="50">
        <f>'25-26'!O136</f>
        <v>0</v>
      </c>
      <c r="F136" s="50">
        <f>'26-27'!O136</f>
        <v>0</v>
      </c>
      <c r="G136" s="50">
        <f>'27-28'!O136</f>
        <v>0</v>
      </c>
      <c r="H136" s="50">
        <f>'28-29'!O136</f>
        <v>0</v>
      </c>
      <c r="I136" s="50">
        <f>'29-30'!O136</f>
        <v>0</v>
      </c>
      <c r="J136" s="50">
        <f>'30-31'!O136</f>
        <v>0</v>
      </c>
    </row>
    <row r="137" spans="3:10" x14ac:dyDescent="0.25">
      <c r="D137" s="52" t="s">
        <v>168</v>
      </c>
      <c r="E137" s="50">
        <f>'25-26'!O137</f>
        <v>4086.6000000000004</v>
      </c>
      <c r="F137" s="50">
        <f>'26-27'!O137</f>
        <v>4142.2</v>
      </c>
      <c r="G137" s="50">
        <f>'27-28'!O137</f>
        <v>4197.8</v>
      </c>
      <c r="H137" s="50">
        <f>'28-29'!O137</f>
        <v>4253.3999999999996</v>
      </c>
      <c r="I137" s="50">
        <f>'29-30'!O137</f>
        <v>4309</v>
      </c>
      <c r="J137" s="50">
        <f>'30-31'!O137</f>
        <v>4364.6000000000004</v>
      </c>
    </row>
    <row r="138" spans="3:10" x14ac:dyDescent="0.25">
      <c r="D138" s="49" t="s">
        <v>169</v>
      </c>
      <c r="E138" s="50">
        <f>'25-26'!O138</f>
        <v>0</v>
      </c>
      <c r="F138" s="50">
        <f>'26-27'!O138</f>
        <v>0</v>
      </c>
      <c r="G138" s="50">
        <f>'27-28'!O138</f>
        <v>0</v>
      </c>
      <c r="H138" s="50">
        <f>'28-29'!O138</f>
        <v>0</v>
      </c>
      <c r="I138" s="50">
        <f>'29-30'!O138</f>
        <v>0</v>
      </c>
      <c r="J138" s="50">
        <f>'30-31'!O138</f>
        <v>0</v>
      </c>
    </row>
    <row r="139" spans="3:10" x14ac:dyDescent="0.25">
      <c r="D139" s="49" t="s">
        <v>170</v>
      </c>
      <c r="E139" s="50">
        <f>'25-26'!O139</f>
        <v>0</v>
      </c>
      <c r="F139" s="50">
        <f>'26-27'!O139</f>
        <v>0</v>
      </c>
      <c r="G139" s="50">
        <f>'27-28'!O139</f>
        <v>0</v>
      </c>
      <c r="H139" s="50">
        <f>'28-29'!O139</f>
        <v>0</v>
      </c>
      <c r="I139" s="50">
        <f>'29-30'!O139</f>
        <v>0</v>
      </c>
      <c r="J139" s="50">
        <f>'30-31'!O139</f>
        <v>0</v>
      </c>
    </row>
    <row r="140" spans="3:10" x14ac:dyDescent="0.25">
      <c r="D140" s="49" t="s">
        <v>171</v>
      </c>
      <c r="E140" s="50">
        <f>'25-26'!O140</f>
        <v>0</v>
      </c>
      <c r="F140" s="50">
        <f>'26-27'!O140</f>
        <v>0</v>
      </c>
      <c r="G140" s="50">
        <f>'27-28'!O140</f>
        <v>0</v>
      </c>
      <c r="H140" s="50">
        <f>'28-29'!O140</f>
        <v>0</v>
      </c>
      <c r="I140" s="50">
        <f>'29-30'!O140</f>
        <v>0</v>
      </c>
      <c r="J140" s="50">
        <f>'30-31'!O140</f>
        <v>0</v>
      </c>
    </row>
    <row r="141" spans="3:10" x14ac:dyDescent="0.25">
      <c r="D141" s="49" t="s">
        <v>172</v>
      </c>
      <c r="E141" s="50">
        <f>'25-26'!O141</f>
        <v>16474.657500000001</v>
      </c>
      <c r="F141" s="50">
        <f>'26-27'!O141</f>
        <v>16967.002499999999</v>
      </c>
      <c r="G141" s="50">
        <f>'27-28'!O141</f>
        <v>17470.624499999994</v>
      </c>
      <c r="H141" s="50">
        <f>'28-29'!O141</f>
        <v>17985.747464999993</v>
      </c>
      <c r="I141" s="50">
        <f>'29-30'!O141</f>
        <v>18512.59954162499</v>
      </c>
      <c r="J141" s="50">
        <f>'30-31'!O141</f>
        <v>19051.413133181613</v>
      </c>
    </row>
    <row r="142" spans="3:10" x14ac:dyDescent="0.25">
      <c r="D142" s="52" t="s">
        <v>174</v>
      </c>
      <c r="E142" s="50">
        <f>'25-26'!O142</f>
        <v>51675.000000000007</v>
      </c>
      <c r="F142" s="50">
        <f>'26-27'!O142</f>
        <v>35969.0625</v>
      </c>
      <c r="G142" s="50">
        <f>'27-28'!O142</f>
        <v>37860.768750000003</v>
      </c>
      <c r="H142" s="50">
        <f>'28-29'!O142</f>
        <v>39801.13314843749</v>
      </c>
      <c r="I142" s="50">
        <f>'29-30'!O142</f>
        <v>41791.189805859365</v>
      </c>
      <c r="J142" s="50">
        <f>'30-31'!O142</f>
        <v>43831.992908045489</v>
      </c>
    </row>
    <row r="143" spans="3:10" x14ac:dyDescent="0.25">
      <c r="D143" s="52" t="s">
        <v>175</v>
      </c>
      <c r="E143" s="50">
        <f>'25-26'!O143</f>
        <v>0</v>
      </c>
      <c r="F143" s="50">
        <f>'26-27'!O143</f>
        <v>0</v>
      </c>
      <c r="G143" s="50">
        <f>'27-28'!O143</f>
        <v>0</v>
      </c>
      <c r="H143" s="50">
        <f>'28-29'!O143</f>
        <v>0</v>
      </c>
      <c r="I143" s="50">
        <f>'29-30'!O143</f>
        <v>0</v>
      </c>
      <c r="J143" s="50">
        <f>'30-31'!O143</f>
        <v>0</v>
      </c>
    </row>
    <row r="144" spans="3:10" x14ac:dyDescent="0.25">
      <c r="D144" s="52" t="s">
        <v>176</v>
      </c>
      <c r="E144" s="50">
        <f>'25-26'!O144</f>
        <v>0</v>
      </c>
      <c r="F144" s="50">
        <f>'26-27'!O144</f>
        <v>0</v>
      </c>
      <c r="G144" s="50">
        <f>'27-28'!O144</f>
        <v>0</v>
      </c>
      <c r="H144" s="50">
        <f>'28-29'!O144</f>
        <v>0</v>
      </c>
      <c r="I144" s="50">
        <f>'29-30'!O144</f>
        <v>0</v>
      </c>
      <c r="J144" s="50">
        <f>'30-31'!O144</f>
        <v>0</v>
      </c>
    </row>
    <row r="145" spans="1:10" x14ac:dyDescent="0.25">
      <c r="D145" s="52" t="s">
        <v>177</v>
      </c>
      <c r="E145" s="50">
        <f>'25-26'!O145</f>
        <v>0</v>
      </c>
      <c r="F145" s="50">
        <f>'26-27'!O145</f>
        <v>0</v>
      </c>
      <c r="G145" s="50">
        <f>'27-28'!O145</f>
        <v>0</v>
      </c>
      <c r="H145" s="50">
        <f>'28-29'!O145</f>
        <v>0</v>
      </c>
      <c r="I145" s="50">
        <f>'29-30'!O145</f>
        <v>0</v>
      </c>
      <c r="J145" s="50">
        <f>'30-31'!O145</f>
        <v>0</v>
      </c>
    </row>
    <row r="146" spans="1:10" x14ac:dyDescent="0.25">
      <c r="D146" s="52" t="s">
        <v>178</v>
      </c>
      <c r="E146" s="50">
        <f>'25-26'!O146</f>
        <v>0</v>
      </c>
      <c r="F146" s="50">
        <f>'26-27'!O146</f>
        <v>0</v>
      </c>
      <c r="G146" s="50">
        <f>'27-28'!O146</f>
        <v>0</v>
      </c>
      <c r="H146" s="50">
        <f>'28-29'!O146</f>
        <v>0</v>
      </c>
      <c r="I146" s="50">
        <f>'29-30'!O146</f>
        <v>0</v>
      </c>
      <c r="J146" s="50">
        <f>'30-31'!O146</f>
        <v>0</v>
      </c>
    </row>
    <row r="147" spans="1:10" x14ac:dyDescent="0.25">
      <c r="D147" s="52" t="s">
        <v>179</v>
      </c>
      <c r="E147" s="50">
        <f>'25-26'!O147</f>
        <v>0</v>
      </c>
      <c r="F147" s="50">
        <f>'26-27'!O147</f>
        <v>0</v>
      </c>
      <c r="G147" s="50">
        <f>'27-28'!O147</f>
        <v>0</v>
      </c>
      <c r="H147" s="50">
        <f>'28-29'!O147</f>
        <v>0</v>
      </c>
      <c r="I147" s="50">
        <f>'29-30'!O147</f>
        <v>0</v>
      </c>
      <c r="J147" s="50">
        <f>'30-31'!O147</f>
        <v>0</v>
      </c>
    </row>
    <row r="148" spans="1:10" x14ac:dyDescent="0.25">
      <c r="D148" s="52" t="s">
        <v>180</v>
      </c>
      <c r="E148" s="50">
        <f>'25-26'!O148</f>
        <v>6240</v>
      </c>
      <c r="F148" s="50">
        <f>'26-27'!O148</f>
        <v>6577.2</v>
      </c>
      <c r="G148" s="50">
        <f>'27-28'!O148</f>
        <v>6923.1119999999992</v>
      </c>
      <c r="H148" s="50">
        <f>'28-29'!O148</f>
        <v>7277.921489999997</v>
      </c>
      <c r="I148" s="50">
        <f>'29-30'!O148</f>
        <v>6686.3285558999969</v>
      </c>
      <c r="J148" s="50">
        <f>'30-31'!O148</f>
        <v>8014.9929888997458</v>
      </c>
    </row>
    <row r="149" spans="1:10" x14ac:dyDescent="0.25">
      <c r="D149" s="52" t="s">
        <v>182</v>
      </c>
      <c r="E149" s="50">
        <f>'25-26'!O149</f>
        <v>4000</v>
      </c>
      <c r="F149" s="50">
        <f>'26-27'!O149</f>
        <v>4000</v>
      </c>
      <c r="G149" s="50">
        <f>'27-28'!O149</f>
        <v>4000</v>
      </c>
      <c r="H149" s="50">
        <f>'28-29'!O149</f>
        <v>4000</v>
      </c>
      <c r="I149" s="50">
        <f>'29-30'!O149</f>
        <v>4000</v>
      </c>
      <c r="J149" s="50">
        <f>'30-31'!O149</f>
        <v>4000</v>
      </c>
    </row>
    <row r="150" spans="1:10" x14ac:dyDescent="0.25">
      <c r="D150" s="52" t="s">
        <v>183</v>
      </c>
      <c r="E150" s="50">
        <f>'25-26'!O150</f>
        <v>1000</v>
      </c>
      <c r="F150" s="50">
        <f>'26-27'!O150</f>
        <v>875</v>
      </c>
      <c r="G150" s="50">
        <f>'27-28'!O150</f>
        <v>875</v>
      </c>
      <c r="H150" s="50">
        <f>'28-29'!O150</f>
        <v>875</v>
      </c>
      <c r="I150" s="50">
        <f>'29-30'!O150</f>
        <v>875</v>
      </c>
      <c r="J150" s="50">
        <f>'30-31'!O150</f>
        <v>875</v>
      </c>
    </row>
    <row r="151" spans="1:10" x14ac:dyDescent="0.25">
      <c r="D151" s="52" t="s">
        <v>184</v>
      </c>
      <c r="E151" s="50">
        <f>'25-26'!O151</f>
        <v>0</v>
      </c>
      <c r="F151" s="50">
        <f>'26-27'!O151</f>
        <v>0</v>
      </c>
      <c r="G151" s="50">
        <f>'27-28'!O151</f>
        <v>0</v>
      </c>
      <c r="H151" s="50">
        <f>'28-29'!O151</f>
        <v>0</v>
      </c>
      <c r="I151" s="50">
        <f>'29-30'!O151</f>
        <v>0</v>
      </c>
      <c r="J151" s="50">
        <f>'30-31'!O151</f>
        <v>0</v>
      </c>
    </row>
    <row r="152" spans="1:10" x14ac:dyDescent="0.25">
      <c r="D152" s="57" t="s">
        <v>187</v>
      </c>
      <c r="E152" s="50">
        <f>'25-26'!O152</f>
        <v>0</v>
      </c>
      <c r="F152" s="50">
        <f>'26-27'!O152</f>
        <v>0</v>
      </c>
      <c r="G152" s="50">
        <f>'27-28'!O152</f>
        <v>0</v>
      </c>
      <c r="H152" s="50">
        <f>'28-29'!O152</f>
        <v>0</v>
      </c>
      <c r="I152" s="50">
        <f>'29-30'!O152</f>
        <v>0</v>
      </c>
      <c r="J152" s="50">
        <f>'30-31'!O152</f>
        <v>0</v>
      </c>
    </row>
    <row r="153" spans="1:10" x14ac:dyDescent="0.25">
      <c r="A153" s="96"/>
      <c r="C153" s="93" t="s">
        <v>188</v>
      </c>
      <c r="D153" s="94"/>
      <c r="E153" s="92">
        <f t="shared" ref="E153:J153" si="17">SUM(E135:E152)</f>
        <v>226636.25</v>
      </c>
      <c r="F153" s="92">
        <f t="shared" si="17"/>
        <v>164817.43125000002</v>
      </c>
      <c r="G153" s="92">
        <f t="shared" si="17"/>
        <v>170415.41634375</v>
      </c>
      <c r="H153" s="92">
        <f t="shared" si="17"/>
        <v>176145.3539432812</v>
      </c>
      <c r="I153" s="92">
        <f t="shared" si="17"/>
        <v>181054.45406852107</v>
      </c>
      <c r="J153" s="92">
        <f t="shared" si="17"/>
        <v>188011.93405533885</v>
      </c>
    </row>
    <row r="154" spans="1:10" x14ac:dyDescent="0.25">
      <c r="E154" s="99"/>
      <c r="F154" s="99"/>
      <c r="G154" s="99"/>
      <c r="H154" s="99"/>
      <c r="I154" s="99"/>
      <c r="J154" s="99"/>
    </row>
    <row r="155" spans="1:10" x14ac:dyDescent="0.25">
      <c r="C155" s="100" t="s">
        <v>189</v>
      </c>
      <c r="D155" s="82"/>
      <c r="E155" s="101" t="str">
        <f t="shared" ref="E155:J155" si="18">E20</f>
        <v>25-26 (FY26)</v>
      </c>
      <c r="F155" s="101" t="str">
        <f t="shared" si="18"/>
        <v>26-27 (FY27)</v>
      </c>
      <c r="G155" s="101" t="str">
        <f t="shared" si="18"/>
        <v>27-28 (FY28)</v>
      </c>
      <c r="H155" s="101" t="str">
        <f t="shared" si="18"/>
        <v>28-29 (FY29)</v>
      </c>
      <c r="I155" s="101" t="str">
        <f t="shared" si="18"/>
        <v>29-30 (FY30)</v>
      </c>
      <c r="J155" s="101" t="str">
        <f t="shared" si="18"/>
        <v>30-31 (FY31)</v>
      </c>
    </row>
    <row r="156" spans="1:10" x14ac:dyDescent="0.25">
      <c r="C156" s="77" t="s">
        <v>190</v>
      </c>
      <c r="D156" s="78"/>
      <c r="E156" s="79"/>
      <c r="F156" s="79"/>
      <c r="G156" s="79"/>
      <c r="H156" s="79"/>
      <c r="I156" s="79"/>
      <c r="J156" s="79"/>
    </row>
    <row r="157" spans="1:10" x14ac:dyDescent="0.25">
      <c r="D157" s="49" t="s">
        <v>192</v>
      </c>
      <c r="E157" s="50">
        <f>'25-26'!O157</f>
        <v>0</v>
      </c>
      <c r="F157" s="50">
        <f>'26-27'!O157</f>
        <v>0</v>
      </c>
      <c r="G157" s="50">
        <f>'27-28'!O157</f>
        <v>0</v>
      </c>
      <c r="H157" s="50">
        <f>'28-29'!O157</f>
        <v>0</v>
      </c>
      <c r="I157" s="50">
        <f>'29-30'!O157</f>
        <v>0</v>
      </c>
      <c r="J157" s="50">
        <f>'30-31'!O157</f>
        <v>0</v>
      </c>
    </row>
    <row r="158" spans="1:10" x14ac:dyDescent="0.25">
      <c r="D158" s="49" t="s">
        <v>193</v>
      </c>
      <c r="E158" s="50">
        <f>'25-26'!O158</f>
        <v>0</v>
      </c>
      <c r="F158" s="50">
        <f>'26-27'!O158</f>
        <v>0</v>
      </c>
      <c r="G158" s="50">
        <f>'27-28'!O158</f>
        <v>0</v>
      </c>
      <c r="H158" s="50">
        <f>'28-29'!O158</f>
        <v>0</v>
      </c>
      <c r="I158" s="50">
        <f>'29-30'!O158</f>
        <v>0</v>
      </c>
      <c r="J158" s="50">
        <f>'30-31'!O158</f>
        <v>0</v>
      </c>
    </row>
    <row r="159" spans="1:10" x14ac:dyDescent="0.25">
      <c r="D159" s="49" t="s">
        <v>194</v>
      </c>
      <c r="E159" s="50">
        <f>'25-26'!O159</f>
        <v>0</v>
      </c>
      <c r="F159" s="50">
        <f>'26-27'!O159</f>
        <v>0</v>
      </c>
      <c r="G159" s="50">
        <f>'27-28'!O159</f>
        <v>0</v>
      </c>
      <c r="H159" s="50">
        <f>'28-29'!O159</f>
        <v>0</v>
      </c>
      <c r="I159" s="50">
        <f>'29-30'!O159</f>
        <v>0</v>
      </c>
      <c r="J159" s="50">
        <f>'30-31'!O159</f>
        <v>0</v>
      </c>
    </row>
    <row r="160" spans="1:10" x14ac:dyDescent="0.25">
      <c r="D160" s="52" t="s">
        <v>67</v>
      </c>
      <c r="E160" s="50">
        <f>'25-26'!O160</f>
        <v>0</v>
      </c>
      <c r="F160" s="50">
        <f>'26-27'!O160</f>
        <v>0</v>
      </c>
      <c r="G160" s="50">
        <f>'27-28'!O160</f>
        <v>0</v>
      </c>
      <c r="H160" s="50">
        <f>'28-29'!O160</f>
        <v>0</v>
      </c>
      <c r="I160" s="50">
        <f>'29-30'!O160</f>
        <v>0</v>
      </c>
      <c r="J160" s="50">
        <f>'30-31'!O160</f>
        <v>0</v>
      </c>
    </row>
    <row r="161" spans="3:10" x14ac:dyDescent="0.25">
      <c r="D161" s="52" t="s">
        <v>195</v>
      </c>
      <c r="E161" s="50">
        <f>'25-26'!O161</f>
        <v>0</v>
      </c>
      <c r="F161" s="50">
        <f>'26-27'!O161</f>
        <v>0</v>
      </c>
      <c r="G161" s="50">
        <f>'27-28'!O161</f>
        <v>0</v>
      </c>
      <c r="H161" s="50">
        <f>'28-29'!O161</f>
        <v>0</v>
      </c>
      <c r="I161" s="50">
        <f>'29-30'!O161</f>
        <v>0</v>
      </c>
      <c r="J161" s="50">
        <f>'30-31'!O161</f>
        <v>0</v>
      </c>
    </row>
    <row r="162" spans="3:10" x14ac:dyDescent="0.25">
      <c r="D162" s="52" t="s">
        <v>196</v>
      </c>
      <c r="E162" s="50">
        <f>'25-26'!O162</f>
        <v>342017.51886792452</v>
      </c>
      <c r="F162" s="50">
        <f>'26-27'!O162</f>
        <v>365357.8173913043</v>
      </c>
      <c r="G162" s="50">
        <f>'27-28'!O162</f>
        <v>372359.91384615371</v>
      </c>
      <c r="H162" s="50">
        <f>'28-29'!O162</f>
        <v>380424.95104516111</v>
      </c>
      <c r="I162" s="50">
        <f>'29-30'!O162</f>
        <v>387430.59689717629</v>
      </c>
      <c r="J162" s="50">
        <f>'30-31'!O162</f>
        <v>394527.31881804246</v>
      </c>
    </row>
    <row r="163" spans="3:10" x14ac:dyDescent="0.25">
      <c r="D163" s="52" t="s">
        <v>197</v>
      </c>
      <c r="E163" s="50">
        <f>'25-26'!O163</f>
        <v>74693.481132075467</v>
      </c>
      <c r="F163" s="50">
        <f>'26-27'!O163</f>
        <v>57977.18260869565</v>
      </c>
      <c r="G163" s="50">
        <f>'27-28'!O163</f>
        <v>57698.446153846155</v>
      </c>
      <c r="H163" s="50">
        <f>'28-29'!O163</f>
        <v>56457.619354838716</v>
      </c>
      <c r="I163" s="50">
        <f>'29-30'!O163</f>
        <v>56378.547058823526</v>
      </c>
      <c r="J163" s="50">
        <f>'30-31'!O163</f>
        <v>56312.2972972973</v>
      </c>
    </row>
    <row r="164" spans="3:10" x14ac:dyDescent="0.25">
      <c r="D164" s="52" t="s">
        <v>198</v>
      </c>
      <c r="E164" s="50">
        <f>'25-26'!O164</f>
        <v>0</v>
      </c>
      <c r="F164" s="50">
        <f>'26-27'!O164</f>
        <v>0</v>
      </c>
      <c r="G164" s="50">
        <f>'27-28'!O164</f>
        <v>0</v>
      </c>
      <c r="H164" s="50">
        <f>'28-29'!O164</f>
        <v>0</v>
      </c>
      <c r="I164" s="50">
        <f>'29-30'!O164</f>
        <v>0</v>
      </c>
      <c r="J164" s="50">
        <f>'30-31'!O164</f>
        <v>0</v>
      </c>
    </row>
    <row r="165" spans="3:10" x14ac:dyDescent="0.25">
      <c r="D165" s="52" t="s">
        <v>199</v>
      </c>
      <c r="E165" s="50">
        <f>'25-26'!O165</f>
        <v>24889</v>
      </c>
      <c r="F165" s="50">
        <f>'26-27'!O165</f>
        <v>24889</v>
      </c>
      <c r="G165" s="50">
        <f>'27-28'!O165</f>
        <v>24889</v>
      </c>
      <c r="H165" s="50">
        <f>'28-29'!O165</f>
        <v>24889</v>
      </c>
      <c r="I165" s="50">
        <f>'29-30'!O165</f>
        <v>24889</v>
      </c>
      <c r="J165" s="50">
        <f>'30-31'!O165</f>
        <v>24889</v>
      </c>
    </row>
    <row r="166" spans="3:10" x14ac:dyDescent="0.25">
      <c r="D166" s="52" t="s">
        <v>200</v>
      </c>
      <c r="E166" s="50">
        <f>'25-26'!O166</f>
        <v>0</v>
      </c>
      <c r="F166" s="50">
        <f>'26-27'!O166</f>
        <v>0</v>
      </c>
      <c r="G166" s="50">
        <f>'27-28'!O166</f>
        <v>0</v>
      </c>
      <c r="H166" s="50">
        <f>'28-29'!O166</f>
        <v>0</v>
      </c>
      <c r="I166" s="50">
        <f>'29-30'!O166</f>
        <v>0</v>
      </c>
      <c r="J166" s="50">
        <f>'30-31'!O166</f>
        <v>0</v>
      </c>
    </row>
    <row r="167" spans="3:10" x14ac:dyDescent="0.25">
      <c r="D167" s="52" t="s">
        <v>201</v>
      </c>
      <c r="E167" s="50">
        <f>'25-26'!O167</f>
        <v>0</v>
      </c>
      <c r="F167" s="50">
        <f>'26-27'!O167</f>
        <v>0</v>
      </c>
      <c r="G167" s="50">
        <f>'27-28'!O167</f>
        <v>0</v>
      </c>
      <c r="H167" s="50">
        <f>'28-29'!O167</f>
        <v>0</v>
      </c>
      <c r="I167" s="50">
        <f>'29-30'!O167</f>
        <v>0</v>
      </c>
      <c r="J167" s="50">
        <f>'30-31'!O167</f>
        <v>0</v>
      </c>
    </row>
    <row r="168" spans="3:10" x14ac:dyDescent="0.25">
      <c r="C168" s="77" t="s">
        <v>202</v>
      </c>
      <c r="D168" s="78"/>
      <c r="E168" s="79"/>
      <c r="F168" s="79"/>
      <c r="G168" s="79"/>
      <c r="H168" s="79"/>
      <c r="I168" s="79"/>
      <c r="J168" s="79"/>
    </row>
    <row r="169" spans="3:10" x14ac:dyDescent="0.25">
      <c r="D169" s="52" t="s">
        <v>203</v>
      </c>
      <c r="E169" s="50">
        <f>'25-26'!O169</f>
        <v>51045</v>
      </c>
      <c r="F169" s="50">
        <f>'26-27'!O169</f>
        <v>51810.674999999996</v>
      </c>
      <c r="G169" s="50">
        <f>'27-28'!O169</f>
        <v>52587.835124999991</v>
      </c>
      <c r="H169" s="50">
        <f>'28-29'!O169</f>
        <v>53376.652651874989</v>
      </c>
      <c r="I169" s="50">
        <f>'29-30'!O169</f>
        <v>54177.302441653112</v>
      </c>
      <c r="J169" s="50">
        <f>'30-31'!O169</f>
        <v>54989.961978277905</v>
      </c>
    </row>
    <row r="170" spans="3:10" x14ac:dyDescent="0.25">
      <c r="C170" s="77" t="s">
        <v>202</v>
      </c>
      <c r="D170" s="78"/>
      <c r="E170" s="79"/>
      <c r="F170" s="79"/>
      <c r="G170" s="79"/>
      <c r="H170" s="79"/>
      <c r="I170" s="79"/>
      <c r="J170" s="79"/>
    </row>
    <row r="171" spans="3:10" x14ac:dyDescent="0.25">
      <c r="D171" s="52" t="s">
        <v>205</v>
      </c>
      <c r="E171" s="50">
        <f>'25-26'!O171</f>
        <v>0</v>
      </c>
      <c r="F171" s="50">
        <f>'26-27'!O171</f>
        <v>0</v>
      </c>
      <c r="G171" s="50">
        <f>'27-28'!O171</f>
        <v>0</v>
      </c>
      <c r="H171" s="50">
        <f>'28-29'!O171</f>
        <v>0</v>
      </c>
      <c r="I171" s="50">
        <f>'29-30'!O171</f>
        <v>0</v>
      </c>
      <c r="J171" s="50">
        <f>'30-31'!O171</f>
        <v>0</v>
      </c>
    </row>
    <row r="172" spans="3:10" x14ac:dyDescent="0.25">
      <c r="D172" s="52" t="s">
        <v>206</v>
      </c>
      <c r="E172" s="50">
        <f>'25-26'!O172</f>
        <v>5000</v>
      </c>
      <c r="F172" s="50">
        <f>'26-27'!O172</f>
        <v>5000</v>
      </c>
      <c r="G172" s="50">
        <f>'27-28'!O172</f>
        <v>5000</v>
      </c>
      <c r="H172" s="50">
        <f>'28-29'!O172</f>
        <v>5000</v>
      </c>
      <c r="I172" s="50">
        <f>'29-30'!O172</f>
        <v>5000</v>
      </c>
      <c r="J172" s="50">
        <f>'30-31'!O172</f>
        <v>5000</v>
      </c>
    </row>
    <row r="173" spans="3:10" x14ac:dyDescent="0.25">
      <c r="D173" s="52" t="s">
        <v>207</v>
      </c>
      <c r="E173" s="50">
        <f>'25-26'!O173</f>
        <v>0</v>
      </c>
      <c r="F173" s="50">
        <f>'26-27'!O173</f>
        <v>0</v>
      </c>
      <c r="G173" s="50">
        <f>'27-28'!O173</f>
        <v>0</v>
      </c>
      <c r="H173" s="50">
        <f>'28-29'!O173</f>
        <v>0</v>
      </c>
      <c r="I173" s="50">
        <f>'29-30'!O173</f>
        <v>0</v>
      </c>
      <c r="J173" s="50">
        <f>'30-31'!O173</f>
        <v>0</v>
      </c>
    </row>
    <row r="174" spans="3:10" x14ac:dyDescent="0.25">
      <c r="D174" s="52" t="s">
        <v>208</v>
      </c>
      <c r="E174" s="50">
        <f>'25-26'!O174</f>
        <v>351</v>
      </c>
      <c r="F174" s="50">
        <f>'26-27'!O174</f>
        <v>351</v>
      </c>
      <c r="G174" s="50">
        <f>'27-28'!O174</f>
        <v>351</v>
      </c>
      <c r="H174" s="50">
        <f>'28-29'!O174</f>
        <v>351</v>
      </c>
      <c r="I174" s="50">
        <f>'29-30'!O174</f>
        <v>351</v>
      </c>
      <c r="J174" s="50">
        <f>'30-31'!O174</f>
        <v>351</v>
      </c>
    </row>
    <row r="175" spans="3:10" x14ac:dyDescent="0.25">
      <c r="D175" s="52" t="s">
        <v>210</v>
      </c>
      <c r="E175" s="50">
        <f>'25-26'!O175</f>
        <v>0</v>
      </c>
      <c r="F175" s="50">
        <f>'26-27'!O175</f>
        <v>0</v>
      </c>
      <c r="G175" s="50">
        <f>'27-28'!O175</f>
        <v>0</v>
      </c>
      <c r="H175" s="50">
        <f>'28-29'!O175</f>
        <v>0</v>
      </c>
      <c r="I175" s="50">
        <f>'29-30'!O175</f>
        <v>0</v>
      </c>
      <c r="J175" s="50">
        <f>'30-31'!O175</f>
        <v>0</v>
      </c>
    </row>
    <row r="176" spans="3:10" x14ac:dyDescent="0.25">
      <c r="D176" s="52" t="s">
        <v>211</v>
      </c>
      <c r="E176" s="50">
        <f>'25-26'!O176</f>
        <v>0</v>
      </c>
      <c r="F176" s="50">
        <f>'26-27'!O176</f>
        <v>0</v>
      </c>
      <c r="G176" s="50">
        <f>'27-28'!O176</f>
        <v>0</v>
      </c>
      <c r="H176" s="50">
        <f>'28-29'!O176</f>
        <v>0</v>
      </c>
      <c r="I176" s="50">
        <f>'29-30'!O176</f>
        <v>0</v>
      </c>
      <c r="J176" s="50">
        <f>'30-31'!O176</f>
        <v>0</v>
      </c>
    </row>
    <row r="177" spans="1:10" x14ac:dyDescent="0.25">
      <c r="D177" s="52" t="s">
        <v>212</v>
      </c>
      <c r="E177" s="50">
        <f>'25-26'!O177</f>
        <v>16249</v>
      </c>
      <c r="F177" s="50">
        <f>'26-27'!O177</f>
        <v>16969</v>
      </c>
      <c r="G177" s="50">
        <f>'27-28'!O177</f>
        <v>17689</v>
      </c>
      <c r="H177" s="50">
        <f>'28-29'!O177</f>
        <v>18409</v>
      </c>
      <c r="I177" s="50">
        <f>'29-30'!O177</f>
        <v>19129</v>
      </c>
      <c r="J177" s="50">
        <f>'30-31'!O177</f>
        <v>19849</v>
      </c>
    </row>
    <row r="178" spans="1:10" x14ac:dyDescent="0.25">
      <c r="C178" s="77" t="s">
        <v>213</v>
      </c>
      <c r="D178" s="78"/>
      <c r="E178" s="79"/>
      <c r="F178" s="79"/>
      <c r="G178" s="79"/>
      <c r="H178" s="79"/>
      <c r="I178" s="79"/>
      <c r="J178" s="79"/>
    </row>
    <row r="179" spans="1:10" x14ac:dyDescent="0.25">
      <c r="D179" s="57" t="s">
        <v>85</v>
      </c>
      <c r="E179" s="50">
        <f>'25-26'!O179</f>
        <v>0</v>
      </c>
      <c r="F179" s="50">
        <f>'26-27'!O179</f>
        <v>0</v>
      </c>
      <c r="G179" s="50">
        <f>'27-28'!O179</f>
        <v>0</v>
      </c>
      <c r="H179" s="50">
        <f>'28-29'!O179</f>
        <v>0</v>
      </c>
      <c r="I179" s="50">
        <f>'29-30'!O179</f>
        <v>0</v>
      </c>
      <c r="J179" s="50">
        <f>'30-31'!O179</f>
        <v>0</v>
      </c>
    </row>
    <row r="180" spans="1:10" x14ac:dyDescent="0.25">
      <c r="A180" s="95"/>
      <c r="C180" s="93" t="s">
        <v>215</v>
      </c>
      <c r="D180" s="103"/>
      <c r="E180" s="92">
        <f t="shared" ref="E180:J180" si="19">SUM(E157:E179)</f>
        <v>514245</v>
      </c>
      <c r="F180" s="92">
        <f t="shared" si="19"/>
        <v>522354.67499999993</v>
      </c>
      <c r="G180" s="92">
        <f t="shared" si="19"/>
        <v>530575.19512499985</v>
      </c>
      <c r="H180" s="92">
        <f t="shared" si="19"/>
        <v>538908.2230518749</v>
      </c>
      <c r="I180" s="92">
        <f t="shared" si="19"/>
        <v>547355.44639765285</v>
      </c>
      <c r="J180" s="92">
        <f t="shared" si="19"/>
        <v>555918.57809361769</v>
      </c>
    </row>
    <row r="181" spans="1:10" x14ac:dyDescent="0.25">
      <c r="A181" s="95"/>
      <c r="D181" s="49" t="s">
        <v>166</v>
      </c>
      <c r="E181" s="50">
        <f>'25-26'!O181</f>
        <v>125691.43818396227</v>
      </c>
      <c r="F181" s="50">
        <f>'26-27'!O181</f>
        <v>136095.78697826085</v>
      </c>
      <c r="G181" s="50">
        <f>'27-28'!O181</f>
        <v>140565.86747692304</v>
      </c>
      <c r="H181" s="50">
        <f>'28-29'!O181</f>
        <v>145512.54377477412</v>
      </c>
      <c r="I181" s="50">
        <f>'29-30'!O181</f>
        <v>150129.35629765582</v>
      </c>
      <c r="J181" s="50">
        <f>'30-31'!O181</f>
        <v>154851.97263608169</v>
      </c>
    </row>
    <row r="182" spans="1:10" x14ac:dyDescent="0.25">
      <c r="A182" s="95"/>
      <c r="D182" s="49" t="s">
        <v>217</v>
      </c>
      <c r="E182" s="50">
        <f>'25-26'!O182</f>
        <v>27449.854316037734</v>
      </c>
      <c r="F182" s="50">
        <f>'26-27'!O182</f>
        <v>21596.50052173913</v>
      </c>
      <c r="G182" s="50">
        <f>'27-28'!O182</f>
        <v>21781.163423076923</v>
      </c>
      <c r="H182" s="50">
        <f>'28-29'!O182</f>
        <v>21595.039403225808</v>
      </c>
      <c r="I182" s="50">
        <f>'29-30'!O182</f>
        <v>21846.686985294116</v>
      </c>
      <c r="J182" s="50">
        <f>'30-31'!O182</f>
        <v>22102.576689189191</v>
      </c>
    </row>
    <row r="183" spans="1:10" x14ac:dyDescent="0.25">
      <c r="A183" s="95"/>
      <c r="D183" s="49" t="s">
        <v>218</v>
      </c>
      <c r="E183" s="50">
        <f>'25-26'!O183</f>
        <v>0</v>
      </c>
      <c r="F183" s="50">
        <f>'26-27'!O183</f>
        <v>0</v>
      </c>
      <c r="G183" s="50">
        <f>'27-28'!O183</f>
        <v>0</v>
      </c>
      <c r="H183" s="50">
        <f>'28-29'!O183</f>
        <v>0</v>
      </c>
      <c r="I183" s="50">
        <f>'29-30'!O183</f>
        <v>0</v>
      </c>
      <c r="J183" s="50">
        <f>'30-31'!O183</f>
        <v>0</v>
      </c>
    </row>
    <row r="184" spans="1:10" x14ac:dyDescent="0.25">
      <c r="A184" s="95"/>
      <c r="D184" s="49" t="s">
        <v>167</v>
      </c>
      <c r="E184" s="50">
        <f>'25-26'!O184</f>
        <v>1837.5</v>
      </c>
      <c r="F184" s="50">
        <f>'26-27'!O184</f>
        <v>1862.5</v>
      </c>
      <c r="G184" s="50">
        <f>'27-28'!O184</f>
        <v>1887.5</v>
      </c>
      <c r="H184" s="50">
        <f>'28-29'!O184</f>
        <v>1912.5</v>
      </c>
      <c r="I184" s="50">
        <f>'29-30'!O184</f>
        <v>1937.5</v>
      </c>
      <c r="J184" s="50">
        <f>'30-31'!O184</f>
        <v>1962.5</v>
      </c>
    </row>
    <row r="185" spans="1:10" x14ac:dyDescent="0.25">
      <c r="A185" s="95"/>
      <c r="D185" s="49" t="s">
        <v>168</v>
      </c>
      <c r="E185" s="50">
        <f>'25-26'!O185</f>
        <v>9275.7000000000007</v>
      </c>
      <c r="F185" s="50">
        <f>'26-27'!O185</f>
        <v>9400.1450000000004</v>
      </c>
      <c r="G185" s="50">
        <f>'27-28'!O185</f>
        <v>9528.1</v>
      </c>
      <c r="H185" s="50">
        <f>'28-29'!O185</f>
        <v>9654.2999999999993</v>
      </c>
      <c r="I185" s="50">
        <f>'29-30'!O185</f>
        <v>9780.5000000000018</v>
      </c>
      <c r="J185" s="50">
        <f>'30-31'!O185</f>
        <v>9906.7000000000007</v>
      </c>
    </row>
    <row r="186" spans="1:10" x14ac:dyDescent="0.25">
      <c r="A186" s="95"/>
      <c r="D186" s="49" t="s">
        <v>169</v>
      </c>
      <c r="E186" s="50">
        <f>'25-26'!O186</f>
        <v>0</v>
      </c>
      <c r="F186" s="50">
        <f>'26-27'!O186</f>
        <v>0</v>
      </c>
      <c r="G186" s="50">
        <f>'27-28'!O186</f>
        <v>0</v>
      </c>
      <c r="H186" s="50">
        <f>'28-29'!O186</f>
        <v>0</v>
      </c>
      <c r="I186" s="50">
        <f>'29-30'!O186</f>
        <v>0</v>
      </c>
      <c r="J186" s="50">
        <f>'30-31'!O186</f>
        <v>0</v>
      </c>
    </row>
    <row r="187" spans="1:10" x14ac:dyDescent="0.25">
      <c r="A187" s="95"/>
      <c r="D187" s="49" t="s">
        <v>170</v>
      </c>
      <c r="E187" s="50">
        <f>'25-26'!O187</f>
        <v>18759.037499999999</v>
      </c>
      <c r="F187" s="50">
        <f>'26-27'!O187</f>
        <v>19299.476437499998</v>
      </c>
      <c r="G187" s="50">
        <f>'27-28'!O187</f>
        <v>19851.907759687496</v>
      </c>
      <c r="H187" s="50">
        <f>'28-29'!O187</f>
        <v>20416.569639342182</v>
      </c>
      <c r="I187" s="50">
        <f>'29-30'!O187</f>
        <v>20993.704696140583</v>
      </c>
      <c r="J187" s="50">
        <f>'30-31'!O187</f>
        <v>21583.560076474078</v>
      </c>
    </row>
    <row r="188" spans="1:10" x14ac:dyDescent="0.25">
      <c r="A188" s="95"/>
      <c r="D188" s="49" t="s">
        <v>171</v>
      </c>
      <c r="E188" s="50">
        <f>'25-26'!O188</f>
        <v>6017.1374999999998</v>
      </c>
      <c r="F188" s="50">
        <f>'26-27'!O188</f>
        <v>6451.7000000000007</v>
      </c>
      <c r="G188" s="50">
        <f>'27-28'!O188</f>
        <v>6810.0999999999995</v>
      </c>
      <c r="H188" s="50">
        <f>'28-29'!O188</f>
        <v>7175.7</v>
      </c>
      <c r="I188" s="50">
        <f>'29-30'!O188</f>
        <v>7548.5</v>
      </c>
      <c r="J188" s="50">
        <f>'30-31'!O188</f>
        <v>7928.5</v>
      </c>
    </row>
    <row r="189" spans="1:10" x14ac:dyDescent="0.25">
      <c r="A189" s="95"/>
      <c r="D189" s="52" t="s">
        <v>174</v>
      </c>
      <c r="E189" s="50">
        <f>'25-26'!O189</f>
        <v>47697.847452830189</v>
      </c>
      <c r="F189" s="50">
        <f>'26-27'!O189</f>
        <v>52683.320347826084</v>
      </c>
      <c r="G189" s="50">
        <f>'27-28'!O189</f>
        <v>55614.84793846152</v>
      </c>
      <c r="H189" s="50">
        <f>'28-29'!O189</f>
        <v>58770.522901548356</v>
      </c>
      <c r="I189" s="50">
        <f>'29-30'!O189</f>
        <v>61847.939534576442</v>
      </c>
      <c r="J189" s="50">
        <f>'30-31'!O189</f>
        <v>65009.529416796577</v>
      </c>
    </row>
    <row r="190" spans="1:10" x14ac:dyDescent="0.25">
      <c r="A190" s="95"/>
      <c r="D190" s="52" t="s">
        <v>220</v>
      </c>
      <c r="E190" s="50">
        <f>'25-26'!O190</f>
        <v>9710.1525471698114</v>
      </c>
      <c r="F190" s="50">
        <f>'26-27'!O190</f>
        <v>7826.9196521739132</v>
      </c>
      <c r="G190" s="50">
        <f>'27-28'!O190</f>
        <v>8077.7824615384625</v>
      </c>
      <c r="H190" s="50">
        <f>'28-29'!O190</f>
        <v>8186.3548064516135</v>
      </c>
      <c r="I190" s="50">
        <f>'29-30'!O190</f>
        <v>8456.7820588235281</v>
      </c>
      <c r="J190" s="50">
        <f>'30-31'!O190</f>
        <v>8728.4060810810806</v>
      </c>
    </row>
    <row r="191" spans="1:10" x14ac:dyDescent="0.25">
      <c r="A191" s="95"/>
      <c r="D191" s="52" t="s">
        <v>221</v>
      </c>
      <c r="E191" s="50">
        <f>'25-26'!O191</f>
        <v>0</v>
      </c>
      <c r="F191" s="50">
        <f>'26-27'!O191</f>
        <v>0</v>
      </c>
      <c r="G191" s="50">
        <f>'27-28'!O191</f>
        <v>0</v>
      </c>
      <c r="H191" s="50">
        <f>'28-29'!O191</f>
        <v>0</v>
      </c>
      <c r="I191" s="50">
        <f>'29-30'!O191</f>
        <v>0</v>
      </c>
      <c r="J191" s="50">
        <f>'30-31'!O191</f>
        <v>0</v>
      </c>
    </row>
    <row r="192" spans="1:10" x14ac:dyDescent="0.25">
      <c r="A192" s="95"/>
      <c r="D192" s="52" t="s">
        <v>175</v>
      </c>
      <c r="E192" s="50">
        <f>'25-26'!O192</f>
        <v>650</v>
      </c>
      <c r="F192" s="50">
        <f>'26-27'!O192</f>
        <v>675</v>
      </c>
      <c r="G192" s="50">
        <f>'27-28'!O192</f>
        <v>700.00000000000011</v>
      </c>
      <c r="H192" s="50">
        <f>'28-29'!O192</f>
        <v>725</v>
      </c>
      <c r="I192" s="50">
        <f>'29-30'!O192</f>
        <v>750</v>
      </c>
      <c r="J192" s="50">
        <f>'30-31'!O192</f>
        <v>775</v>
      </c>
    </row>
    <row r="193" spans="1:10" x14ac:dyDescent="0.25">
      <c r="A193" s="95"/>
      <c r="D193" s="52" t="s">
        <v>176</v>
      </c>
      <c r="E193" s="50">
        <f>'25-26'!O193</f>
        <v>0</v>
      </c>
      <c r="F193" s="50">
        <f>'26-27'!O193</f>
        <v>0</v>
      </c>
      <c r="G193" s="50">
        <f>'27-28'!O193</f>
        <v>0</v>
      </c>
      <c r="H193" s="50">
        <f>'28-29'!O193</f>
        <v>0</v>
      </c>
      <c r="I193" s="50">
        <f>'29-30'!O193</f>
        <v>0</v>
      </c>
      <c r="J193" s="50">
        <f>'30-31'!O193</f>
        <v>0</v>
      </c>
    </row>
    <row r="194" spans="1:10" x14ac:dyDescent="0.25">
      <c r="A194" s="95"/>
      <c r="D194" s="52" t="s">
        <v>177</v>
      </c>
      <c r="E194" s="50">
        <f>'25-26'!O194</f>
        <v>0</v>
      </c>
      <c r="F194" s="50">
        <f>'26-27'!O194</f>
        <v>0</v>
      </c>
      <c r="G194" s="50">
        <f>'27-28'!O194</f>
        <v>0</v>
      </c>
      <c r="H194" s="50">
        <f>'28-29'!O194</f>
        <v>0</v>
      </c>
      <c r="I194" s="50">
        <f>'29-30'!O194</f>
        <v>0</v>
      </c>
      <c r="J194" s="50">
        <f>'30-31'!O194</f>
        <v>0</v>
      </c>
    </row>
    <row r="195" spans="1:10" x14ac:dyDescent="0.25">
      <c r="A195" s="95"/>
      <c r="D195" s="52" t="s">
        <v>178</v>
      </c>
      <c r="E195" s="50">
        <f>'25-26'!O195</f>
        <v>6635.85</v>
      </c>
      <c r="F195" s="50">
        <f>'26-27'!O195</f>
        <v>6994.4411250000003</v>
      </c>
      <c r="G195" s="50">
        <f>'27-28'!O195</f>
        <v>7362.2969174999989</v>
      </c>
      <c r="H195" s="50">
        <f>'28-29'!O195</f>
        <v>7739.6146345218731</v>
      </c>
      <c r="I195" s="50">
        <f>'29-30'!O195</f>
        <v>8126.595366247966</v>
      </c>
      <c r="J195" s="50">
        <f>'30-31'!O195</f>
        <v>8523.4441066330746</v>
      </c>
    </row>
    <row r="196" spans="1:10" x14ac:dyDescent="0.25">
      <c r="A196" s="95"/>
      <c r="D196" s="52" t="s">
        <v>179</v>
      </c>
      <c r="E196" s="50">
        <f>'25-26'!O196</f>
        <v>2112.37</v>
      </c>
      <c r="F196" s="50">
        <f>'26-27'!O196</f>
        <v>2290.8150000000001</v>
      </c>
      <c r="G196" s="50">
        <f>'27-28'!O196</f>
        <v>2476.46</v>
      </c>
      <c r="H196" s="50">
        <f>'28-29'!O196</f>
        <v>2669.3049999999998</v>
      </c>
      <c r="I196" s="50">
        <f>'29-30'!O196</f>
        <v>2869.35</v>
      </c>
      <c r="J196" s="50">
        <f>'30-31'!O196</f>
        <v>3076.5949999999998</v>
      </c>
    </row>
    <row r="197" spans="1:10" x14ac:dyDescent="0.25">
      <c r="D197" s="52" t="s">
        <v>182</v>
      </c>
      <c r="E197" s="50">
        <f>'25-26'!O197</f>
        <v>9500</v>
      </c>
      <c r="F197" s="50">
        <f>'26-27'!O197</f>
        <v>9500</v>
      </c>
      <c r="G197" s="50">
        <f>'27-28'!O197</f>
        <v>9500</v>
      </c>
      <c r="H197" s="50">
        <f>'28-29'!O197</f>
        <v>9500</v>
      </c>
      <c r="I197" s="50">
        <f>'29-30'!O197</f>
        <v>9500</v>
      </c>
      <c r="J197" s="50">
        <f>'30-31'!O197</f>
        <v>9500</v>
      </c>
    </row>
    <row r="198" spans="1:10" x14ac:dyDescent="0.25">
      <c r="D198" s="52" t="s">
        <v>183</v>
      </c>
      <c r="E198" s="50">
        <f>'25-26'!O198</f>
        <v>1500</v>
      </c>
      <c r="F198" s="50">
        <f>'26-27'!O198</f>
        <v>1500</v>
      </c>
      <c r="G198" s="50">
        <f>'27-28'!O198</f>
        <v>1500</v>
      </c>
      <c r="H198" s="50">
        <f>'28-29'!O198</f>
        <v>1500</v>
      </c>
      <c r="I198" s="50">
        <f>'29-30'!O198</f>
        <v>1500</v>
      </c>
      <c r="J198" s="50">
        <f>'30-31'!O198</f>
        <v>1500</v>
      </c>
    </row>
    <row r="199" spans="1:10" x14ac:dyDescent="0.25">
      <c r="D199" s="52" t="s">
        <v>184</v>
      </c>
      <c r="E199" s="50">
        <f>'25-26'!O199</f>
        <v>8100</v>
      </c>
      <c r="F199" s="50">
        <f>'26-27'!O199</f>
        <v>8100</v>
      </c>
      <c r="G199" s="50">
        <f>'27-28'!O199</f>
        <v>8100</v>
      </c>
      <c r="H199" s="50">
        <f>'28-29'!O199</f>
        <v>8100</v>
      </c>
      <c r="I199" s="50">
        <f>'29-30'!O199</f>
        <v>8100</v>
      </c>
      <c r="J199" s="50">
        <f>'30-31'!O199</f>
        <v>8100</v>
      </c>
    </row>
    <row r="200" spans="1:10" x14ac:dyDescent="0.25">
      <c r="D200" s="57" t="s">
        <v>187</v>
      </c>
      <c r="E200" s="50">
        <f>'25-26'!O200</f>
        <v>5000</v>
      </c>
      <c r="F200" s="50">
        <f>'26-27'!O200</f>
        <v>5000</v>
      </c>
      <c r="G200" s="50">
        <f>'27-28'!O200</f>
        <v>5000</v>
      </c>
      <c r="H200" s="50">
        <f>'28-29'!O200</f>
        <v>5000</v>
      </c>
      <c r="I200" s="50">
        <f>'29-30'!O200</f>
        <v>5000</v>
      </c>
      <c r="J200" s="50">
        <f>'30-31'!O200</f>
        <v>5000</v>
      </c>
    </row>
    <row r="201" spans="1:10" x14ac:dyDescent="0.25">
      <c r="C201" s="93" t="s">
        <v>223</v>
      </c>
      <c r="D201" s="94"/>
      <c r="E201" s="92">
        <f t="shared" ref="E201:J201" si="20">SUM(E181:E200)</f>
        <v>279936.88750000007</v>
      </c>
      <c r="F201" s="92">
        <f t="shared" si="20"/>
        <v>289276.60506249999</v>
      </c>
      <c r="G201" s="92">
        <f t="shared" si="20"/>
        <v>298756.02597718744</v>
      </c>
      <c r="H201" s="92">
        <f t="shared" si="20"/>
        <v>308457.45015986398</v>
      </c>
      <c r="I201" s="92">
        <f t="shared" si="20"/>
        <v>318386.91493873845</v>
      </c>
      <c r="J201" s="92">
        <f t="shared" si="20"/>
        <v>328548.78400625562</v>
      </c>
    </row>
    <row r="202" spans="1:10" x14ac:dyDescent="0.25">
      <c r="C202" s="2"/>
      <c r="E202" s="104"/>
      <c r="F202" s="104"/>
      <c r="G202" s="104"/>
      <c r="H202" s="104"/>
      <c r="I202" s="104"/>
      <c r="J202" s="104"/>
    </row>
    <row r="203" spans="1:10" x14ac:dyDescent="0.25">
      <c r="B203" s="100" t="s">
        <v>224</v>
      </c>
      <c r="C203" s="105"/>
      <c r="D203" s="82"/>
      <c r="E203" s="101" t="str">
        <f t="shared" ref="E203:J203" si="21">E20</f>
        <v>25-26 (FY26)</v>
      </c>
      <c r="F203" s="101" t="str">
        <f t="shared" si="21"/>
        <v>26-27 (FY27)</v>
      </c>
      <c r="G203" s="101" t="str">
        <f t="shared" si="21"/>
        <v>27-28 (FY28)</v>
      </c>
      <c r="H203" s="101" t="str">
        <f t="shared" si="21"/>
        <v>28-29 (FY29)</v>
      </c>
      <c r="I203" s="101" t="str">
        <f t="shared" si="21"/>
        <v>29-30 (FY30)</v>
      </c>
      <c r="J203" s="101" t="str">
        <f t="shared" si="21"/>
        <v>30-31 (FY31)</v>
      </c>
    </row>
    <row r="204" spans="1:10" x14ac:dyDescent="0.25">
      <c r="D204" s="107" t="s">
        <v>226</v>
      </c>
      <c r="E204" s="50">
        <f>'25-26'!O204</f>
        <v>33750</v>
      </c>
      <c r="F204" s="50">
        <f>'26-27'!O204</f>
        <v>27025</v>
      </c>
      <c r="G204" s="50">
        <f>'27-28'!O204</f>
        <v>31200</v>
      </c>
      <c r="H204" s="50">
        <f>'28-29'!O204</f>
        <v>37975</v>
      </c>
      <c r="I204" s="50">
        <f>'29-30'!O204</f>
        <v>42500</v>
      </c>
      <c r="J204" s="50">
        <f>'30-31'!O204</f>
        <v>47175</v>
      </c>
    </row>
    <row r="205" spans="1:10" x14ac:dyDescent="0.25">
      <c r="D205" s="107" t="s">
        <v>227</v>
      </c>
      <c r="E205" s="50">
        <f>'25-26'!O205</f>
        <v>0</v>
      </c>
      <c r="F205" s="50">
        <f>'26-27'!O205</f>
        <v>0</v>
      </c>
      <c r="G205" s="50">
        <f>'27-28'!O205</f>
        <v>0</v>
      </c>
      <c r="H205" s="50">
        <f>'28-29'!O205</f>
        <v>0</v>
      </c>
      <c r="I205" s="50">
        <f>'29-30'!O205</f>
        <v>0</v>
      </c>
      <c r="J205" s="50">
        <f>'30-31'!O205</f>
        <v>0</v>
      </c>
    </row>
    <row r="206" spans="1:10" x14ac:dyDescent="0.25">
      <c r="D206" s="109" t="s">
        <v>229</v>
      </c>
      <c r="E206" s="50">
        <f>'25-26'!O206</f>
        <v>0</v>
      </c>
      <c r="F206" s="50">
        <f>'26-27'!O206</f>
        <v>0</v>
      </c>
      <c r="G206" s="50">
        <f>'27-28'!O206</f>
        <v>0</v>
      </c>
      <c r="H206" s="50">
        <f>'28-29'!O206</f>
        <v>0</v>
      </c>
      <c r="I206" s="50">
        <f>'29-30'!O206</f>
        <v>0</v>
      </c>
      <c r="J206" s="50">
        <f>'30-31'!O206</f>
        <v>0</v>
      </c>
    </row>
    <row r="207" spans="1:10" x14ac:dyDescent="0.25">
      <c r="D207" s="110" t="s">
        <v>230</v>
      </c>
      <c r="E207" s="50">
        <f>'25-26'!O207</f>
        <v>0</v>
      </c>
      <c r="F207" s="50">
        <f>'26-27'!O207</f>
        <v>0</v>
      </c>
      <c r="G207" s="50">
        <f>'27-28'!O207</f>
        <v>0</v>
      </c>
      <c r="H207" s="50">
        <f>'28-29'!O207</f>
        <v>0</v>
      </c>
      <c r="I207" s="50">
        <f>'29-30'!O207</f>
        <v>0</v>
      </c>
      <c r="J207" s="50">
        <f>'30-31'!O207</f>
        <v>0</v>
      </c>
    </row>
    <row r="208" spans="1:10" x14ac:dyDescent="0.25">
      <c r="D208" s="110" t="s">
        <v>231</v>
      </c>
      <c r="E208" s="50">
        <f>'25-26'!O208</f>
        <v>6890</v>
      </c>
      <c r="F208" s="50">
        <f>'26-27'!O208</f>
        <v>7475</v>
      </c>
      <c r="G208" s="50">
        <f>'27-28'!O208</f>
        <v>8450</v>
      </c>
      <c r="H208" s="50">
        <f>'28-29'!O208</f>
        <v>10075</v>
      </c>
      <c r="I208" s="50">
        <f>'29-30'!O208</f>
        <v>11050</v>
      </c>
      <c r="J208" s="50">
        <f>'30-31'!O208</f>
        <v>12025</v>
      </c>
    </row>
    <row r="209" spans="2:10" x14ac:dyDescent="0.25">
      <c r="D209" s="110" t="s">
        <v>232</v>
      </c>
      <c r="E209" s="50">
        <f>'25-26'!O209</f>
        <v>0</v>
      </c>
      <c r="F209" s="50">
        <f>'26-27'!O209</f>
        <v>0</v>
      </c>
      <c r="G209" s="50">
        <f>'27-28'!O209</f>
        <v>0</v>
      </c>
      <c r="H209" s="50">
        <f>'28-29'!O209</f>
        <v>0</v>
      </c>
      <c r="I209" s="50">
        <f>'29-30'!O209</f>
        <v>0</v>
      </c>
      <c r="J209" s="50">
        <f>'30-31'!O209</f>
        <v>0</v>
      </c>
    </row>
    <row r="210" spans="2:10" x14ac:dyDescent="0.25">
      <c r="D210" s="110" t="s">
        <v>233</v>
      </c>
      <c r="E210" s="50">
        <f>'25-26'!O210</f>
        <v>742</v>
      </c>
      <c r="F210" s="50">
        <f>'26-27'!O210</f>
        <v>805</v>
      </c>
      <c r="G210" s="50">
        <f>'27-28'!O210</f>
        <v>910</v>
      </c>
      <c r="H210" s="50">
        <f>'28-29'!O210</f>
        <v>1085</v>
      </c>
      <c r="I210" s="50">
        <f>'29-30'!O210</f>
        <v>1190</v>
      </c>
      <c r="J210" s="50">
        <f>'30-31'!O210</f>
        <v>1295</v>
      </c>
    </row>
    <row r="211" spans="2:10" x14ac:dyDescent="0.25">
      <c r="D211" s="112" t="s">
        <v>234</v>
      </c>
      <c r="E211" s="50">
        <f>'25-26'!O211</f>
        <v>1575</v>
      </c>
      <c r="F211" s="50">
        <f>'26-27'!O211</f>
        <v>2100</v>
      </c>
      <c r="G211" s="50">
        <f>'27-28'!O211</f>
        <v>2450</v>
      </c>
      <c r="H211" s="50">
        <f>'28-29'!O211</f>
        <v>2975</v>
      </c>
      <c r="I211" s="50">
        <f>'29-30'!O211</f>
        <v>3325</v>
      </c>
      <c r="J211" s="50">
        <f>'30-31'!O211</f>
        <v>3675</v>
      </c>
    </row>
    <row r="212" spans="2:10" x14ac:dyDescent="0.25">
      <c r="C212" s="93" t="s">
        <v>47</v>
      </c>
      <c r="D212" s="113"/>
      <c r="E212" s="92">
        <f t="shared" ref="E212:J212" si="22">SUM(E204:E211)</f>
        <v>42957</v>
      </c>
      <c r="F212" s="92">
        <f t="shared" si="22"/>
        <v>37405</v>
      </c>
      <c r="G212" s="92">
        <f t="shared" si="22"/>
        <v>43010</v>
      </c>
      <c r="H212" s="92">
        <f t="shared" si="22"/>
        <v>52110</v>
      </c>
      <c r="I212" s="92">
        <f t="shared" si="22"/>
        <v>58065</v>
      </c>
      <c r="J212" s="92">
        <f t="shared" si="22"/>
        <v>64170</v>
      </c>
    </row>
    <row r="213" spans="2:10" x14ac:dyDescent="0.25">
      <c r="E213" s="99"/>
      <c r="F213" s="99"/>
      <c r="G213" s="99"/>
      <c r="H213" s="99"/>
      <c r="I213" s="99"/>
      <c r="J213" s="99"/>
    </row>
    <row r="214" spans="2:10" x14ac:dyDescent="0.25">
      <c r="B214" s="100" t="s">
        <v>235</v>
      </c>
      <c r="C214" s="105"/>
      <c r="D214" s="82"/>
      <c r="E214" s="101" t="str">
        <f t="shared" ref="E214:J214" si="23">E20</f>
        <v>25-26 (FY26)</v>
      </c>
      <c r="F214" s="101" t="str">
        <f t="shared" si="23"/>
        <v>26-27 (FY27)</v>
      </c>
      <c r="G214" s="101" t="str">
        <f t="shared" si="23"/>
        <v>27-28 (FY28)</v>
      </c>
      <c r="H214" s="101" t="str">
        <f t="shared" si="23"/>
        <v>28-29 (FY29)</v>
      </c>
      <c r="I214" s="101" t="str">
        <f t="shared" si="23"/>
        <v>29-30 (FY30)</v>
      </c>
      <c r="J214" s="101" t="str">
        <f t="shared" si="23"/>
        <v>30-31 (FY31)</v>
      </c>
    </row>
    <row r="215" spans="2:10" x14ac:dyDescent="0.25">
      <c r="D215" s="114" t="s">
        <v>237</v>
      </c>
      <c r="E215" s="50">
        <f>'25-26'!O215</f>
        <v>3180</v>
      </c>
      <c r="F215" s="50">
        <f>'26-27'!O215</f>
        <v>3450</v>
      </c>
      <c r="G215" s="50">
        <f>'27-28'!O215</f>
        <v>3900</v>
      </c>
      <c r="H215" s="50">
        <f>'28-29'!O215</f>
        <v>4650</v>
      </c>
      <c r="I215" s="50">
        <f>'29-30'!O215</f>
        <v>5100</v>
      </c>
      <c r="J215" s="50">
        <f>'30-31'!O215</f>
        <v>5550</v>
      </c>
    </row>
    <row r="216" spans="2:10" x14ac:dyDescent="0.25">
      <c r="D216" s="114" t="s">
        <v>238</v>
      </c>
      <c r="E216" s="50">
        <f>'25-26'!O216</f>
        <v>0</v>
      </c>
      <c r="F216" s="50">
        <f>'26-27'!O216</f>
        <v>0</v>
      </c>
      <c r="G216" s="50">
        <f>'27-28'!O216</f>
        <v>0</v>
      </c>
      <c r="H216" s="50">
        <f>'28-29'!O216</f>
        <v>0</v>
      </c>
      <c r="I216" s="50">
        <f>'29-30'!O216</f>
        <v>0</v>
      </c>
      <c r="J216" s="50">
        <f>'30-31'!O216</f>
        <v>0</v>
      </c>
    </row>
    <row r="217" spans="2:10" x14ac:dyDescent="0.25">
      <c r="D217" s="110" t="s">
        <v>233</v>
      </c>
      <c r="E217" s="50">
        <f>'25-26'!O217</f>
        <v>318</v>
      </c>
      <c r="F217" s="50">
        <f>'26-27'!O217</f>
        <v>345</v>
      </c>
      <c r="G217" s="50">
        <f>'27-28'!O217</f>
        <v>390</v>
      </c>
      <c r="H217" s="50">
        <f>'28-29'!O217</f>
        <v>465</v>
      </c>
      <c r="I217" s="50">
        <f>'29-30'!O217</f>
        <v>510</v>
      </c>
      <c r="J217" s="50">
        <f>'30-31'!O217</f>
        <v>555</v>
      </c>
    </row>
    <row r="218" spans="2:10" x14ac:dyDescent="0.25">
      <c r="D218" s="110" t="s">
        <v>239</v>
      </c>
      <c r="E218" s="50">
        <f>'25-26'!O218</f>
        <v>848</v>
      </c>
      <c r="F218" s="50">
        <f>'26-27'!O218</f>
        <v>920</v>
      </c>
      <c r="G218" s="50">
        <f>'27-28'!O218</f>
        <v>1040</v>
      </c>
      <c r="H218" s="50">
        <f>'28-29'!O218</f>
        <v>1240</v>
      </c>
      <c r="I218" s="50">
        <f>'29-30'!O218</f>
        <v>1360</v>
      </c>
      <c r="J218" s="50">
        <f>'30-31'!O218</f>
        <v>1480</v>
      </c>
    </row>
    <row r="219" spans="2:10" x14ac:dyDescent="0.25">
      <c r="D219" s="110" t="s">
        <v>241</v>
      </c>
      <c r="E219" s="50">
        <f>'25-26'!O219</f>
        <v>0</v>
      </c>
      <c r="F219" s="50">
        <f>'26-27'!O219</f>
        <v>0</v>
      </c>
      <c r="G219" s="50">
        <f>'27-28'!O219</f>
        <v>0</v>
      </c>
      <c r="H219" s="50">
        <f>'28-29'!O219</f>
        <v>0</v>
      </c>
      <c r="I219" s="50">
        <f>'29-30'!O219</f>
        <v>0</v>
      </c>
      <c r="J219" s="50">
        <f>'30-31'!O219</f>
        <v>0</v>
      </c>
    </row>
    <row r="220" spans="2:10" x14ac:dyDescent="0.25">
      <c r="D220" s="112" t="s">
        <v>243</v>
      </c>
      <c r="E220" s="50">
        <f>'25-26'!O220</f>
        <v>4770</v>
      </c>
      <c r="F220" s="50">
        <f>'26-27'!O220</f>
        <v>5175</v>
      </c>
      <c r="G220" s="50">
        <f>'27-28'!O220</f>
        <v>5850</v>
      </c>
      <c r="H220" s="50">
        <f>'28-29'!O220</f>
        <v>6975</v>
      </c>
      <c r="I220" s="50">
        <f>'29-30'!O220</f>
        <v>7650</v>
      </c>
      <c r="J220" s="50">
        <f>'30-31'!O220</f>
        <v>8325</v>
      </c>
    </row>
    <row r="221" spans="2:10" x14ac:dyDescent="0.25">
      <c r="C221" s="93" t="s">
        <v>47</v>
      </c>
      <c r="D221" s="113"/>
      <c r="E221" s="92">
        <f t="shared" ref="E221:J221" si="24">SUM(E215:E220)</f>
        <v>9116</v>
      </c>
      <c r="F221" s="92">
        <f t="shared" si="24"/>
        <v>9890</v>
      </c>
      <c r="G221" s="92">
        <f t="shared" si="24"/>
        <v>11180</v>
      </c>
      <c r="H221" s="92">
        <f t="shared" si="24"/>
        <v>13330</v>
      </c>
      <c r="I221" s="92">
        <f t="shared" si="24"/>
        <v>14620</v>
      </c>
      <c r="J221" s="92">
        <f t="shared" si="24"/>
        <v>15910</v>
      </c>
    </row>
    <row r="222" spans="2:10" x14ac:dyDescent="0.25">
      <c r="E222" s="99"/>
      <c r="F222" s="99"/>
      <c r="G222" s="99"/>
      <c r="H222" s="99"/>
      <c r="I222" s="99"/>
      <c r="J222" s="99"/>
    </row>
    <row r="223" spans="2:10" x14ac:dyDescent="0.25">
      <c r="B223" s="100" t="s">
        <v>244</v>
      </c>
      <c r="C223" s="105"/>
      <c r="D223" s="82"/>
      <c r="E223" s="101" t="str">
        <f t="shared" ref="E223:J223" si="25">E20</f>
        <v>25-26 (FY26)</v>
      </c>
      <c r="F223" s="101" t="str">
        <f t="shared" si="25"/>
        <v>26-27 (FY27)</v>
      </c>
      <c r="G223" s="101" t="str">
        <f t="shared" si="25"/>
        <v>27-28 (FY28)</v>
      </c>
      <c r="H223" s="101" t="str">
        <f t="shared" si="25"/>
        <v>28-29 (FY29)</v>
      </c>
      <c r="I223" s="101" t="str">
        <f t="shared" si="25"/>
        <v>29-30 (FY30)</v>
      </c>
      <c r="J223" s="101" t="str">
        <f t="shared" si="25"/>
        <v>30-31 (FY31)</v>
      </c>
    </row>
    <row r="224" spans="2:10" x14ac:dyDescent="0.25">
      <c r="D224" s="114" t="s">
        <v>247</v>
      </c>
      <c r="E224" s="50">
        <f>'25-26'!O224</f>
        <v>10000</v>
      </c>
      <c r="F224" s="50">
        <f>'26-27'!O224</f>
        <v>10000</v>
      </c>
      <c r="G224" s="50">
        <f>'27-28'!O224</f>
        <v>10000</v>
      </c>
      <c r="H224" s="50">
        <f>'28-29'!O224</f>
        <v>10000</v>
      </c>
      <c r="I224" s="50">
        <f>'29-30'!O224</f>
        <v>10000</v>
      </c>
      <c r="J224" s="50">
        <f>'30-31'!O224</f>
        <v>10000</v>
      </c>
    </row>
    <row r="225" spans="2:10" x14ac:dyDescent="0.25">
      <c r="D225" s="114" t="s">
        <v>248</v>
      </c>
      <c r="E225" s="50">
        <f>'25-26'!O225</f>
        <v>0</v>
      </c>
      <c r="F225" s="50">
        <f>'26-27'!O225</f>
        <v>0</v>
      </c>
      <c r="G225" s="50">
        <f>'27-28'!O225</f>
        <v>0</v>
      </c>
      <c r="H225" s="50">
        <f>'28-29'!O225</f>
        <v>0</v>
      </c>
      <c r="I225" s="50">
        <f>'29-30'!O225</f>
        <v>0</v>
      </c>
      <c r="J225" s="50">
        <f>'30-31'!O225</f>
        <v>0</v>
      </c>
    </row>
    <row r="226" spans="2:10" x14ac:dyDescent="0.25">
      <c r="D226" s="110" t="s">
        <v>249</v>
      </c>
      <c r="E226" s="50">
        <f>'25-26'!O226</f>
        <v>45050</v>
      </c>
      <c r="F226" s="50">
        <f>'26-27'!O226</f>
        <v>48875</v>
      </c>
      <c r="G226" s="50">
        <f>'27-28'!O226</f>
        <v>55250</v>
      </c>
      <c r="H226" s="50">
        <f>'28-29'!O226</f>
        <v>65875</v>
      </c>
      <c r="I226" s="50">
        <f>'29-30'!O226</f>
        <v>72250</v>
      </c>
      <c r="J226" s="50">
        <f>'30-31'!O226</f>
        <v>78625</v>
      </c>
    </row>
    <row r="227" spans="2:10" x14ac:dyDescent="0.25">
      <c r="D227" s="110" t="s">
        <v>250</v>
      </c>
      <c r="E227" s="50">
        <f>'25-26'!O227</f>
        <v>18315</v>
      </c>
      <c r="F227" s="50">
        <f>'26-27'!O227</f>
        <v>18315</v>
      </c>
      <c r="G227" s="50">
        <f>'27-28'!O227</f>
        <v>18315</v>
      </c>
      <c r="H227" s="50">
        <f>'28-29'!O227</f>
        <v>18315</v>
      </c>
      <c r="I227" s="50">
        <f>'29-30'!O227</f>
        <v>18315</v>
      </c>
      <c r="J227" s="50">
        <f>'30-31'!O227</f>
        <v>18315</v>
      </c>
    </row>
    <row r="228" spans="2:10" x14ac:dyDescent="0.25">
      <c r="D228" s="110" t="s">
        <v>251</v>
      </c>
      <c r="E228" s="50">
        <f>'25-26'!O228</f>
        <v>0</v>
      </c>
      <c r="F228" s="50">
        <f>'26-27'!O228</f>
        <v>0</v>
      </c>
      <c r="G228" s="50">
        <f>'27-28'!O228</f>
        <v>0</v>
      </c>
      <c r="H228" s="50">
        <f>'28-29'!O228</f>
        <v>0</v>
      </c>
      <c r="I228" s="50">
        <f>'29-30'!O228</f>
        <v>0</v>
      </c>
      <c r="J228" s="50">
        <f>'30-31'!O228</f>
        <v>0</v>
      </c>
    </row>
    <row r="229" spans="2:10" x14ac:dyDescent="0.25">
      <c r="D229" s="110" t="s">
        <v>252</v>
      </c>
      <c r="E229" s="50">
        <f>'25-26'!O229</f>
        <v>80000</v>
      </c>
      <c r="F229" s="50">
        <f>'26-27'!O229</f>
        <v>80000</v>
      </c>
      <c r="G229" s="50">
        <f>'27-28'!O229</f>
        <v>80000</v>
      </c>
      <c r="H229" s="50">
        <f>'28-29'!O229</f>
        <v>80000</v>
      </c>
      <c r="I229" s="50">
        <f>'29-30'!O229</f>
        <v>80000</v>
      </c>
      <c r="J229" s="50">
        <f>'30-31'!O229</f>
        <v>80000</v>
      </c>
    </row>
    <row r="230" spans="2:10" x14ac:dyDescent="0.25">
      <c r="D230" s="110" t="s">
        <v>255</v>
      </c>
      <c r="E230" s="50">
        <f>'25-26'!O230</f>
        <v>0</v>
      </c>
      <c r="F230" s="50">
        <f>'26-27'!O230</f>
        <v>0</v>
      </c>
      <c r="G230" s="50">
        <f>'27-28'!O230</f>
        <v>0</v>
      </c>
      <c r="H230" s="50">
        <f>'28-29'!O230</f>
        <v>0</v>
      </c>
      <c r="I230" s="50">
        <f>'29-30'!O230</f>
        <v>0</v>
      </c>
      <c r="J230" s="50">
        <f>'30-31'!O230</f>
        <v>0</v>
      </c>
    </row>
    <row r="231" spans="2:10" x14ac:dyDescent="0.25">
      <c r="D231" s="110" t="s">
        <v>258</v>
      </c>
      <c r="E231" s="50">
        <f>'25-26'!O231</f>
        <v>0</v>
      </c>
      <c r="F231" s="50">
        <f>'26-27'!O231</f>
        <v>0</v>
      </c>
      <c r="G231" s="50">
        <f>'27-28'!O231</f>
        <v>0</v>
      </c>
      <c r="H231" s="50">
        <f>'28-29'!O231</f>
        <v>0</v>
      </c>
      <c r="I231" s="50">
        <f>'29-30'!O231</f>
        <v>0</v>
      </c>
      <c r="J231" s="50">
        <f>'30-31'!O231</f>
        <v>0</v>
      </c>
    </row>
    <row r="232" spans="2:10" x14ac:dyDescent="0.25">
      <c r="D232" s="112" t="s">
        <v>259</v>
      </c>
      <c r="E232" s="50">
        <f>'25-26'!O232</f>
        <v>12386.07</v>
      </c>
      <c r="F232" s="50">
        <f>'26-27'!O232</f>
        <v>12850.04</v>
      </c>
      <c r="G232" s="50">
        <f>'27-28'!O232</f>
        <v>13653.79</v>
      </c>
      <c r="H232" s="50">
        <f>'28-29'!O232</f>
        <v>14969.665000000001</v>
      </c>
      <c r="I232" s="50">
        <f>'29-30'!O232</f>
        <v>15826.74</v>
      </c>
      <c r="J232" s="50">
        <f>'30-31'!O232</f>
        <v>16708.489999999998</v>
      </c>
    </row>
    <row r="233" spans="2:10" x14ac:dyDescent="0.25">
      <c r="C233" s="115" t="s">
        <v>47</v>
      </c>
      <c r="D233" s="113"/>
      <c r="E233" s="92">
        <f t="shared" ref="E233:J233" si="26">SUM(E224:E232)</f>
        <v>165751.07</v>
      </c>
      <c r="F233" s="92">
        <f t="shared" si="26"/>
        <v>170040.04</v>
      </c>
      <c r="G233" s="92">
        <f t="shared" si="26"/>
        <v>177218.79</v>
      </c>
      <c r="H233" s="92">
        <f t="shared" si="26"/>
        <v>189159.66500000001</v>
      </c>
      <c r="I233" s="92">
        <f t="shared" si="26"/>
        <v>196391.74</v>
      </c>
      <c r="J233" s="92">
        <f t="shared" si="26"/>
        <v>203648.49</v>
      </c>
    </row>
    <row r="234" spans="2:10" x14ac:dyDescent="0.25">
      <c r="C234" s="116"/>
      <c r="E234" s="99"/>
      <c r="F234" s="99"/>
      <c r="G234" s="99"/>
      <c r="H234" s="99"/>
      <c r="I234" s="99"/>
      <c r="J234" s="99"/>
    </row>
    <row r="235" spans="2:10" x14ac:dyDescent="0.25">
      <c r="B235" s="100" t="s">
        <v>260</v>
      </c>
      <c r="C235" s="105"/>
      <c r="D235" s="82"/>
      <c r="E235" s="101" t="str">
        <f t="shared" ref="E235:J235" si="27">E20</f>
        <v>25-26 (FY26)</v>
      </c>
      <c r="F235" s="101" t="str">
        <f t="shared" si="27"/>
        <v>26-27 (FY27)</v>
      </c>
      <c r="G235" s="101" t="str">
        <f t="shared" si="27"/>
        <v>27-28 (FY28)</v>
      </c>
      <c r="H235" s="101" t="str">
        <f t="shared" si="27"/>
        <v>28-29 (FY29)</v>
      </c>
      <c r="I235" s="101" t="str">
        <f t="shared" si="27"/>
        <v>29-30 (FY30)</v>
      </c>
      <c r="J235" s="101" t="str">
        <f t="shared" si="27"/>
        <v>30-31 (FY31)</v>
      </c>
    </row>
    <row r="236" spans="2:10" x14ac:dyDescent="0.25">
      <c r="D236" s="114" t="s">
        <v>247</v>
      </c>
      <c r="E236" s="50">
        <f>'25-26'!O236</f>
        <v>50000</v>
      </c>
      <c r="F236" s="50">
        <f>'26-27'!O236</f>
        <v>50000</v>
      </c>
      <c r="G236" s="50">
        <f>'27-28'!O236</f>
        <v>50000</v>
      </c>
      <c r="H236" s="50">
        <f>'28-29'!O236</f>
        <v>50000</v>
      </c>
      <c r="I236" s="50">
        <f>'29-30'!O236</f>
        <v>50000</v>
      </c>
      <c r="J236" s="50">
        <f>'30-31'!O236</f>
        <v>50000</v>
      </c>
    </row>
    <row r="237" spans="2:10" x14ac:dyDescent="0.25">
      <c r="D237" s="110" t="s">
        <v>262</v>
      </c>
      <c r="E237" s="50">
        <f>'25-26'!O237</f>
        <v>0</v>
      </c>
      <c r="F237" s="50">
        <f>'26-27'!O237</f>
        <v>0</v>
      </c>
      <c r="G237" s="50">
        <f>'27-28'!O237</f>
        <v>0</v>
      </c>
      <c r="H237" s="50">
        <f>'28-29'!O237</f>
        <v>0</v>
      </c>
      <c r="I237" s="50">
        <f>'29-30'!O237</f>
        <v>0</v>
      </c>
      <c r="J237" s="50">
        <f>'30-31'!O237</f>
        <v>0</v>
      </c>
    </row>
    <row r="238" spans="2:10" x14ac:dyDescent="0.25">
      <c r="D238" s="110" t="s">
        <v>263</v>
      </c>
      <c r="E238" s="50">
        <f>'25-26'!O238</f>
        <v>52470</v>
      </c>
      <c r="F238" s="50">
        <f>'26-27'!O238</f>
        <v>57346.245000000003</v>
      </c>
      <c r="G238" s="50">
        <f>'27-28'!O238</f>
        <v>65798.582849999992</v>
      </c>
      <c r="H238" s="50">
        <f>'28-29'!O238</f>
        <v>79628.938822124983</v>
      </c>
      <c r="I238" s="50">
        <f>'29-30'!O238</f>
        <v>88644.989637146224</v>
      </c>
      <c r="J238" s="50">
        <f>'30-31'!O238</f>
        <v>97913.605465383123</v>
      </c>
    </row>
    <row r="239" spans="2:10" x14ac:dyDescent="0.25">
      <c r="D239" s="110" t="s">
        <v>264</v>
      </c>
      <c r="E239" s="50">
        <f>'25-26'!O239</f>
        <v>6813</v>
      </c>
      <c r="F239" s="50">
        <f>'26-27'!O239</f>
        <v>6813</v>
      </c>
      <c r="G239" s="50">
        <f>'27-28'!O239</f>
        <v>6813</v>
      </c>
      <c r="H239" s="50">
        <f>'28-29'!O239</f>
        <v>6813</v>
      </c>
      <c r="I239" s="50">
        <f>'29-30'!O239</f>
        <v>6813</v>
      </c>
      <c r="J239" s="50">
        <f>'30-31'!O239</f>
        <v>6813</v>
      </c>
    </row>
    <row r="240" spans="2:10" x14ac:dyDescent="0.25">
      <c r="D240" s="110" t="s">
        <v>265</v>
      </c>
      <c r="E240" s="50">
        <f>'25-26'!O240</f>
        <v>33000</v>
      </c>
      <c r="F240" s="50">
        <f>'26-27'!O240</f>
        <v>33000</v>
      </c>
      <c r="G240" s="50">
        <f>'27-28'!O240</f>
        <v>33000</v>
      </c>
      <c r="H240" s="50">
        <f>'28-29'!O240</f>
        <v>33000</v>
      </c>
      <c r="I240" s="50">
        <f>'29-30'!O240</f>
        <v>33000</v>
      </c>
      <c r="J240" s="50">
        <f>'30-31'!O240</f>
        <v>33000</v>
      </c>
    </row>
    <row r="241" spans="2:10" x14ac:dyDescent="0.25">
      <c r="D241" s="110" t="s">
        <v>267</v>
      </c>
      <c r="E241" s="50">
        <f>'25-26'!O241</f>
        <v>12500</v>
      </c>
      <c r="F241" s="50">
        <f>'26-27'!O241</f>
        <v>12500</v>
      </c>
      <c r="G241" s="50">
        <f>'27-28'!O241</f>
        <v>12500</v>
      </c>
      <c r="H241" s="50">
        <f>'28-29'!O241</f>
        <v>12500</v>
      </c>
      <c r="I241" s="50">
        <f>'29-30'!O241</f>
        <v>12500</v>
      </c>
      <c r="J241" s="50">
        <f>'30-31'!O241</f>
        <v>12500</v>
      </c>
    </row>
    <row r="242" spans="2:10" x14ac:dyDescent="0.25">
      <c r="D242" s="110" t="s">
        <v>269</v>
      </c>
      <c r="E242" s="50">
        <f>'25-26'!O242</f>
        <v>5808</v>
      </c>
      <c r="F242" s="50">
        <f>'26-27'!O242</f>
        <v>6240</v>
      </c>
      <c r="G242" s="50">
        <f>'27-28'!O242</f>
        <v>6960</v>
      </c>
      <c r="H242" s="50">
        <f>'28-29'!O242</f>
        <v>8160</v>
      </c>
      <c r="I242" s="50">
        <f>'29-30'!O242</f>
        <v>8880</v>
      </c>
      <c r="J242" s="50">
        <f>'30-31'!O242</f>
        <v>9600</v>
      </c>
    </row>
    <row r="243" spans="2:10" x14ac:dyDescent="0.25">
      <c r="D243" s="110" t="s">
        <v>270</v>
      </c>
      <c r="E243" s="50">
        <f>'25-26'!O243</f>
        <v>15000</v>
      </c>
      <c r="F243" s="50">
        <f>'26-27'!O243</f>
        <v>15000</v>
      </c>
      <c r="G243" s="50">
        <f>'27-28'!O243</f>
        <v>15000</v>
      </c>
      <c r="H243" s="50">
        <f>'28-29'!O243</f>
        <v>15000</v>
      </c>
      <c r="I243" s="50">
        <f>'29-30'!O243</f>
        <v>15000</v>
      </c>
      <c r="J243" s="50">
        <f>'30-31'!O243</f>
        <v>15000</v>
      </c>
    </row>
    <row r="244" spans="2:10" x14ac:dyDescent="0.25">
      <c r="D244" s="112" t="s">
        <v>273</v>
      </c>
      <c r="E244" s="50">
        <f>'25-26'!O244</f>
        <v>3790.8700000000008</v>
      </c>
      <c r="F244" s="50">
        <f>'26-27'!O244</f>
        <v>4950.7950000000001</v>
      </c>
      <c r="G244" s="50">
        <f>'27-28'!O244</f>
        <v>6960.17</v>
      </c>
      <c r="H244" s="50">
        <f>'28-29'!O244</f>
        <v>10249.8575</v>
      </c>
      <c r="I244" s="50">
        <f>'29-30'!O244</f>
        <v>12392.545</v>
      </c>
      <c r="J244" s="50">
        <f>'30-31'!O244</f>
        <v>14596.92</v>
      </c>
    </row>
    <row r="245" spans="2:10" x14ac:dyDescent="0.25">
      <c r="C245" s="93" t="s">
        <v>47</v>
      </c>
      <c r="D245" s="113"/>
      <c r="E245" s="92">
        <f t="shared" ref="E245:J245" si="28">SUM(E236:E244)</f>
        <v>179381.87</v>
      </c>
      <c r="F245" s="92">
        <f t="shared" si="28"/>
        <v>185850.04</v>
      </c>
      <c r="G245" s="92">
        <f t="shared" si="28"/>
        <v>197031.75285000002</v>
      </c>
      <c r="H245" s="92">
        <f t="shared" si="28"/>
        <v>215351.79632212498</v>
      </c>
      <c r="I245" s="92">
        <f t="shared" si="28"/>
        <v>227230.53463714625</v>
      </c>
      <c r="J245" s="92">
        <f t="shared" si="28"/>
        <v>239423.52546538314</v>
      </c>
    </row>
    <row r="246" spans="2:10" x14ac:dyDescent="0.25">
      <c r="E246" s="99"/>
      <c r="F246" s="99"/>
      <c r="G246" s="99"/>
      <c r="H246" s="99"/>
      <c r="I246" s="99"/>
      <c r="J246" s="99"/>
    </row>
    <row r="247" spans="2:10" x14ac:dyDescent="0.25">
      <c r="B247" s="100" t="s">
        <v>274</v>
      </c>
      <c r="C247" s="105"/>
      <c r="D247" s="82"/>
      <c r="E247" s="101" t="str">
        <f t="shared" ref="E247:J247" si="29">E20</f>
        <v>25-26 (FY26)</v>
      </c>
      <c r="F247" s="101" t="str">
        <f t="shared" si="29"/>
        <v>26-27 (FY27)</v>
      </c>
      <c r="G247" s="101" t="str">
        <f t="shared" si="29"/>
        <v>27-28 (FY28)</v>
      </c>
      <c r="H247" s="101" t="str">
        <f t="shared" si="29"/>
        <v>28-29 (FY29)</v>
      </c>
      <c r="I247" s="101" t="str">
        <f t="shared" si="29"/>
        <v>29-30 (FY30)</v>
      </c>
      <c r="J247" s="101" t="str">
        <f t="shared" si="29"/>
        <v>30-31 (FY31)</v>
      </c>
    </row>
    <row r="248" spans="2:10" x14ac:dyDescent="0.25">
      <c r="D248" s="114" t="s">
        <v>276</v>
      </c>
      <c r="E248" s="50">
        <f>'25-26'!O248</f>
        <v>3045</v>
      </c>
      <c r="F248" s="50">
        <f>'26-27'!O248</f>
        <v>3136.35</v>
      </c>
      <c r="G248" s="50">
        <f>'27-28'!O248</f>
        <v>3230.4405000000002</v>
      </c>
      <c r="H248" s="50">
        <f>'28-29'!O248</f>
        <v>3327.3537150000002</v>
      </c>
      <c r="I248" s="50">
        <f>'29-30'!O248</f>
        <v>3427.1743264500001</v>
      </c>
      <c r="J248" s="50">
        <f>'30-31'!O248</f>
        <v>3529.9895562435004</v>
      </c>
    </row>
    <row r="249" spans="2:10" x14ac:dyDescent="0.25">
      <c r="D249" s="114" t="s">
        <v>279</v>
      </c>
      <c r="E249" s="50">
        <f>'25-26'!O249</f>
        <v>4053</v>
      </c>
      <c r="F249" s="50">
        <f>'26-27'!O249</f>
        <v>4174.59</v>
      </c>
      <c r="G249" s="50">
        <f>'27-28'!O249</f>
        <v>4299.8276999999998</v>
      </c>
      <c r="H249" s="50">
        <f>'28-29'!O249</f>
        <v>4428.8225309999998</v>
      </c>
      <c r="I249" s="50">
        <f>'29-30'!O249</f>
        <v>4561.6872069299998</v>
      </c>
      <c r="J249" s="50">
        <f>'30-31'!O249</f>
        <v>4698.5378231379</v>
      </c>
    </row>
    <row r="250" spans="2:10" x14ac:dyDescent="0.25">
      <c r="D250" s="110" t="s">
        <v>281</v>
      </c>
      <c r="E250" s="50">
        <f>'25-26'!O250</f>
        <v>2000</v>
      </c>
      <c r="F250" s="50">
        <f>'26-27'!O250</f>
        <v>2000</v>
      </c>
      <c r="G250" s="50">
        <f>'27-28'!O250</f>
        <v>2000</v>
      </c>
      <c r="H250" s="50">
        <f>'28-29'!O250</f>
        <v>2000</v>
      </c>
      <c r="I250" s="50">
        <f>'29-30'!O250</f>
        <v>2000</v>
      </c>
      <c r="J250" s="50">
        <f>'30-31'!O250</f>
        <v>2000</v>
      </c>
    </row>
    <row r="251" spans="2:10" x14ac:dyDescent="0.25">
      <c r="D251" s="110" t="s">
        <v>282</v>
      </c>
      <c r="E251" s="50">
        <f>'25-26'!O251</f>
        <v>5500</v>
      </c>
      <c r="F251" s="50">
        <f>'26-27'!O251</f>
        <v>5500</v>
      </c>
      <c r="G251" s="50">
        <f>'27-28'!O251</f>
        <v>5500</v>
      </c>
      <c r="H251" s="50">
        <f>'28-29'!O251</f>
        <v>5500</v>
      </c>
      <c r="I251" s="50">
        <f>'29-30'!O251</f>
        <v>5500</v>
      </c>
      <c r="J251" s="50">
        <f>'30-31'!O251</f>
        <v>5500</v>
      </c>
    </row>
    <row r="252" spans="2:10" x14ac:dyDescent="0.25">
      <c r="D252" s="110" t="s">
        <v>284</v>
      </c>
      <c r="E252" s="50">
        <f>'25-26'!O252</f>
        <v>13200</v>
      </c>
      <c r="F252" s="50">
        <f>'26-27'!O252</f>
        <v>13596</v>
      </c>
      <c r="G252" s="50">
        <f>'27-28'!O252</f>
        <v>14003.880000000001</v>
      </c>
      <c r="H252" s="50">
        <f>'28-29'!O252</f>
        <v>14423.996400000002</v>
      </c>
      <c r="I252" s="50">
        <f>'29-30'!O252</f>
        <v>14856.716292000003</v>
      </c>
      <c r="J252" s="50">
        <f>'30-31'!O252</f>
        <v>15302.417780760003</v>
      </c>
    </row>
    <row r="253" spans="2:10" x14ac:dyDescent="0.25">
      <c r="D253" s="110" t="s">
        <v>286</v>
      </c>
      <c r="E253" s="50">
        <f>'25-26'!O253</f>
        <v>7961.1</v>
      </c>
      <c r="F253" s="50">
        <f>'26-27'!O253</f>
        <v>8000.25</v>
      </c>
      <c r="G253" s="50">
        <f>'27-28'!O253</f>
        <v>8065.5</v>
      </c>
      <c r="H253" s="50">
        <f>'28-29'!O253</f>
        <v>8174.25</v>
      </c>
      <c r="I253" s="50">
        <f>'29-30'!O253</f>
        <v>8239.5</v>
      </c>
      <c r="J253" s="50">
        <f>'30-31'!O253</f>
        <v>8304.75</v>
      </c>
    </row>
    <row r="254" spans="2:10" x14ac:dyDescent="0.25">
      <c r="D254" s="110" t="s">
        <v>288</v>
      </c>
      <c r="E254" s="50">
        <f>'25-26'!O254</f>
        <v>36850</v>
      </c>
      <c r="F254" s="50">
        <f>'26-27'!O254</f>
        <v>40535</v>
      </c>
      <c r="G254" s="50">
        <f>'27-28'!O254</f>
        <v>44588.5</v>
      </c>
      <c r="H254" s="50">
        <f>'28-29'!O254</f>
        <v>49047.350000000006</v>
      </c>
      <c r="I254" s="50">
        <f>'29-30'!O254</f>
        <v>53952.085000000014</v>
      </c>
      <c r="J254" s="50">
        <f>'30-31'!O254</f>
        <v>59347.293500000022</v>
      </c>
    </row>
    <row r="255" spans="2:10" x14ac:dyDescent="0.25">
      <c r="D255" s="110" t="s">
        <v>290</v>
      </c>
      <c r="E255" s="50">
        <f>'25-26'!O255</f>
        <v>18000</v>
      </c>
      <c r="F255" s="50">
        <f>'26-27'!O255</f>
        <v>18270</v>
      </c>
      <c r="G255" s="50">
        <f>'27-28'!O255</f>
        <v>18544.05</v>
      </c>
      <c r="H255" s="50">
        <f>'28-29'!O255</f>
        <v>18822.210749999998</v>
      </c>
      <c r="I255" s="50">
        <f>'29-30'!O255</f>
        <v>19104.543911249995</v>
      </c>
      <c r="J255" s="50">
        <f>'30-31'!O255</f>
        <v>19391.112069918745</v>
      </c>
    </row>
    <row r="256" spans="2:10" x14ac:dyDescent="0.25">
      <c r="D256" s="110" t="s">
        <v>291</v>
      </c>
      <c r="E256" s="50">
        <f>'25-26'!O256</f>
        <v>41688</v>
      </c>
      <c r="F256" s="50">
        <f>'26-27'!O256</f>
        <v>42313.319999999992</v>
      </c>
      <c r="G256" s="50">
        <f>'27-28'!O256</f>
        <v>42948.019799999987</v>
      </c>
      <c r="H256" s="50">
        <f>'28-29'!O256</f>
        <v>43592.24009699998</v>
      </c>
      <c r="I256" s="50">
        <f>'29-30'!O256</f>
        <v>44246.123698454976</v>
      </c>
      <c r="J256" s="50">
        <f>'30-31'!O256</f>
        <v>44909.815553931796</v>
      </c>
    </row>
    <row r="257" spans="2:17" x14ac:dyDescent="0.25">
      <c r="D257" s="110" t="s">
        <v>294</v>
      </c>
      <c r="E257" s="50">
        <f>'25-26'!O257</f>
        <v>30000</v>
      </c>
      <c r="F257" s="50">
        <f>'26-27'!O257</f>
        <v>30000</v>
      </c>
      <c r="G257" s="50">
        <f>'27-28'!O257</f>
        <v>30000</v>
      </c>
      <c r="H257" s="50">
        <f>'28-29'!O257</f>
        <v>30000</v>
      </c>
      <c r="I257" s="50">
        <f>'29-30'!O257</f>
        <v>30000</v>
      </c>
      <c r="J257" s="50">
        <f>'30-31'!O257</f>
        <v>30000</v>
      </c>
    </row>
    <row r="258" spans="2:17" x14ac:dyDescent="0.25">
      <c r="D258" s="110" t="s">
        <v>296</v>
      </c>
      <c r="E258" s="50">
        <f>'25-26'!O258</f>
        <v>7831</v>
      </c>
      <c r="F258" s="50">
        <f>'26-27'!O258</f>
        <v>7831</v>
      </c>
      <c r="G258" s="50">
        <f>'27-28'!O258</f>
        <v>7831</v>
      </c>
      <c r="H258" s="50">
        <f>'28-29'!O258</f>
        <v>7831</v>
      </c>
      <c r="I258" s="50">
        <f>'29-30'!O258</f>
        <v>7831</v>
      </c>
      <c r="J258" s="50">
        <f>'30-31'!O258</f>
        <v>7831</v>
      </c>
    </row>
    <row r="259" spans="2:17" x14ac:dyDescent="0.25">
      <c r="D259" s="110" t="s">
        <v>298</v>
      </c>
      <c r="E259" s="50">
        <f>'25-26'!O259</f>
        <v>900</v>
      </c>
      <c r="F259" s="50">
        <f>'26-27'!O259</f>
        <v>900</v>
      </c>
      <c r="G259" s="50">
        <f>'27-28'!O259</f>
        <v>900</v>
      </c>
      <c r="H259" s="50">
        <f>'28-29'!O259</f>
        <v>900</v>
      </c>
      <c r="I259" s="50">
        <f>'29-30'!O259</f>
        <v>900</v>
      </c>
      <c r="J259" s="50">
        <f>'30-31'!O259</f>
        <v>900</v>
      </c>
    </row>
    <row r="260" spans="2:17" x14ac:dyDescent="0.25">
      <c r="D260" s="110" t="s">
        <v>301</v>
      </c>
      <c r="E260" s="50">
        <f>'25-26'!O260</f>
        <v>3136</v>
      </c>
      <c r="F260" s="50">
        <f>'26-27'!O260</f>
        <v>3190</v>
      </c>
      <c r="G260" s="50">
        <f>'27-28'!O260</f>
        <v>3280</v>
      </c>
      <c r="H260" s="50">
        <f>'28-29'!O260</f>
        <v>3430</v>
      </c>
      <c r="I260" s="50">
        <f>'29-30'!O260</f>
        <v>3520</v>
      </c>
      <c r="J260" s="50">
        <f>'30-31'!O260</f>
        <v>3610</v>
      </c>
    </row>
    <row r="261" spans="2:17" x14ac:dyDescent="0.25">
      <c r="D261" s="110" t="s">
        <v>303</v>
      </c>
      <c r="E261" s="50">
        <f>'25-26'!O261</f>
        <v>0</v>
      </c>
      <c r="F261" s="50">
        <f>'26-27'!O261</f>
        <v>0</v>
      </c>
      <c r="G261" s="50">
        <f>'27-28'!O261</f>
        <v>0</v>
      </c>
      <c r="H261" s="50">
        <f>'28-29'!O261</f>
        <v>0</v>
      </c>
      <c r="I261" s="50">
        <f>'29-30'!O261</f>
        <v>0</v>
      </c>
      <c r="J261" s="50">
        <f>'30-31'!O261</f>
        <v>0</v>
      </c>
    </row>
    <row r="262" spans="2:17" x14ac:dyDescent="0.25">
      <c r="D262" s="110" t="s">
        <v>306</v>
      </c>
      <c r="E262" s="50">
        <f>'25-26'!O262</f>
        <v>0</v>
      </c>
      <c r="F262" s="50">
        <f>'26-27'!O262</f>
        <v>0</v>
      </c>
      <c r="G262" s="50">
        <f>'27-28'!O262</f>
        <v>0</v>
      </c>
      <c r="H262" s="50">
        <f>'28-29'!O262</f>
        <v>0</v>
      </c>
      <c r="I262" s="50">
        <f>'29-30'!O262</f>
        <v>0</v>
      </c>
      <c r="J262" s="50">
        <f>'30-31'!O262</f>
        <v>0</v>
      </c>
    </row>
    <row r="263" spans="2:17" x14ac:dyDescent="0.25">
      <c r="D263" s="110" t="s">
        <v>309</v>
      </c>
      <c r="E263" s="50">
        <f>'25-26'!O263</f>
        <v>0</v>
      </c>
      <c r="F263" s="50">
        <f>'26-27'!O263</f>
        <v>0</v>
      </c>
      <c r="G263" s="50">
        <f>'27-28'!O263</f>
        <v>0</v>
      </c>
      <c r="H263" s="50">
        <f>'28-29'!O263</f>
        <v>0</v>
      </c>
      <c r="I263" s="50">
        <f>'29-30'!O263</f>
        <v>0</v>
      </c>
      <c r="J263" s="50">
        <f>'30-31'!O263</f>
        <v>0</v>
      </c>
    </row>
    <row r="264" spans="2:17" x14ac:dyDescent="0.25">
      <c r="D264" s="110" t="s">
        <v>310</v>
      </c>
      <c r="E264" s="50">
        <f>'25-26'!O264</f>
        <v>0</v>
      </c>
      <c r="F264" s="50">
        <f>'26-27'!O264</f>
        <v>0</v>
      </c>
      <c r="G264" s="50">
        <f>'27-28'!O264</f>
        <v>0</v>
      </c>
      <c r="H264" s="50">
        <f>'28-29'!O264</f>
        <v>0</v>
      </c>
      <c r="I264" s="50">
        <f>'29-30'!O264</f>
        <v>0</v>
      </c>
      <c r="J264" s="50">
        <f>'30-31'!O264</f>
        <v>0</v>
      </c>
    </row>
    <row r="265" spans="2:17" x14ac:dyDescent="0.25">
      <c r="D265" s="112" t="s">
        <v>313</v>
      </c>
      <c r="E265" s="50">
        <f>'25-26'!O265</f>
        <v>0</v>
      </c>
      <c r="F265" s="50">
        <f>'26-27'!O265</f>
        <v>0</v>
      </c>
      <c r="G265" s="50">
        <f>'27-28'!O265</f>
        <v>0</v>
      </c>
      <c r="H265" s="50">
        <f>'28-29'!O265</f>
        <v>0</v>
      </c>
      <c r="I265" s="50">
        <f>'29-30'!O265</f>
        <v>0</v>
      </c>
      <c r="J265" s="50">
        <f>'30-31'!O265</f>
        <v>0</v>
      </c>
      <c r="L265" s="161">
        <f>E265/E68</f>
        <v>0</v>
      </c>
      <c r="M265" s="161">
        <f t="shared" ref="M265:Q265" si="30">F265/F68</f>
        <v>0</v>
      </c>
      <c r="N265" s="161">
        <f t="shared" si="30"/>
        <v>0</v>
      </c>
      <c r="O265" s="161">
        <f t="shared" si="30"/>
        <v>0</v>
      </c>
      <c r="P265" s="161">
        <f t="shared" si="30"/>
        <v>0</v>
      </c>
      <c r="Q265" s="161">
        <f t="shared" si="30"/>
        <v>0</v>
      </c>
    </row>
    <row r="266" spans="2:17" x14ac:dyDescent="0.25">
      <c r="C266" s="93" t="s">
        <v>47</v>
      </c>
      <c r="D266" s="113"/>
      <c r="E266" s="92">
        <f t="shared" ref="E266:J266" si="31">SUM(E248:E265)</f>
        <v>174164.1</v>
      </c>
      <c r="F266" s="92">
        <f t="shared" si="31"/>
        <v>179446.51</v>
      </c>
      <c r="G266" s="92">
        <f t="shared" si="31"/>
        <v>185191.21799999999</v>
      </c>
      <c r="H266" s="92">
        <f t="shared" si="31"/>
        <v>191477.22349299997</v>
      </c>
      <c r="I266" s="92">
        <f t="shared" si="31"/>
        <v>198138.83043508499</v>
      </c>
      <c r="J266" s="92">
        <f t="shared" si="31"/>
        <v>205324.91628399194</v>
      </c>
    </row>
    <row r="267" spans="2:17" x14ac:dyDescent="0.25">
      <c r="E267" s="99"/>
      <c r="F267" s="99"/>
      <c r="G267" s="99"/>
      <c r="H267" s="99"/>
      <c r="I267" s="99"/>
      <c r="J267" s="99"/>
    </row>
    <row r="268" spans="2:17" x14ac:dyDescent="0.25">
      <c r="B268" s="100" t="s">
        <v>314</v>
      </c>
      <c r="C268" s="105"/>
      <c r="D268" s="82"/>
      <c r="E268" s="101" t="str">
        <f t="shared" ref="E268:J268" si="32">E20</f>
        <v>25-26 (FY26)</v>
      </c>
      <c r="F268" s="101" t="str">
        <f t="shared" si="32"/>
        <v>26-27 (FY27)</v>
      </c>
      <c r="G268" s="101" t="str">
        <f t="shared" si="32"/>
        <v>27-28 (FY28)</v>
      </c>
      <c r="H268" s="101" t="str">
        <f t="shared" si="32"/>
        <v>28-29 (FY29)</v>
      </c>
      <c r="I268" s="101" t="str">
        <f t="shared" si="32"/>
        <v>29-30 (FY30)</v>
      </c>
      <c r="J268" s="101" t="str">
        <f t="shared" si="32"/>
        <v>30-31 (FY31)</v>
      </c>
    </row>
    <row r="269" spans="2:17" x14ac:dyDescent="0.25">
      <c r="D269" s="114" t="s">
        <v>316</v>
      </c>
      <c r="E269" s="50">
        <f>'25-26'!O269</f>
        <v>44600</v>
      </c>
      <c r="F269" s="50">
        <f>'26-27'!O269</f>
        <v>45938</v>
      </c>
      <c r="G269" s="50">
        <f>'27-28'!O269</f>
        <v>47316.14</v>
      </c>
      <c r="H269" s="50">
        <f>'28-29'!O269</f>
        <v>48735.624199999998</v>
      </c>
      <c r="I269" s="50">
        <f>'29-30'!O269</f>
        <v>50197.692925999996</v>
      </c>
      <c r="J269" s="50">
        <f>'30-31'!O269</f>
        <v>51703.623713779998</v>
      </c>
    </row>
    <row r="270" spans="2:17" x14ac:dyDescent="0.25">
      <c r="D270" s="110" t="s">
        <v>318</v>
      </c>
      <c r="E270" s="50">
        <f>'25-26'!O270</f>
        <v>1800</v>
      </c>
      <c r="F270" s="50">
        <f>'26-27'!O270</f>
        <v>1854</v>
      </c>
      <c r="G270" s="50">
        <f>'27-28'!O270</f>
        <v>1909.6200000000001</v>
      </c>
      <c r="H270" s="50">
        <f>'28-29'!O270</f>
        <v>1966.9086000000002</v>
      </c>
      <c r="I270" s="50">
        <f>'29-30'!O270</f>
        <v>2025.9158580000003</v>
      </c>
      <c r="J270" s="50">
        <f>'30-31'!O270</f>
        <v>2086.6933337400005</v>
      </c>
    </row>
    <row r="271" spans="2:17" x14ac:dyDescent="0.25">
      <c r="D271" s="110" t="s">
        <v>320</v>
      </c>
      <c r="E271" s="50">
        <f>'25-26'!O271</f>
        <v>10600</v>
      </c>
      <c r="F271" s="50">
        <f>'26-27'!O271</f>
        <v>10918</v>
      </c>
      <c r="G271" s="50">
        <f>'27-28'!O271</f>
        <v>11245.54</v>
      </c>
      <c r="H271" s="50">
        <f>'28-29'!O271</f>
        <v>11582.906200000001</v>
      </c>
      <c r="I271" s="50">
        <f>'29-30'!O271</f>
        <v>11930.393386000002</v>
      </c>
      <c r="J271" s="50">
        <f>'30-31'!O271</f>
        <v>12288.305187580001</v>
      </c>
    </row>
    <row r="272" spans="2:17" x14ac:dyDescent="0.25">
      <c r="D272" s="110" t="s">
        <v>322</v>
      </c>
      <c r="E272" s="50">
        <f>'25-26'!O272</f>
        <v>4000</v>
      </c>
      <c r="F272" s="50">
        <f>'26-27'!O272</f>
        <v>4120</v>
      </c>
      <c r="G272" s="50">
        <f>'27-28'!O272</f>
        <v>4243.6000000000004</v>
      </c>
      <c r="H272" s="50">
        <f>'28-29'!O272</f>
        <v>4370.9080000000004</v>
      </c>
      <c r="I272" s="50">
        <f>'29-30'!O272</f>
        <v>4502.0352400000002</v>
      </c>
      <c r="J272" s="50">
        <f>'30-31'!O272</f>
        <v>4637.0962972000007</v>
      </c>
    </row>
    <row r="273" spans="2:10" x14ac:dyDescent="0.25">
      <c r="D273" s="110" t="s">
        <v>325</v>
      </c>
      <c r="E273" s="50">
        <f>'25-26'!O273</f>
        <v>1000</v>
      </c>
      <c r="F273" s="50">
        <f>'26-27'!O273</f>
        <v>1030</v>
      </c>
      <c r="G273" s="50">
        <f>'27-28'!O273</f>
        <v>1060.9000000000001</v>
      </c>
      <c r="H273" s="50">
        <f>'28-29'!O273</f>
        <v>1092.7270000000001</v>
      </c>
      <c r="I273" s="50">
        <f>'29-30'!O273</f>
        <v>1125.50881</v>
      </c>
      <c r="J273" s="50">
        <f>'30-31'!O273</f>
        <v>1159.2740743000002</v>
      </c>
    </row>
    <row r="274" spans="2:10" x14ac:dyDescent="0.25">
      <c r="D274" s="110" t="s">
        <v>327</v>
      </c>
      <c r="E274" s="50">
        <f>'25-26'!O274</f>
        <v>13450</v>
      </c>
      <c r="F274" s="50">
        <f>'26-27'!O274</f>
        <v>13853.5</v>
      </c>
      <c r="G274" s="50">
        <f>'27-28'!O274</f>
        <v>14269.105</v>
      </c>
      <c r="H274" s="50">
        <f>'28-29'!O274</f>
        <v>14697.17815</v>
      </c>
      <c r="I274" s="50">
        <f>'29-30'!O274</f>
        <v>15138.093494500001</v>
      </c>
      <c r="J274" s="50">
        <f>'30-31'!O274</f>
        <v>15592.236299335002</v>
      </c>
    </row>
    <row r="275" spans="2:10" x14ac:dyDescent="0.25">
      <c r="D275" s="110" t="s">
        <v>329</v>
      </c>
      <c r="E275" s="50">
        <f>'25-26'!O275</f>
        <v>30000</v>
      </c>
      <c r="F275" s="50">
        <f>'26-27'!O275</f>
        <v>30000</v>
      </c>
      <c r="G275" s="50">
        <f>'27-28'!O275</f>
        <v>30000</v>
      </c>
      <c r="H275" s="50">
        <f>'28-29'!O275</f>
        <v>30000</v>
      </c>
      <c r="I275" s="50">
        <f>'29-30'!O275</f>
        <v>30000</v>
      </c>
      <c r="J275" s="50">
        <f>'30-31'!O275</f>
        <v>30000</v>
      </c>
    </row>
    <row r="276" spans="2:10" x14ac:dyDescent="0.25">
      <c r="D276" s="110" t="s">
        <v>331</v>
      </c>
      <c r="E276" s="50">
        <f>'25-26'!O276</f>
        <v>0</v>
      </c>
      <c r="F276" s="50">
        <f>'26-27'!O276</f>
        <v>0</v>
      </c>
      <c r="G276" s="50">
        <f>'27-28'!O276</f>
        <v>0</v>
      </c>
      <c r="H276" s="50">
        <f>'28-29'!O276</f>
        <v>0</v>
      </c>
      <c r="I276" s="50">
        <f>'29-30'!O276</f>
        <v>0</v>
      </c>
      <c r="J276" s="50">
        <f>'30-31'!O276</f>
        <v>0</v>
      </c>
    </row>
    <row r="277" spans="2:10" x14ac:dyDescent="0.25">
      <c r="D277" s="110" t="s">
        <v>333</v>
      </c>
      <c r="E277" s="50">
        <f>'25-26'!O277</f>
        <v>0</v>
      </c>
      <c r="F277" s="50">
        <f>'26-27'!O277</f>
        <v>0</v>
      </c>
      <c r="G277" s="50">
        <f>'27-28'!O277</f>
        <v>0</v>
      </c>
      <c r="H277" s="50">
        <f>'28-29'!O277</f>
        <v>0</v>
      </c>
      <c r="I277" s="50">
        <f>'29-30'!O277</f>
        <v>0</v>
      </c>
      <c r="J277" s="50">
        <f>'30-31'!O277</f>
        <v>0</v>
      </c>
    </row>
    <row r="278" spans="2:10" x14ac:dyDescent="0.25">
      <c r="D278" s="110" t="s">
        <v>334</v>
      </c>
      <c r="E278" s="50">
        <f>'25-26'!O278</f>
        <v>0</v>
      </c>
      <c r="F278" s="50">
        <f>'26-27'!O278</f>
        <v>0</v>
      </c>
      <c r="G278" s="50">
        <f>'27-28'!O278</f>
        <v>0</v>
      </c>
      <c r="H278" s="50">
        <f>'28-29'!O278</f>
        <v>0</v>
      </c>
      <c r="I278" s="50">
        <f>'29-30'!O278</f>
        <v>0</v>
      </c>
      <c r="J278" s="50">
        <f>'30-31'!O278</f>
        <v>0</v>
      </c>
    </row>
    <row r="279" spans="2:10" x14ac:dyDescent="0.25">
      <c r="D279" s="112" t="s">
        <v>335</v>
      </c>
      <c r="E279" s="50">
        <f>'25-26'!O279</f>
        <v>11000</v>
      </c>
      <c r="F279" s="50">
        <f>'26-27'!O279</f>
        <v>11000</v>
      </c>
      <c r="G279" s="50">
        <f>'27-28'!O279</f>
        <v>11000</v>
      </c>
      <c r="H279" s="50">
        <f>'28-29'!O279</f>
        <v>11000</v>
      </c>
      <c r="I279" s="50">
        <f>'29-30'!O279</f>
        <v>11000</v>
      </c>
      <c r="J279" s="50">
        <f>'30-31'!O279</f>
        <v>11000</v>
      </c>
    </row>
    <row r="280" spans="2:10" x14ac:dyDescent="0.25">
      <c r="C280" s="93" t="s">
        <v>47</v>
      </c>
      <c r="D280" s="113"/>
      <c r="E280" s="92">
        <f t="shared" ref="E280:J280" si="33">SUM(E269:E279)</f>
        <v>116450</v>
      </c>
      <c r="F280" s="92">
        <f t="shared" si="33"/>
        <v>118713.5</v>
      </c>
      <c r="G280" s="92">
        <f t="shared" si="33"/>
        <v>121044.905</v>
      </c>
      <c r="H280" s="92">
        <f t="shared" si="33"/>
        <v>123446.25214999999</v>
      </c>
      <c r="I280" s="92">
        <f t="shared" si="33"/>
        <v>125919.63971450001</v>
      </c>
      <c r="J280" s="92">
        <f t="shared" si="33"/>
        <v>128467.228905935</v>
      </c>
    </row>
    <row r="281" spans="2:10" ht="16.5" thickBot="1" x14ac:dyDescent="0.3">
      <c r="E281" s="99"/>
      <c r="F281" s="99"/>
      <c r="G281" s="99"/>
      <c r="H281" s="99"/>
      <c r="I281" s="99"/>
      <c r="J281" s="99"/>
    </row>
    <row r="282" spans="2:10" ht="16.149999999999999" customHeight="1" thickBot="1" x14ac:dyDescent="0.3">
      <c r="B282" s="182" t="s">
        <v>336</v>
      </c>
      <c r="C282" s="183"/>
      <c r="D282" s="184"/>
      <c r="E282" s="119">
        <f t="shared" ref="E282:J282" si="34">E280+E266+E245+E233+E221+E212+E201+E180+E153+E134</f>
        <v>2154138.1775000002</v>
      </c>
      <c r="F282" s="119">
        <f t="shared" si="34"/>
        <v>1992951.3013125001</v>
      </c>
      <c r="G282" s="119">
        <f t="shared" si="34"/>
        <v>2054308.1657959374</v>
      </c>
      <c r="H282" s="119">
        <f t="shared" si="34"/>
        <v>2133069.0995576447</v>
      </c>
      <c r="I282" s="119">
        <f t="shared" si="34"/>
        <v>2196715.9426607057</v>
      </c>
      <c r="J282" s="119">
        <f t="shared" si="34"/>
        <v>2263920.1400166205</v>
      </c>
    </row>
    <row r="283" spans="2:10" ht="16.5" thickBot="1" x14ac:dyDescent="0.3">
      <c r="E283" s="99"/>
      <c r="F283" s="99"/>
      <c r="G283" s="99"/>
      <c r="H283" s="99"/>
      <c r="I283" s="99"/>
      <c r="J283" s="99"/>
    </row>
    <row r="284" spans="2:10" ht="16.5" thickBot="1" x14ac:dyDescent="0.3">
      <c r="B284" s="69" t="s">
        <v>337</v>
      </c>
      <c r="C284" s="120"/>
      <c r="D284" s="121"/>
      <c r="E284" s="122"/>
      <c r="F284" s="122"/>
      <c r="G284" s="122"/>
      <c r="H284" s="122"/>
      <c r="I284" s="122"/>
      <c r="J284" s="122"/>
    </row>
    <row r="285" spans="2:10" x14ac:dyDescent="0.25">
      <c r="D285" s="124" t="s">
        <v>338</v>
      </c>
      <c r="E285" s="50">
        <f>'25-26'!O285</f>
        <v>53000</v>
      </c>
      <c r="F285" s="50">
        <f>'26-27'!O285</f>
        <v>57500</v>
      </c>
      <c r="G285" s="50">
        <f>'27-28'!O285</f>
        <v>65000</v>
      </c>
      <c r="H285" s="50">
        <f>'28-29'!O285</f>
        <v>77500</v>
      </c>
      <c r="I285" s="50">
        <f>'29-30'!O285</f>
        <v>85000</v>
      </c>
      <c r="J285" s="50">
        <f>'30-31'!O285</f>
        <v>92500</v>
      </c>
    </row>
    <row r="286" spans="2:10" x14ac:dyDescent="0.25">
      <c r="D286" s="127" t="s">
        <v>339</v>
      </c>
      <c r="E286" s="50">
        <f>'25-26'!O286</f>
        <v>0</v>
      </c>
      <c r="F286" s="50">
        <f>'26-27'!O286</f>
        <v>0</v>
      </c>
      <c r="G286" s="50">
        <f>'27-28'!O286</f>
        <v>0</v>
      </c>
      <c r="H286" s="50">
        <f>'28-29'!O286</f>
        <v>0</v>
      </c>
      <c r="I286" s="50">
        <f>'29-30'!O286</f>
        <v>0</v>
      </c>
      <c r="J286" s="50">
        <f>'30-31'!O286</f>
        <v>0</v>
      </c>
    </row>
    <row r="287" spans="2:10" x14ac:dyDescent="0.25">
      <c r="D287" s="127" t="s">
        <v>341</v>
      </c>
      <c r="E287" s="50">
        <f>'25-26'!O287</f>
        <v>0</v>
      </c>
      <c r="F287" s="50">
        <f>'26-27'!O287</f>
        <v>0</v>
      </c>
      <c r="G287" s="50">
        <f>'27-28'!O287</f>
        <v>0</v>
      </c>
      <c r="H287" s="50">
        <f>'28-29'!O287</f>
        <v>0</v>
      </c>
      <c r="I287" s="50">
        <f>'29-30'!O287</f>
        <v>0</v>
      </c>
      <c r="J287" s="50">
        <f>'30-31'!O287</f>
        <v>0</v>
      </c>
    </row>
    <row r="288" spans="2:10" x14ac:dyDescent="0.25">
      <c r="D288" s="129" t="s">
        <v>342</v>
      </c>
      <c r="E288" s="50">
        <f>'25-26'!O288</f>
        <v>0</v>
      </c>
      <c r="F288" s="50">
        <f>'26-27'!O288</f>
        <v>0</v>
      </c>
      <c r="G288" s="50">
        <f>'27-28'!O288</f>
        <v>0</v>
      </c>
      <c r="H288" s="50">
        <f>'28-29'!O288</f>
        <v>0</v>
      </c>
      <c r="I288" s="50">
        <f>'29-30'!O288</f>
        <v>0</v>
      </c>
      <c r="J288" s="50">
        <f>'30-31'!O288</f>
        <v>0</v>
      </c>
    </row>
    <row r="289" spans="2:10" x14ac:dyDescent="0.25">
      <c r="B289" s="2"/>
      <c r="C289" s="93" t="s">
        <v>343</v>
      </c>
      <c r="D289" s="94"/>
      <c r="E289" s="92">
        <f t="shared" ref="E289:J289" si="35">SUM(E285:E288)</f>
        <v>53000</v>
      </c>
      <c r="F289" s="92">
        <f t="shared" si="35"/>
        <v>57500</v>
      </c>
      <c r="G289" s="92">
        <f t="shared" si="35"/>
        <v>65000</v>
      </c>
      <c r="H289" s="92">
        <f t="shared" si="35"/>
        <v>77500</v>
      </c>
      <c r="I289" s="92">
        <f t="shared" si="35"/>
        <v>85000</v>
      </c>
      <c r="J289" s="92">
        <f t="shared" si="35"/>
        <v>92500</v>
      </c>
    </row>
    <row r="290" spans="2:10" ht="16.5" thickBot="1" x14ac:dyDescent="0.3">
      <c r="E290" s="99"/>
      <c r="F290" s="99"/>
      <c r="G290" s="99"/>
      <c r="H290" s="99"/>
      <c r="I290" s="99"/>
      <c r="J290" s="99"/>
    </row>
    <row r="291" spans="2:10" ht="16.5" thickBot="1" x14ac:dyDescent="0.3">
      <c r="B291" s="133" t="s">
        <v>344</v>
      </c>
      <c r="C291" s="134"/>
      <c r="D291" s="135"/>
      <c r="E291" s="136">
        <f t="shared" ref="E291:J291" si="36">(E83+E89)-(E289+E282)</f>
        <v>-2.5974120944738388E-5</v>
      </c>
      <c r="F291" s="136">
        <f t="shared" si="36"/>
        <v>-0.31121379882097244</v>
      </c>
      <c r="G291" s="136">
        <f t="shared" si="36"/>
        <v>0.17538588121533394</v>
      </c>
      <c r="H291" s="136">
        <f t="shared" si="36"/>
        <v>6.4214848913252354E-2</v>
      </c>
      <c r="I291" s="136">
        <f t="shared" si="36"/>
        <v>-0.15420060511678457</v>
      </c>
      <c r="J291" s="136">
        <f t="shared" si="36"/>
        <v>65946.269401154015</v>
      </c>
    </row>
    <row r="292" spans="2:10" x14ac:dyDescent="0.25">
      <c r="E292" s="99"/>
      <c r="F292" s="99"/>
      <c r="G292" s="99"/>
      <c r="H292" s="99"/>
      <c r="I292" s="99"/>
      <c r="J292" s="99"/>
    </row>
    <row r="293" spans="2:10" x14ac:dyDescent="0.25">
      <c r="D293" s="17" t="str">
        <f>D1</f>
        <v>Young Women's Academy of Las Vegas</v>
      </c>
      <c r="E293" s="137" t="str">
        <f t="shared" ref="E293:J293" si="37">E20</f>
        <v>25-26 (FY26)</v>
      </c>
      <c r="F293" s="137" t="str">
        <f t="shared" si="37"/>
        <v>26-27 (FY27)</v>
      </c>
      <c r="G293" s="137" t="str">
        <f t="shared" si="37"/>
        <v>27-28 (FY28)</v>
      </c>
      <c r="H293" s="137" t="str">
        <f t="shared" si="37"/>
        <v>28-29 (FY29)</v>
      </c>
      <c r="I293" s="137" t="str">
        <f t="shared" si="37"/>
        <v>29-30 (FY30)</v>
      </c>
      <c r="J293" s="137" t="str">
        <f t="shared" si="37"/>
        <v>30-31 (FY31)</v>
      </c>
    </row>
    <row r="294" spans="2:10" x14ac:dyDescent="0.25">
      <c r="D294" s="17"/>
      <c r="E294" s="137"/>
      <c r="F294" s="137"/>
      <c r="G294" s="137"/>
      <c r="H294" s="137"/>
      <c r="I294" s="137"/>
      <c r="J294" s="137"/>
    </row>
    <row r="295" spans="2:10" x14ac:dyDescent="0.25">
      <c r="E295" s="99" t="b">
        <f>E291='25-26'!O291</f>
        <v>1</v>
      </c>
      <c r="F295" s="99" t="b">
        <f>F291='26-27'!O291</f>
        <v>1</v>
      </c>
      <c r="G295" s="99" t="b">
        <f>G291='27-28'!O291</f>
        <v>1</v>
      </c>
      <c r="H295" s="99" t="b">
        <f>H291='28-29'!O291</f>
        <v>1</v>
      </c>
      <c r="I295" s="99" t="b">
        <f>I291='29-30'!O291</f>
        <v>1</v>
      </c>
      <c r="J295" s="99" t="b">
        <f>J291='30-31'!O291</f>
        <v>1</v>
      </c>
    </row>
    <row r="296" spans="2:10" x14ac:dyDescent="0.25">
      <c r="E296" s="99"/>
      <c r="F296" s="99"/>
      <c r="G296" s="99"/>
      <c r="H296" s="99"/>
      <c r="I296" s="99"/>
      <c r="J296" s="99"/>
    </row>
    <row r="297" spans="2:10" x14ac:dyDescent="0.25">
      <c r="D297" s="105" t="s">
        <v>391</v>
      </c>
      <c r="E297" s="162">
        <f>E83+E89-E282+E265</f>
        <v>52999.999974025879</v>
      </c>
      <c r="F297" s="162">
        <f t="shared" ref="F297:J297" si="38">F83+F89-F282+F265</f>
        <v>57499.688786201179</v>
      </c>
      <c r="G297" s="162">
        <f t="shared" si="38"/>
        <v>65000.175385880983</v>
      </c>
      <c r="H297" s="162">
        <f t="shared" si="38"/>
        <v>77500.064214848913</v>
      </c>
      <c r="I297" s="162">
        <f t="shared" si="38"/>
        <v>84999.845799394883</v>
      </c>
      <c r="J297" s="162">
        <f t="shared" si="38"/>
        <v>158446.26940115402</v>
      </c>
    </row>
    <row r="298" spans="2:10" x14ac:dyDescent="0.25">
      <c r="D298" s="1"/>
      <c r="E298" s="138"/>
    </row>
    <row r="299" spans="2:10" x14ac:dyDescent="0.25">
      <c r="D299" s="2" t="str">
        <f>D285</f>
        <v>Scheduled Lease Payment</v>
      </c>
      <c r="E299" s="163">
        <f>E285</f>
        <v>53000</v>
      </c>
      <c r="F299" s="163">
        <f t="shared" ref="F299:J301" si="39">F285</f>
        <v>57500</v>
      </c>
      <c r="G299" s="163">
        <f t="shared" si="39"/>
        <v>65000</v>
      </c>
      <c r="H299" s="163">
        <f t="shared" si="39"/>
        <v>77500</v>
      </c>
      <c r="I299" s="163">
        <f t="shared" si="39"/>
        <v>85000</v>
      </c>
      <c r="J299" s="163">
        <f t="shared" si="39"/>
        <v>92500</v>
      </c>
    </row>
    <row r="300" spans="2:10" x14ac:dyDescent="0.25">
      <c r="D300" s="2" t="str">
        <f t="shared" ref="D300:E301" si="40">D286</f>
        <v>Scheduled Bond Payment - Principal</v>
      </c>
      <c r="E300" s="163">
        <f t="shared" si="40"/>
        <v>0</v>
      </c>
      <c r="F300" s="163">
        <f t="shared" si="39"/>
        <v>0</v>
      </c>
      <c r="G300" s="163">
        <f t="shared" si="39"/>
        <v>0</v>
      </c>
      <c r="H300" s="163">
        <f t="shared" si="39"/>
        <v>0</v>
      </c>
      <c r="I300" s="163">
        <f t="shared" si="39"/>
        <v>0</v>
      </c>
      <c r="J300" s="163">
        <f t="shared" si="39"/>
        <v>0</v>
      </c>
    </row>
    <row r="301" spans="2:10" x14ac:dyDescent="0.25">
      <c r="D301" s="2" t="str">
        <f t="shared" si="40"/>
        <v>Scheduled Bond Payment - Interest</v>
      </c>
      <c r="E301" s="163">
        <f t="shared" si="40"/>
        <v>0</v>
      </c>
      <c r="F301" s="163">
        <f t="shared" si="39"/>
        <v>0</v>
      </c>
      <c r="G301" s="163">
        <f t="shared" si="39"/>
        <v>0</v>
      </c>
      <c r="H301" s="163">
        <f t="shared" si="39"/>
        <v>0</v>
      </c>
      <c r="I301" s="163">
        <f t="shared" si="39"/>
        <v>0</v>
      </c>
      <c r="J301" s="163">
        <f t="shared" si="39"/>
        <v>0</v>
      </c>
    </row>
    <row r="302" spans="2:10" x14ac:dyDescent="0.25">
      <c r="D302" s="1"/>
      <c r="E302" s="163"/>
    </row>
    <row r="303" spans="2:10" x14ac:dyDescent="0.25">
      <c r="D303" s="105" t="s">
        <v>392</v>
      </c>
      <c r="E303" s="164">
        <f>SUM(E299:E301)</f>
        <v>53000</v>
      </c>
      <c r="F303" s="164">
        <f t="shared" ref="F303:J303" si="41">SUM(F299:F301)</f>
        <v>57500</v>
      </c>
      <c r="G303" s="164">
        <f t="shared" si="41"/>
        <v>65000</v>
      </c>
      <c r="H303" s="164">
        <f t="shared" si="41"/>
        <v>77500</v>
      </c>
      <c r="I303" s="164">
        <f t="shared" si="41"/>
        <v>85000</v>
      </c>
      <c r="J303" s="164">
        <f t="shared" si="41"/>
        <v>92500</v>
      </c>
    </row>
    <row r="304" spans="2:10" x14ac:dyDescent="0.25">
      <c r="D304" s="165" t="s">
        <v>393</v>
      </c>
      <c r="E304" s="166">
        <f>E297/E303</f>
        <v>0.99999999950992224</v>
      </c>
      <c r="F304" s="166">
        <f t="shared" ref="F304:J304" si="42">F297/F303</f>
        <v>0.99999458758610749</v>
      </c>
      <c r="G304" s="166">
        <f t="shared" si="42"/>
        <v>1.0000026982443229</v>
      </c>
      <c r="H304" s="166">
        <f t="shared" si="42"/>
        <v>1.0000008285786957</v>
      </c>
      <c r="I304" s="166">
        <f t="shared" si="42"/>
        <v>0.99999818587523392</v>
      </c>
      <c r="J304" s="166">
        <f t="shared" si="42"/>
        <v>1.712932642174638</v>
      </c>
    </row>
    <row r="305" spans="4:10" x14ac:dyDescent="0.25">
      <c r="D305" s="1"/>
      <c r="E305" s="138"/>
      <c r="F305" s="138"/>
      <c r="G305" s="138"/>
      <c r="H305" s="138"/>
      <c r="I305" s="138"/>
      <c r="J305" s="138"/>
    </row>
    <row r="306" spans="4:10" x14ac:dyDescent="0.25">
      <c r="D306" s="167" t="s">
        <v>394</v>
      </c>
      <c r="E306" s="168"/>
      <c r="F306" s="168"/>
      <c r="G306" s="168"/>
      <c r="H306" s="168"/>
      <c r="I306" s="168"/>
      <c r="J306" s="168"/>
    </row>
    <row r="307" spans="4:10" x14ac:dyDescent="0.25">
      <c r="D307" s="169" t="s">
        <v>399</v>
      </c>
      <c r="E307" s="170">
        <v>2426619</v>
      </c>
      <c r="F307" s="175">
        <f>E310</f>
        <v>2426618.9999740259</v>
      </c>
      <c r="G307" s="175">
        <f t="shared" ref="G307:J307" si="43">F310</f>
        <v>2426618.6887602271</v>
      </c>
      <c r="H307" s="175">
        <f t="shared" si="43"/>
        <v>2426618.8641461083</v>
      </c>
      <c r="I307" s="175">
        <f t="shared" si="43"/>
        <v>2426618.9283609572</v>
      </c>
      <c r="J307" s="175">
        <f t="shared" si="43"/>
        <v>2426618.7741603521</v>
      </c>
    </row>
    <row r="308" spans="4:10" x14ac:dyDescent="0.25">
      <c r="D308" s="138" t="s">
        <v>395</v>
      </c>
      <c r="E308" s="171"/>
      <c r="F308" s="171"/>
      <c r="G308" s="171"/>
      <c r="H308" s="171"/>
      <c r="I308" s="171"/>
      <c r="J308" s="171"/>
    </row>
    <row r="309" spans="4:10" x14ac:dyDescent="0.25">
      <c r="D309" s="138" t="s">
        <v>396</v>
      </c>
      <c r="E309" s="171">
        <f>E291+E265-E86</f>
        <v>-2.5974120944738388E-5</v>
      </c>
      <c r="F309" s="171">
        <f t="shared" ref="F309:J309" si="44">F291+F265-F86</f>
        <v>-0.31121379882097244</v>
      </c>
      <c r="G309" s="171">
        <f t="shared" si="44"/>
        <v>0.17538588121533394</v>
      </c>
      <c r="H309" s="171">
        <f t="shared" si="44"/>
        <v>6.4214848913252354E-2</v>
      </c>
      <c r="I309" s="171">
        <f t="shared" si="44"/>
        <v>-0.15420060511678457</v>
      </c>
      <c r="J309" s="171">
        <f t="shared" si="44"/>
        <v>65946.269401154015</v>
      </c>
    </row>
    <row r="310" spans="4:10" x14ac:dyDescent="0.25">
      <c r="D310" s="167" t="s">
        <v>397</v>
      </c>
      <c r="E310" s="172">
        <f>SUM(E307:E309)</f>
        <v>2426618.9999740259</v>
      </c>
      <c r="F310" s="172">
        <f t="shared" ref="F310:J310" si="45">SUM(F307:F309)</f>
        <v>2426618.6887602271</v>
      </c>
      <c r="G310" s="172">
        <f t="shared" si="45"/>
        <v>2426618.8641461083</v>
      </c>
      <c r="H310" s="172">
        <f t="shared" si="45"/>
        <v>2426618.9283609572</v>
      </c>
      <c r="I310" s="172">
        <f t="shared" si="45"/>
        <v>2426618.7741603521</v>
      </c>
      <c r="J310" s="172">
        <f t="shared" si="45"/>
        <v>2492565.0435615061</v>
      </c>
    </row>
    <row r="311" spans="4:10" x14ac:dyDescent="0.25">
      <c r="D311" s="173" t="s">
        <v>398</v>
      </c>
      <c r="E311" s="174">
        <f>E310/((SUM(E281:E287))/365)</f>
        <v>401.29609646540553</v>
      </c>
      <c r="F311" s="174">
        <f t="shared" ref="F311:J311" si="46">F310/((SUM(F281:F287))/365)</f>
        <v>431.96140324353638</v>
      </c>
      <c r="G311" s="174">
        <f t="shared" si="46"/>
        <v>417.92689695067821</v>
      </c>
      <c r="H311" s="174">
        <f t="shared" si="46"/>
        <v>400.67325153011024</v>
      </c>
      <c r="I311" s="174">
        <f t="shared" si="46"/>
        <v>388.17971860936228</v>
      </c>
      <c r="J311" s="174">
        <f t="shared" si="46"/>
        <v>386.08829785911303</v>
      </c>
    </row>
  </sheetData>
  <mergeCells count="1">
    <mergeCell ref="B282:D282"/>
  </mergeCells>
  <pageMargins left="0.7" right="0.7" top="0.75" bottom="0.75" header="0.3" footer="0.3"/>
  <pageSetup scale="34" fitToHeight="0" orientation="portrait" r:id="rId1"/>
  <rowBreaks count="2" manualBreakCount="2">
    <brk id="90" min="1" max="14" man="1"/>
    <brk id="201"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28D5-FD93-415A-AA9E-A5107CE2B17E}">
  <dimension ref="A1:F24"/>
  <sheetViews>
    <sheetView zoomScale="70" zoomScaleNormal="70" workbookViewId="0">
      <selection activeCell="B23" sqref="B23:B24"/>
    </sheetView>
  </sheetViews>
  <sheetFormatPr defaultRowHeight="18.75" x14ac:dyDescent="0.3"/>
  <cols>
    <col min="1" max="1" width="13.140625" style="145" bestFit="1" customWidth="1"/>
    <col min="2" max="6" width="14.28515625" style="145" customWidth="1"/>
  </cols>
  <sheetData>
    <row r="1" spans="1:6" x14ac:dyDescent="0.3">
      <c r="A1" s="185" t="s">
        <v>378</v>
      </c>
      <c r="B1" s="185"/>
      <c r="C1" s="185"/>
      <c r="D1" s="185"/>
      <c r="E1" s="185"/>
      <c r="F1" s="185"/>
    </row>
    <row r="2" spans="1:6" x14ac:dyDescent="0.3">
      <c r="B2" s="156" t="s">
        <v>377</v>
      </c>
      <c r="C2" s="156" t="s">
        <v>376</v>
      </c>
      <c r="D2" s="156" t="s">
        <v>47</v>
      </c>
      <c r="E2" s="156" t="s">
        <v>375</v>
      </c>
      <c r="F2" s="156" t="s">
        <v>374</v>
      </c>
    </row>
    <row r="3" spans="1:6" x14ac:dyDescent="0.3">
      <c r="A3" s="155" t="s">
        <v>373</v>
      </c>
      <c r="B3" s="154">
        <v>5136</v>
      </c>
      <c r="C3" s="154">
        <f t="shared" ref="C3:C8" si="0">D3-B3</f>
        <v>1035</v>
      </c>
      <c r="D3" s="154">
        <v>6171</v>
      </c>
      <c r="E3" s="155"/>
      <c r="F3" s="155"/>
    </row>
    <row r="4" spans="1:6" x14ac:dyDescent="0.3">
      <c r="A4" s="155" t="s">
        <v>372</v>
      </c>
      <c r="B4" s="154">
        <v>5257</v>
      </c>
      <c r="C4" s="154">
        <f t="shared" si="0"/>
        <v>938</v>
      </c>
      <c r="D4" s="154">
        <v>6195</v>
      </c>
      <c r="E4" s="153">
        <f t="shared" ref="E4:E18" si="1">D4-D3</f>
        <v>24</v>
      </c>
      <c r="F4" s="152">
        <f t="shared" ref="F4:F18" si="2">E4/D3</f>
        <v>3.889158969372873E-3</v>
      </c>
    </row>
    <row r="5" spans="1:6" x14ac:dyDescent="0.3">
      <c r="A5" s="155" t="s">
        <v>371</v>
      </c>
      <c r="B5" s="154">
        <v>5457</v>
      </c>
      <c r="C5" s="154">
        <f t="shared" si="0"/>
        <v>1007</v>
      </c>
      <c r="D5" s="154">
        <v>6464</v>
      </c>
      <c r="E5" s="153">
        <f t="shared" si="1"/>
        <v>269</v>
      </c>
      <c r="F5" s="152">
        <f t="shared" si="2"/>
        <v>4.3422114608555287E-2</v>
      </c>
    </row>
    <row r="6" spans="1:6" x14ac:dyDescent="0.3">
      <c r="A6" s="155" t="s">
        <v>370</v>
      </c>
      <c r="B6" s="154">
        <v>5527</v>
      </c>
      <c r="C6" s="154">
        <f t="shared" si="0"/>
        <v>998</v>
      </c>
      <c r="D6" s="154">
        <v>6525</v>
      </c>
      <c r="E6" s="153">
        <f t="shared" si="1"/>
        <v>61</v>
      </c>
      <c r="F6" s="152">
        <f t="shared" si="2"/>
        <v>9.4368811881188116E-3</v>
      </c>
    </row>
    <row r="7" spans="1:6" x14ac:dyDescent="0.3">
      <c r="A7" s="155" t="s">
        <v>369</v>
      </c>
      <c r="B7" s="154">
        <v>5512</v>
      </c>
      <c r="C7" s="154">
        <f t="shared" si="0"/>
        <v>1066</v>
      </c>
      <c r="D7" s="154">
        <v>6578</v>
      </c>
      <c r="E7" s="153">
        <f t="shared" si="1"/>
        <v>53</v>
      </c>
      <c r="F7" s="152">
        <f t="shared" si="2"/>
        <v>8.1226053639846738E-3</v>
      </c>
    </row>
    <row r="8" spans="1:6" x14ac:dyDescent="0.3">
      <c r="A8" s="155" t="s">
        <v>368</v>
      </c>
      <c r="B8" s="154">
        <v>5574</v>
      </c>
      <c r="C8" s="154">
        <f t="shared" si="0"/>
        <v>1054</v>
      </c>
      <c r="D8" s="154">
        <v>6628</v>
      </c>
      <c r="E8" s="153">
        <f t="shared" si="1"/>
        <v>50</v>
      </c>
      <c r="F8" s="152">
        <f t="shared" si="2"/>
        <v>7.601094557616297E-3</v>
      </c>
    </row>
    <row r="9" spans="1:6" x14ac:dyDescent="0.3">
      <c r="A9" s="155" t="s">
        <v>367</v>
      </c>
      <c r="B9" s="154">
        <v>5700</v>
      </c>
      <c r="C9" s="154">
        <v>1018</v>
      </c>
      <c r="D9" s="154">
        <f t="shared" ref="D9:D18" si="3">SUM(B9:C9)</f>
        <v>6718</v>
      </c>
      <c r="E9" s="153">
        <f t="shared" si="1"/>
        <v>90</v>
      </c>
      <c r="F9" s="152">
        <f t="shared" si="2"/>
        <v>1.3578756789378395E-2</v>
      </c>
    </row>
    <row r="10" spans="1:6" x14ac:dyDescent="0.3">
      <c r="A10" s="155" t="s">
        <v>366</v>
      </c>
      <c r="B10" s="154">
        <v>5781</v>
      </c>
      <c r="C10" s="154">
        <v>1085.29</v>
      </c>
      <c r="D10" s="154">
        <f t="shared" si="3"/>
        <v>6866.29</v>
      </c>
      <c r="E10" s="153">
        <f t="shared" si="1"/>
        <v>148.28999999999996</v>
      </c>
      <c r="F10" s="152">
        <f t="shared" si="2"/>
        <v>2.2073533789818394E-2</v>
      </c>
    </row>
    <row r="11" spans="1:6" x14ac:dyDescent="0.3">
      <c r="A11" s="155" t="s">
        <v>365</v>
      </c>
      <c r="B11" s="154">
        <v>6067</v>
      </c>
      <c r="C11" s="154">
        <v>1175.83</v>
      </c>
      <c r="D11" s="154">
        <f t="shared" si="3"/>
        <v>7242.83</v>
      </c>
      <c r="E11" s="153">
        <f t="shared" si="1"/>
        <v>376.53999999999996</v>
      </c>
      <c r="F11" s="152">
        <f t="shared" si="2"/>
        <v>5.4838930485021746E-2</v>
      </c>
    </row>
    <row r="12" spans="1:6" x14ac:dyDescent="0.3">
      <c r="A12" s="155" t="s">
        <v>364</v>
      </c>
      <c r="B12" s="154">
        <v>6135</v>
      </c>
      <c r="C12" s="154">
        <v>1262.55</v>
      </c>
      <c r="D12" s="154">
        <f t="shared" si="3"/>
        <v>7397.55</v>
      </c>
      <c r="E12" s="153">
        <f t="shared" si="1"/>
        <v>154.72000000000025</v>
      </c>
      <c r="F12" s="152">
        <f t="shared" si="2"/>
        <v>2.1361815754339153E-2</v>
      </c>
    </row>
    <row r="13" spans="1:6" x14ac:dyDescent="0.3">
      <c r="A13" s="155" t="s">
        <v>363</v>
      </c>
      <c r="B13" s="154">
        <v>7196.79</v>
      </c>
      <c r="C13" s="154"/>
      <c r="D13" s="154">
        <f t="shared" si="3"/>
        <v>7196.79</v>
      </c>
      <c r="E13" s="153">
        <f t="shared" si="1"/>
        <v>-200.76000000000022</v>
      </c>
      <c r="F13" s="152">
        <f t="shared" si="2"/>
        <v>-2.713871484477972E-2</v>
      </c>
    </row>
    <row r="14" spans="1:6" x14ac:dyDescent="0.3">
      <c r="A14" s="155" t="s">
        <v>362</v>
      </c>
      <c r="B14" s="154">
        <v>7293.18</v>
      </c>
      <c r="C14" s="154"/>
      <c r="D14" s="154">
        <f t="shared" si="3"/>
        <v>7293.18</v>
      </c>
      <c r="E14" s="153">
        <f t="shared" si="1"/>
        <v>96.390000000000327</v>
      </c>
      <c r="F14" s="152">
        <f t="shared" si="2"/>
        <v>1.3393471255934984E-2</v>
      </c>
    </row>
    <row r="15" spans="1:6" x14ac:dyDescent="0.3">
      <c r="A15" s="151" t="s">
        <v>361</v>
      </c>
      <c r="B15" s="150">
        <v>8966</v>
      </c>
      <c r="C15" s="150"/>
      <c r="D15" s="150">
        <f t="shared" si="3"/>
        <v>8966</v>
      </c>
      <c r="E15" s="149">
        <f t="shared" si="1"/>
        <v>1672.8199999999997</v>
      </c>
      <c r="F15" s="148">
        <f t="shared" si="2"/>
        <v>0.22936771065570843</v>
      </c>
    </row>
    <row r="16" spans="1:6" x14ac:dyDescent="0.3">
      <c r="A16" s="151" t="s">
        <v>360</v>
      </c>
      <c r="B16" s="150">
        <v>9414</v>
      </c>
      <c r="C16" s="150"/>
      <c r="D16" s="150">
        <f t="shared" si="3"/>
        <v>9414</v>
      </c>
      <c r="E16" s="149">
        <f t="shared" si="1"/>
        <v>448</v>
      </c>
      <c r="F16" s="148">
        <f t="shared" si="2"/>
        <v>4.9966540263216598E-2</v>
      </c>
    </row>
    <row r="17" spans="1:6" x14ac:dyDescent="0.3">
      <c r="A17" s="151" t="s">
        <v>359</v>
      </c>
      <c r="B17" s="150">
        <v>9416</v>
      </c>
      <c r="C17" s="150"/>
      <c r="D17" s="150">
        <f t="shared" si="3"/>
        <v>9416</v>
      </c>
      <c r="E17" s="149">
        <f t="shared" si="1"/>
        <v>2</v>
      </c>
      <c r="F17" s="148">
        <f t="shared" si="2"/>
        <v>2.1244954323348204E-4</v>
      </c>
    </row>
    <row r="18" spans="1:6" ht="19.5" thickBot="1" x14ac:dyDescent="0.35">
      <c r="A18" s="151" t="s">
        <v>358</v>
      </c>
      <c r="B18" s="150">
        <v>9486</v>
      </c>
      <c r="C18" s="150"/>
      <c r="D18" s="150">
        <f t="shared" si="3"/>
        <v>9486</v>
      </c>
      <c r="E18" s="149">
        <f t="shared" si="1"/>
        <v>70</v>
      </c>
      <c r="F18" s="148">
        <f t="shared" si="2"/>
        <v>7.434154630416313E-3</v>
      </c>
    </row>
    <row r="19" spans="1:6" ht="60" customHeight="1" thickBot="1" x14ac:dyDescent="0.3">
      <c r="A19" s="186" t="s">
        <v>357</v>
      </c>
      <c r="B19" s="187"/>
      <c r="C19" s="187"/>
      <c r="D19" s="187"/>
      <c r="E19" s="187"/>
      <c r="F19" s="188"/>
    </row>
    <row r="21" spans="1:6" x14ac:dyDescent="0.3">
      <c r="B21" s="159">
        <v>0.45</v>
      </c>
      <c r="C21" s="159">
        <v>0.35</v>
      </c>
      <c r="D21" s="159">
        <v>0.12</v>
      </c>
    </row>
    <row r="22" spans="1:6" x14ac:dyDescent="0.3">
      <c r="B22" s="158" t="s">
        <v>13</v>
      </c>
      <c r="C22" s="158" t="s">
        <v>380</v>
      </c>
      <c r="D22" s="158" t="s">
        <v>19</v>
      </c>
    </row>
    <row r="23" spans="1:6" x14ac:dyDescent="0.3">
      <c r="A23" s="151" t="s">
        <v>359</v>
      </c>
      <c r="B23" s="160">
        <f>ROUND(9416*B21,0)</f>
        <v>4237</v>
      </c>
      <c r="C23" s="147"/>
      <c r="D23" s="146"/>
    </row>
    <row r="24" spans="1:6" x14ac:dyDescent="0.3">
      <c r="A24" s="155" t="s">
        <v>358</v>
      </c>
      <c r="B24" s="160">
        <f>ROUND(9486*B21,0)</f>
        <v>4269</v>
      </c>
    </row>
  </sheetData>
  <mergeCells count="2">
    <mergeCell ref="A1:F1"/>
    <mergeCell ref="A19:F1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25-26</vt:lpstr>
      <vt:lpstr>26-27</vt:lpstr>
      <vt:lpstr>27-28</vt:lpstr>
      <vt:lpstr>28-29</vt:lpstr>
      <vt:lpstr>29-30</vt:lpstr>
      <vt:lpstr>30-31</vt:lpstr>
      <vt:lpstr>6-Year</vt:lpstr>
      <vt:lpstr>Per Pupil NV - Clark</vt:lpstr>
      <vt:lpstr>'25-26'!Print_Area</vt:lpstr>
      <vt:lpstr>'26-27'!Print_Area</vt:lpstr>
      <vt:lpstr>'27-28'!Print_Area</vt:lpstr>
      <vt:lpstr>'28-29'!Print_Area</vt:lpstr>
      <vt:lpstr>'29-30'!Print_Area</vt:lpstr>
      <vt:lpstr>'30-31'!Print_Area</vt:lpstr>
      <vt:lpstr>'6-Year'!Print_Area</vt:lpstr>
      <vt:lpstr>'25-26'!Print_Titles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Padron</dc:creator>
  <cp:lastModifiedBy>Paul Ballou</cp:lastModifiedBy>
  <cp:lastPrinted>2026-02-03T16:46:35Z</cp:lastPrinted>
  <dcterms:created xsi:type="dcterms:W3CDTF">2025-12-23T14:24:43Z</dcterms:created>
  <dcterms:modified xsi:type="dcterms:W3CDTF">2026-02-03T16:47:10Z</dcterms:modified>
</cp:coreProperties>
</file>